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05" windowWidth="23715" windowHeight="9975"/>
  </bookViews>
  <sheets>
    <sheet name="Planilla_General_07-12-2012_8_3" sheetId="1" r:id="rId1"/>
    <sheet name="Eventos en ensayos por ID" sheetId="2" r:id="rId2"/>
    <sheet name="DV-IDENTITY-0" sheetId="3" state="veryHidden" r:id="rId3"/>
  </sheets>
  <definedNames>
    <definedName name="_xlnm._FilterDatabase" localSheetId="1" hidden="1">'Eventos en ensayos por ID'!$A$8:$G$68</definedName>
    <definedName name="_xlnm._FilterDatabase" localSheetId="0" hidden="1">'Planilla_General_07-12-2012_8_3'!$A$6:$P$2179</definedName>
  </definedNames>
  <calcPr calcId="145621"/>
</workbook>
</file>

<file path=xl/calcChain.xml><?xml version="1.0" encoding="utf-8"?>
<calcChain xmlns="http://schemas.openxmlformats.org/spreadsheetml/2006/main">
  <c r="A148" i="3" l="1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Z148" i="3"/>
  <c r="CA148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DC147" i="3"/>
  <c r="DD147" i="3"/>
  <c r="DE147" i="3"/>
  <c r="DF147" i="3"/>
  <c r="DG147" i="3"/>
  <c r="DH147" i="3"/>
  <c r="DI147" i="3"/>
  <c r="DJ147" i="3"/>
  <c r="DK147" i="3"/>
  <c r="DL147" i="3"/>
  <c r="DM147" i="3"/>
  <c r="DN147" i="3"/>
  <c r="DO147" i="3"/>
  <c r="DP147" i="3"/>
  <c r="DQ147" i="3"/>
  <c r="DR147" i="3"/>
  <c r="DS147" i="3"/>
  <c r="DT147" i="3"/>
  <c r="DU147" i="3"/>
  <c r="DV147" i="3"/>
  <c r="DW147" i="3"/>
  <c r="DX147" i="3"/>
  <c r="DY147" i="3"/>
  <c r="DZ147" i="3"/>
  <c r="EA147" i="3"/>
  <c r="EB147" i="3"/>
  <c r="EC147" i="3"/>
  <c r="ED147" i="3"/>
  <c r="EE147" i="3"/>
  <c r="EF147" i="3"/>
  <c r="EG147" i="3"/>
  <c r="EH147" i="3"/>
  <c r="EI147" i="3"/>
  <c r="EJ147" i="3"/>
  <c r="EK147" i="3"/>
  <c r="EL147" i="3"/>
  <c r="EM147" i="3"/>
  <c r="EN147" i="3"/>
  <c r="EO147" i="3"/>
  <c r="EP147" i="3"/>
  <c r="EQ147" i="3"/>
  <c r="ER147" i="3"/>
  <c r="ES147" i="3"/>
  <c r="ET147" i="3"/>
  <c r="EU147" i="3"/>
  <c r="EV147" i="3"/>
  <c r="EW147" i="3"/>
  <c r="EX147" i="3"/>
  <c r="EY147" i="3"/>
  <c r="EZ147" i="3"/>
  <c r="FA147" i="3"/>
  <c r="FB147" i="3"/>
  <c r="FC147" i="3"/>
  <c r="FD147" i="3"/>
  <c r="FE147" i="3"/>
  <c r="FF147" i="3"/>
  <c r="FG147" i="3"/>
  <c r="FH147" i="3"/>
  <c r="FI147" i="3"/>
  <c r="FJ147" i="3"/>
  <c r="FK147" i="3"/>
  <c r="FL147" i="3"/>
  <c r="FM147" i="3"/>
  <c r="FN147" i="3"/>
  <c r="FO147" i="3"/>
  <c r="FP147" i="3"/>
  <c r="FQ147" i="3"/>
  <c r="FR147" i="3"/>
  <c r="FS147" i="3"/>
  <c r="FT147" i="3"/>
  <c r="FU147" i="3"/>
  <c r="FV147" i="3"/>
  <c r="FW147" i="3"/>
  <c r="FX147" i="3"/>
  <c r="FY147" i="3"/>
  <c r="FZ147" i="3"/>
  <c r="GA147" i="3"/>
  <c r="GB147" i="3"/>
  <c r="GC147" i="3"/>
  <c r="GD147" i="3"/>
  <c r="GE147" i="3"/>
  <c r="GF147" i="3"/>
  <c r="GG147" i="3"/>
  <c r="GH147" i="3"/>
  <c r="GI147" i="3"/>
  <c r="GJ147" i="3"/>
  <c r="GK147" i="3"/>
  <c r="GL147" i="3"/>
  <c r="GM147" i="3"/>
  <c r="GN147" i="3"/>
  <c r="GO147" i="3"/>
  <c r="GP147" i="3"/>
  <c r="GQ147" i="3"/>
  <c r="GR147" i="3"/>
  <c r="GS147" i="3"/>
  <c r="GT147" i="3"/>
  <c r="GU147" i="3"/>
  <c r="GV147" i="3"/>
  <c r="GW147" i="3"/>
  <c r="GX147" i="3"/>
  <c r="GY147" i="3"/>
  <c r="GZ147" i="3"/>
  <c r="HA147" i="3"/>
  <c r="HB147" i="3"/>
  <c r="HC147" i="3"/>
  <c r="HD147" i="3"/>
  <c r="HE147" i="3"/>
  <c r="HF147" i="3"/>
  <c r="HG147" i="3"/>
  <c r="HH147" i="3"/>
  <c r="HI147" i="3"/>
  <c r="HJ147" i="3"/>
  <c r="HK147" i="3"/>
  <c r="HL147" i="3"/>
  <c r="HM147" i="3"/>
  <c r="HN147" i="3"/>
  <c r="HO147" i="3"/>
  <c r="HP147" i="3"/>
  <c r="HQ147" i="3"/>
  <c r="HR147" i="3"/>
  <c r="HS147" i="3"/>
  <c r="HT147" i="3"/>
  <c r="HU147" i="3"/>
  <c r="HV147" i="3"/>
  <c r="HW147" i="3"/>
  <c r="HX147" i="3"/>
  <c r="HY147" i="3"/>
  <c r="HZ147" i="3"/>
  <c r="IA147" i="3"/>
  <c r="IB147" i="3"/>
  <c r="IC147" i="3"/>
  <c r="ID147" i="3"/>
  <c r="IE147" i="3"/>
  <c r="IF147" i="3"/>
  <c r="IG147" i="3"/>
  <c r="IH147" i="3"/>
  <c r="II147" i="3"/>
  <c r="IJ147" i="3"/>
  <c r="IK147" i="3"/>
  <c r="IL147" i="3"/>
  <c r="IM147" i="3"/>
  <c r="IN147" i="3"/>
  <c r="IO147" i="3"/>
  <c r="IP147" i="3"/>
  <c r="IQ147" i="3"/>
  <c r="IR147" i="3"/>
  <c r="IS147" i="3"/>
  <c r="IT147" i="3"/>
  <c r="IU147" i="3"/>
  <c r="IV147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DC146" i="3"/>
  <c r="DD146" i="3"/>
  <c r="DE146" i="3"/>
  <c r="DF146" i="3"/>
  <c r="DG146" i="3"/>
  <c r="DH146" i="3"/>
  <c r="DI146" i="3"/>
  <c r="DJ146" i="3"/>
  <c r="DK146" i="3"/>
  <c r="DL146" i="3"/>
  <c r="DM146" i="3"/>
  <c r="DN146" i="3"/>
  <c r="DO146" i="3"/>
  <c r="DP146" i="3"/>
  <c r="DQ146" i="3"/>
  <c r="DR146" i="3"/>
  <c r="DS146" i="3"/>
  <c r="DT146" i="3"/>
  <c r="DU146" i="3"/>
  <c r="DV146" i="3"/>
  <c r="DW146" i="3"/>
  <c r="DX146" i="3"/>
  <c r="DY146" i="3"/>
  <c r="DZ146" i="3"/>
  <c r="EA146" i="3"/>
  <c r="EB146" i="3"/>
  <c r="EC146" i="3"/>
  <c r="ED146" i="3"/>
  <c r="EE146" i="3"/>
  <c r="EF146" i="3"/>
  <c r="EG146" i="3"/>
  <c r="EH146" i="3"/>
  <c r="EI146" i="3"/>
  <c r="EJ146" i="3"/>
  <c r="EK146" i="3"/>
  <c r="EL146" i="3"/>
  <c r="EM146" i="3"/>
  <c r="EN146" i="3"/>
  <c r="EO146" i="3"/>
  <c r="EP146" i="3"/>
  <c r="EQ146" i="3"/>
  <c r="ER146" i="3"/>
  <c r="ES146" i="3"/>
  <c r="ET146" i="3"/>
  <c r="EU146" i="3"/>
  <c r="EV146" i="3"/>
  <c r="EW146" i="3"/>
  <c r="EX146" i="3"/>
  <c r="EY146" i="3"/>
  <c r="EZ146" i="3"/>
  <c r="FA146" i="3"/>
  <c r="FB146" i="3"/>
  <c r="FC146" i="3"/>
  <c r="FD146" i="3"/>
  <c r="FE146" i="3"/>
  <c r="FF146" i="3"/>
  <c r="FG146" i="3"/>
  <c r="FH146" i="3"/>
  <c r="FI146" i="3"/>
  <c r="FJ146" i="3"/>
  <c r="FK146" i="3"/>
  <c r="FL146" i="3"/>
  <c r="FM146" i="3"/>
  <c r="FN146" i="3"/>
  <c r="FO146" i="3"/>
  <c r="FP146" i="3"/>
  <c r="FQ146" i="3"/>
  <c r="FR146" i="3"/>
  <c r="FS146" i="3"/>
  <c r="FT146" i="3"/>
  <c r="FU146" i="3"/>
  <c r="FV146" i="3"/>
  <c r="FW146" i="3"/>
  <c r="FX146" i="3"/>
  <c r="FY146" i="3"/>
  <c r="FZ146" i="3"/>
  <c r="GA146" i="3"/>
  <c r="GB146" i="3"/>
  <c r="GC146" i="3"/>
  <c r="GD146" i="3"/>
  <c r="GE146" i="3"/>
  <c r="GF146" i="3"/>
  <c r="GG146" i="3"/>
  <c r="GH146" i="3"/>
  <c r="GI146" i="3"/>
  <c r="GJ146" i="3"/>
  <c r="GK146" i="3"/>
  <c r="GL146" i="3"/>
  <c r="GM146" i="3"/>
  <c r="GN146" i="3"/>
  <c r="GO146" i="3"/>
  <c r="GP146" i="3"/>
  <c r="GQ146" i="3"/>
  <c r="GR146" i="3"/>
  <c r="GS146" i="3"/>
  <c r="GT146" i="3"/>
  <c r="GU146" i="3"/>
  <c r="GV146" i="3"/>
  <c r="GW146" i="3"/>
  <c r="GX146" i="3"/>
  <c r="GY146" i="3"/>
  <c r="GZ146" i="3"/>
  <c r="HA146" i="3"/>
  <c r="HB146" i="3"/>
  <c r="HC146" i="3"/>
  <c r="HD146" i="3"/>
  <c r="HE146" i="3"/>
  <c r="HF146" i="3"/>
  <c r="HG146" i="3"/>
  <c r="HH146" i="3"/>
  <c r="HI146" i="3"/>
  <c r="HJ146" i="3"/>
  <c r="HK146" i="3"/>
  <c r="HL146" i="3"/>
  <c r="HM146" i="3"/>
  <c r="HN146" i="3"/>
  <c r="HO146" i="3"/>
  <c r="HP146" i="3"/>
  <c r="HQ146" i="3"/>
  <c r="HR146" i="3"/>
  <c r="HS146" i="3"/>
  <c r="HT146" i="3"/>
  <c r="HU146" i="3"/>
  <c r="HV146" i="3"/>
  <c r="HW146" i="3"/>
  <c r="HX146" i="3"/>
  <c r="HY146" i="3"/>
  <c r="HZ146" i="3"/>
  <c r="IA146" i="3"/>
  <c r="IB146" i="3"/>
  <c r="IC146" i="3"/>
  <c r="ID146" i="3"/>
  <c r="IE146" i="3"/>
  <c r="IF146" i="3"/>
  <c r="IG146" i="3"/>
  <c r="IH146" i="3"/>
  <c r="II146" i="3"/>
  <c r="IJ146" i="3"/>
  <c r="IK146" i="3"/>
  <c r="IL146" i="3"/>
  <c r="IM146" i="3"/>
  <c r="IN146" i="3"/>
  <c r="IO146" i="3"/>
  <c r="IP146" i="3"/>
  <c r="IQ146" i="3"/>
  <c r="IR146" i="3"/>
  <c r="IS146" i="3"/>
  <c r="IT146" i="3"/>
  <c r="IU146" i="3"/>
  <c r="IV146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DC145" i="3"/>
  <c r="DD145" i="3"/>
  <c r="DE145" i="3"/>
  <c r="DF145" i="3"/>
  <c r="DG145" i="3"/>
  <c r="DH145" i="3"/>
  <c r="DI145" i="3"/>
  <c r="DJ145" i="3"/>
  <c r="DK145" i="3"/>
  <c r="DL145" i="3"/>
  <c r="DM145" i="3"/>
  <c r="DN145" i="3"/>
  <c r="DO145" i="3"/>
  <c r="DP145" i="3"/>
  <c r="DQ145" i="3"/>
  <c r="DR145" i="3"/>
  <c r="DS145" i="3"/>
  <c r="DT145" i="3"/>
  <c r="DU145" i="3"/>
  <c r="DV145" i="3"/>
  <c r="DW145" i="3"/>
  <c r="DX145" i="3"/>
  <c r="DY145" i="3"/>
  <c r="DZ145" i="3"/>
  <c r="EA145" i="3"/>
  <c r="EB145" i="3"/>
  <c r="EC145" i="3"/>
  <c r="ED145" i="3"/>
  <c r="EE145" i="3"/>
  <c r="EF145" i="3"/>
  <c r="EG145" i="3"/>
  <c r="EH145" i="3"/>
  <c r="EI145" i="3"/>
  <c r="EJ145" i="3"/>
  <c r="EK145" i="3"/>
  <c r="EL145" i="3"/>
  <c r="EM145" i="3"/>
  <c r="EN145" i="3"/>
  <c r="EO145" i="3"/>
  <c r="EP145" i="3"/>
  <c r="EQ145" i="3"/>
  <c r="ER145" i="3"/>
  <c r="ES145" i="3"/>
  <c r="ET145" i="3"/>
  <c r="EU145" i="3"/>
  <c r="EV145" i="3"/>
  <c r="EW145" i="3"/>
  <c r="EX145" i="3"/>
  <c r="EY145" i="3"/>
  <c r="EZ145" i="3"/>
  <c r="FA145" i="3"/>
  <c r="FB145" i="3"/>
  <c r="FC145" i="3"/>
  <c r="FD145" i="3"/>
  <c r="FE145" i="3"/>
  <c r="FF145" i="3"/>
  <c r="FG145" i="3"/>
  <c r="FH145" i="3"/>
  <c r="FI145" i="3"/>
  <c r="FJ145" i="3"/>
  <c r="FK145" i="3"/>
  <c r="FL145" i="3"/>
  <c r="FM145" i="3"/>
  <c r="FN145" i="3"/>
  <c r="FO145" i="3"/>
  <c r="FP145" i="3"/>
  <c r="FQ145" i="3"/>
  <c r="FR145" i="3"/>
  <c r="FS145" i="3"/>
  <c r="FT145" i="3"/>
  <c r="FU145" i="3"/>
  <c r="FV145" i="3"/>
  <c r="FW145" i="3"/>
  <c r="FX145" i="3"/>
  <c r="FY145" i="3"/>
  <c r="FZ145" i="3"/>
  <c r="GA145" i="3"/>
  <c r="GB145" i="3"/>
  <c r="GC145" i="3"/>
  <c r="GD145" i="3"/>
  <c r="GE145" i="3"/>
  <c r="GF145" i="3"/>
  <c r="GG145" i="3"/>
  <c r="GH145" i="3"/>
  <c r="GI145" i="3"/>
  <c r="GJ145" i="3"/>
  <c r="GK145" i="3"/>
  <c r="GL145" i="3"/>
  <c r="GM145" i="3"/>
  <c r="GN145" i="3"/>
  <c r="GO145" i="3"/>
  <c r="GP145" i="3"/>
  <c r="GQ145" i="3"/>
  <c r="GR145" i="3"/>
  <c r="GS145" i="3"/>
  <c r="GT145" i="3"/>
  <c r="GU145" i="3"/>
  <c r="GV145" i="3"/>
  <c r="GW145" i="3"/>
  <c r="GX145" i="3"/>
  <c r="GY145" i="3"/>
  <c r="GZ145" i="3"/>
  <c r="HA145" i="3"/>
  <c r="HB145" i="3"/>
  <c r="HC145" i="3"/>
  <c r="HD145" i="3"/>
  <c r="HE145" i="3"/>
  <c r="HF145" i="3"/>
  <c r="HG145" i="3"/>
  <c r="HH145" i="3"/>
  <c r="HI145" i="3"/>
  <c r="HJ145" i="3"/>
  <c r="HK145" i="3"/>
  <c r="HL145" i="3"/>
  <c r="HM145" i="3"/>
  <c r="HN145" i="3"/>
  <c r="HO145" i="3"/>
  <c r="HP145" i="3"/>
  <c r="HQ145" i="3"/>
  <c r="HR145" i="3"/>
  <c r="HS145" i="3"/>
  <c r="HT145" i="3"/>
  <c r="HU145" i="3"/>
  <c r="HV145" i="3"/>
  <c r="HW145" i="3"/>
  <c r="HX145" i="3"/>
  <c r="HY145" i="3"/>
  <c r="HZ145" i="3"/>
  <c r="IA145" i="3"/>
  <c r="IB145" i="3"/>
  <c r="IC145" i="3"/>
  <c r="ID145" i="3"/>
  <c r="IE145" i="3"/>
  <c r="IF145" i="3"/>
  <c r="IG145" i="3"/>
  <c r="IH145" i="3"/>
  <c r="II145" i="3"/>
  <c r="IJ145" i="3"/>
  <c r="IK145" i="3"/>
  <c r="IL145" i="3"/>
  <c r="IM145" i="3"/>
  <c r="IN145" i="3"/>
  <c r="IO145" i="3"/>
  <c r="IP145" i="3"/>
  <c r="IQ145" i="3"/>
  <c r="IR145" i="3"/>
  <c r="IS145" i="3"/>
  <c r="IT145" i="3"/>
  <c r="IU145" i="3"/>
  <c r="IV145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DC144" i="3"/>
  <c r="DD144" i="3"/>
  <c r="DE144" i="3"/>
  <c r="DF144" i="3"/>
  <c r="DG144" i="3"/>
  <c r="DH144" i="3"/>
  <c r="DI144" i="3"/>
  <c r="DJ144" i="3"/>
  <c r="DK144" i="3"/>
  <c r="DL144" i="3"/>
  <c r="DM144" i="3"/>
  <c r="DN144" i="3"/>
  <c r="DO144" i="3"/>
  <c r="DP144" i="3"/>
  <c r="DQ144" i="3"/>
  <c r="DR144" i="3"/>
  <c r="DS144" i="3"/>
  <c r="DT144" i="3"/>
  <c r="DU144" i="3"/>
  <c r="DV144" i="3"/>
  <c r="DW144" i="3"/>
  <c r="DX144" i="3"/>
  <c r="DY144" i="3"/>
  <c r="DZ144" i="3"/>
  <c r="EA144" i="3"/>
  <c r="EB144" i="3"/>
  <c r="EC144" i="3"/>
  <c r="ED144" i="3"/>
  <c r="EE144" i="3"/>
  <c r="EF144" i="3"/>
  <c r="EG144" i="3"/>
  <c r="EH144" i="3"/>
  <c r="EI144" i="3"/>
  <c r="EJ144" i="3"/>
  <c r="EK144" i="3"/>
  <c r="EL144" i="3"/>
  <c r="EM144" i="3"/>
  <c r="EN144" i="3"/>
  <c r="EO144" i="3"/>
  <c r="EP144" i="3"/>
  <c r="EQ144" i="3"/>
  <c r="ER144" i="3"/>
  <c r="ES144" i="3"/>
  <c r="ET144" i="3"/>
  <c r="EU144" i="3"/>
  <c r="EV144" i="3"/>
  <c r="EW144" i="3"/>
  <c r="EX144" i="3"/>
  <c r="EY144" i="3"/>
  <c r="EZ144" i="3"/>
  <c r="FA144" i="3"/>
  <c r="FB144" i="3"/>
  <c r="FC144" i="3"/>
  <c r="FD144" i="3"/>
  <c r="FE144" i="3"/>
  <c r="FF144" i="3"/>
  <c r="FG144" i="3"/>
  <c r="FH144" i="3"/>
  <c r="FI144" i="3"/>
  <c r="FJ144" i="3"/>
  <c r="FK144" i="3"/>
  <c r="FL144" i="3"/>
  <c r="FM144" i="3"/>
  <c r="FN144" i="3"/>
  <c r="FO144" i="3"/>
  <c r="FP144" i="3"/>
  <c r="FQ144" i="3"/>
  <c r="FR144" i="3"/>
  <c r="FS144" i="3"/>
  <c r="FT144" i="3"/>
  <c r="FU144" i="3"/>
  <c r="FV144" i="3"/>
  <c r="FW144" i="3"/>
  <c r="FX144" i="3"/>
  <c r="FY144" i="3"/>
  <c r="FZ144" i="3"/>
  <c r="GA144" i="3"/>
  <c r="GB144" i="3"/>
  <c r="GC144" i="3"/>
  <c r="GD144" i="3"/>
  <c r="GE144" i="3"/>
  <c r="GF144" i="3"/>
  <c r="GG144" i="3"/>
  <c r="GH144" i="3"/>
  <c r="GI144" i="3"/>
  <c r="GJ144" i="3"/>
  <c r="GK144" i="3"/>
  <c r="GL144" i="3"/>
  <c r="GM144" i="3"/>
  <c r="GN144" i="3"/>
  <c r="GO144" i="3"/>
  <c r="GP144" i="3"/>
  <c r="GQ144" i="3"/>
  <c r="GR144" i="3"/>
  <c r="GS144" i="3"/>
  <c r="GT144" i="3"/>
  <c r="GU144" i="3"/>
  <c r="GV144" i="3"/>
  <c r="GW144" i="3"/>
  <c r="GX144" i="3"/>
  <c r="GY144" i="3"/>
  <c r="GZ144" i="3"/>
  <c r="HA144" i="3"/>
  <c r="HB144" i="3"/>
  <c r="HC144" i="3"/>
  <c r="HD144" i="3"/>
  <c r="HE144" i="3"/>
  <c r="HF144" i="3"/>
  <c r="HG144" i="3"/>
  <c r="HH144" i="3"/>
  <c r="HI144" i="3"/>
  <c r="HJ144" i="3"/>
  <c r="HK144" i="3"/>
  <c r="HL144" i="3"/>
  <c r="HM144" i="3"/>
  <c r="HN144" i="3"/>
  <c r="HO144" i="3"/>
  <c r="HP144" i="3"/>
  <c r="HQ144" i="3"/>
  <c r="HR144" i="3"/>
  <c r="HS144" i="3"/>
  <c r="HT144" i="3"/>
  <c r="HU144" i="3"/>
  <c r="HV144" i="3"/>
  <c r="HW144" i="3"/>
  <c r="HX144" i="3"/>
  <c r="HY144" i="3"/>
  <c r="HZ144" i="3"/>
  <c r="IA144" i="3"/>
  <c r="IB144" i="3"/>
  <c r="IC144" i="3"/>
  <c r="ID144" i="3"/>
  <c r="IE144" i="3"/>
  <c r="IF144" i="3"/>
  <c r="IG144" i="3"/>
  <c r="IH144" i="3"/>
  <c r="II144" i="3"/>
  <c r="IJ144" i="3"/>
  <c r="IK144" i="3"/>
  <c r="IL144" i="3"/>
  <c r="IM144" i="3"/>
  <c r="IN144" i="3"/>
  <c r="IO144" i="3"/>
  <c r="IP144" i="3"/>
  <c r="IQ144" i="3"/>
  <c r="IR144" i="3"/>
  <c r="IS144" i="3"/>
  <c r="IT144" i="3"/>
  <c r="IU144" i="3"/>
  <c r="IV144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DC143" i="3"/>
  <c r="DD143" i="3"/>
  <c r="DE143" i="3"/>
  <c r="DF143" i="3"/>
  <c r="DG143" i="3"/>
  <c r="DH143" i="3"/>
  <c r="DI143" i="3"/>
  <c r="DJ143" i="3"/>
  <c r="DK143" i="3"/>
  <c r="DL143" i="3"/>
  <c r="DM143" i="3"/>
  <c r="DN143" i="3"/>
  <c r="DO143" i="3"/>
  <c r="DP143" i="3"/>
  <c r="DQ143" i="3"/>
  <c r="DR143" i="3"/>
  <c r="DS143" i="3"/>
  <c r="DT143" i="3"/>
  <c r="DU143" i="3"/>
  <c r="DV143" i="3"/>
  <c r="DW143" i="3"/>
  <c r="DX143" i="3"/>
  <c r="DY143" i="3"/>
  <c r="DZ143" i="3"/>
  <c r="EA143" i="3"/>
  <c r="EB143" i="3"/>
  <c r="EC143" i="3"/>
  <c r="ED143" i="3"/>
  <c r="EE143" i="3"/>
  <c r="EF143" i="3"/>
  <c r="EG143" i="3"/>
  <c r="EH143" i="3"/>
  <c r="EI143" i="3"/>
  <c r="EJ143" i="3"/>
  <c r="EK143" i="3"/>
  <c r="EL143" i="3"/>
  <c r="EM143" i="3"/>
  <c r="EN143" i="3"/>
  <c r="EO143" i="3"/>
  <c r="EP143" i="3"/>
  <c r="EQ143" i="3"/>
  <c r="ER143" i="3"/>
  <c r="ES143" i="3"/>
  <c r="ET143" i="3"/>
  <c r="EU143" i="3"/>
  <c r="EV143" i="3"/>
  <c r="EW143" i="3"/>
  <c r="EX143" i="3"/>
  <c r="EY143" i="3"/>
  <c r="EZ143" i="3"/>
  <c r="FA143" i="3"/>
  <c r="FB143" i="3"/>
  <c r="FC143" i="3"/>
  <c r="FD143" i="3"/>
  <c r="FE143" i="3"/>
  <c r="FF143" i="3"/>
  <c r="FG143" i="3"/>
  <c r="FH143" i="3"/>
  <c r="FI143" i="3"/>
  <c r="FJ143" i="3"/>
  <c r="FK143" i="3"/>
  <c r="FL143" i="3"/>
  <c r="FM143" i="3"/>
  <c r="FN143" i="3"/>
  <c r="FO143" i="3"/>
  <c r="FP143" i="3"/>
  <c r="FQ143" i="3"/>
  <c r="FR143" i="3"/>
  <c r="FS143" i="3"/>
  <c r="FT143" i="3"/>
  <c r="FU143" i="3"/>
  <c r="FV143" i="3"/>
  <c r="FW143" i="3"/>
  <c r="FX143" i="3"/>
  <c r="FY143" i="3"/>
  <c r="FZ143" i="3"/>
  <c r="GA143" i="3"/>
  <c r="GB143" i="3"/>
  <c r="GC143" i="3"/>
  <c r="GD143" i="3"/>
  <c r="GE143" i="3"/>
  <c r="GF143" i="3"/>
  <c r="GG143" i="3"/>
  <c r="GH143" i="3"/>
  <c r="GI143" i="3"/>
  <c r="GJ143" i="3"/>
  <c r="GK143" i="3"/>
  <c r="GL143" i="3"/>
  <c r="GM143" i="3"/>
  <c r="GN143" i="3"/>
  <c r="GO143" i="3"/>
  <c r="GP143" i="3"/>
  <c r="GQ143" i="3"/>
  <c r="GR143" i="3"/>
  <c r="GS143" i="3"/>
  <c r="GT143" i="3"/>
  <c r="GU143" i="3"/>
  <c r="GV143" i="3"/>
  <c r="GW143" i="3"/>
  <c r="GX143" i="3"/>
  <c r="GY143" i="3"/>
  <c r="GZ143" i="3"/>
  <c r="HA143" i="3"/>
  <c r="HB143" i="3"/>
  <c r="HC143" i="3"/>
  <c r="HD143" i="3"/>
  <c r="HE143" i="3"/>
  <c r="HF143" i="3"/>
  <c r="HG143" i="3"/>
  <c r="HH143" i="3"/>
  <c r="HI143" i="3"/>
  <c r="HJ143" i="3"/>
  <c r="HK143" i="3"/>
  <c r="HL143" i="3"/>
  <c r="HM143" i="3"/>
  <c r="HN143" i="3"/>
  <c r="HO143" i="3"/>
  <c r="HP143" i="3"/>
  <c r="HQ143" i="3"/>
  <c r="HR143" i="3"/>
  <c r="HS143" i="3"/>
  <c r="HT143" i="3"/>
  <c r="HU143" i="3"/>
  <c r="HV143" i="3"/>
  <c r="HW143" i="3"/>
  <c r="HX143" i="3"/>
  <c r="HY143" i="3"/>
  <c r="HZ143" i="3"/>
  <c r="IA143" i="3"/>
  <c r="IB143" i="3"/>
  <c r="IC143" i="3"/>
  <c r="ID143" i="3"/>
  <c r="IE143" i="3"/>
  <c r="IF143" i="3"/>
  <c r="IG143" i="3"/>
  <c r="IH143" i="3"/>
  <c r="II143" i="3"/>
  <c r="IJ143" i="3"/>
  <c r="IK143" i="3"/>
  <c r="IL143" i="3"/>
  <c r="IM143" i="3"/>
  <c r="IN143" i="3"/>
  <c r="IO143" i="3"/>
  <c r="IP143" i="3"/>
  <c r="IQ143" i="3"/>
  <c r="IR143" i="3"/>
  <c r="IS143" i="3"/>
  <c r="IT143" i="3"/>
  <c r="IU143" i="3"/>
  <c r="IV143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DC142" i="3"/>
  <c r="DD142" i="3"/>
  <c r="DE142" i="3"/>
  <c r="DF142" i="3"/>
  <c r="DG142" i="3"/>
  <c r="DH142" i="3"/>
  <c r="DI142" i="3"/>
  <c r="DJ142" i="3"/>
  <c r="DK142" i="3"/>
  <c r="DL142" i="3"/>
  <c r="DM142" i="3"/>
  <c r="DN142" i="3"/>
  <c r="DO142" i="3"/>
  <c r="DP142" i="3"/>
  <c r="DQ142" i="3"/>
  <c r="DR142" i="3"/>
  <c r="DS142" i="3"/>
  <c r="DT142" i="3"/>
  <c r="DU142" i="3"/>
  <c r="DV142" i="3"/>
  <c r="DW142" i="3"/>
  <c r="DX142" i="3"/>
  <c r="DY142" i="3"/>
  <c r="DZ142" i="3"/>
  <c r="EA142" i="3"/>
  <c r="EB142" i="3"/>
  <c r="EC142" i="3"/>
  <c r="ED142" i="3"/>
  <c r="EE142" i="3"/>
  <c r="EF142" i="3"/>
  <c r="EG142" i="3"/>
  <c r="EH142" i="3"/>
  <c r="EI142" i="3"/>
  <c r="EJ142" i="3"/>
  <c r="EK142" i="3"/>
  <c r="EL142" i="3"/>
  <c r="EM142" i="3"/>
  <c r="EN142" i="3"/>
  <c r="EO142" i="3"/>
  <c r="EP142" i="3"/>
  <c r="EQ142" i="3"/>
  <c r="ER142" i="3"/>
  <c r="ES142" i="3"/>
  <c r="ET142" i="3"/>
  <c r="EU142" i="3"/>
  <c r="EV142" i="3"/>
  <c r="EW142" i="3"/>
  <c r="EX142" i="3"/>
  <c r="EY142" i="3"/>
  <c r="EZ142" i="3"/>
  <c r="FA142" i="3"/>
  <c r="FB142" i="3"/>
  <c r="FC142" i="3"/>
  <c r="FD142" i="3"/>
  <c r="FE142" i="3"/>
  <c r="FF142" i="3"/>
  <c r="FG142" i="3"/>
  <c r="FH142" i="3"/>
  <c r="FI142" i="3"/>
  <c r="FJ142" i="3"/>
  <c r="FK142" i="3"/>
  <c r="FL142" i="3"/>
  <c r="FM142" i="3"/>
  <c r="FN142" i="3"/>
  <c r="FO142" i="3"/>
  <c r="FP142" i="3"/>
  <c r="FQ142" i="3"/>
  <c r="FR142" i="3"/>
  <c r="FS142" i="3"/>
  <c r="FT142" i="3"/>
  <c r="FU142" i="3"/>
  <c r="FV142" i="3"/>
  <c r="FW142" i="3"/>
  <c r="FX142" i="3"/>
  <c r="FY142" i="3"/>
  <c r="FZ142" i="3"/>
  <c r="GA142" i="3"/>
  <c r="GB142" i="3"/>
  <c r="GC142" i="3"/>
  <c r="GD142" i="3"/>
  <c r="GE142" i="3"/>
  <c r="GF142" i="3"/>
  <c r="GG142" i="3"/>
  <c r="GH142" i="3"/>
  <c r="GI142" i="3"/>
  <c r="GJ142" i="3"/>
  <c r="GK142" i="3"/>
  <c r="GL142" i="3"/>
  <c r="GM142" i="3"/>
  <c r="GN142" i="3"/>
  <c r="GO142" i="3"/>
  <c r="GP142" i="3"/>
  <c r="GQ142" i="3"/>
  <c r="GR142" i="3"/>
  <c r="GS142" i="3"/>
  <c r="GT142" i="3"/>
  <c r="GU142" i="3"/>
  <c r="GV142" i="3"/>
  <c r="GW142" i="3"/>
  <c r="GX142" i="3"/>
  <c r="GY142" i="3"/>
  <c r="GZ142" i="3"/>
  <c r="HA142" i="3"/>
  <c r="HB142" i="3"/>
  <c r="HC142" i="3"/>
  <c r="HD142" i="3"/>
  <c r="HE142" i="3"/>
  <c r="HF142" i="3"/>
  <c r="HG142" i="3"/>
  <c r="HH142" i="3"/>
  <c r="HI142" i="3"/>
  <c r="HJ142" i="3"/>
  <c r="HK142" i="3"/>
  <c r="HL142" i="3"/>
  <c r="HM142" i="3"/>
  <c r="HN142" i="3"/>
  <c r="HO142" i="3"/>
  <c r="HP142" i="3"/>
  <c r="HQ142" i="3"/>
  <c r="HR142" i="3"/>
  <c r="HS142" i="3"/>
  <c r="HT142" i="3"/>
  <c r="HU142" i="3"/>
  <c r="HV142" i="3"/>
  <c r="HW142" i="3"/>
  <c r="HX142" i="3"/>
  <c r="HY142" i="3"/>
  <c r="HZ142" i="3"/>
  <c r="IA142" i="3"/>
  <c r="IB142" i="3"/>
  <c r="IC142" i="3"/>
  <c r="ID142" i="3"/>
  <c r="IE142" i="3"/>
  <c r="IF142" i="3"/>
  <c r="IG142" i="3"/>
  <c r="IH142" i="3"/>
  <c r="II142" i="3"/>
  <c r="IJ142" i="3"/>
  <c r="IK142" i="3"/>
  <c r="IL142" i="3"/>
  <c r="IM142" i="3"/>
  <c r="IN142" i="3"/>
  <c r="IO142" i="3"/>
  <c r="IP142" i="3"/>
  <c r="IQ142" i="3"/>
  <c r="IR142" i="3"/>
  <c r="IS142" i="3"/>
  <c r="IT142" i="3"/>
  <c r="IU142" i="3"/>
  <c r="IV142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DC141" i="3"/>
  <c r="DD141" i="3"/>
  <c r="DE141" i="3"/>
  <c r="DF141" i="3"/>
  <c r="DG141" i="3"/>
  <c r="DH141" i="3"/>
  <c r="DI141" i="3"/>
  <c r="DJ141" i="3"/>
  <c r="DK141" i="3"/>
  <c r="DL141" i="3"/>
  <c r="DM141" i="3"/>
  <c r="DN141" i="3"/>
  <c r="DO141" i="3"/>
  <c r="DP141" i="3"/>
  <c r="DQ141" i="3"/>
  <c r="DR141" i="3"/>
  <c r="DS141" i="3"/>
  <c r="DT141" i="3"/>
  <c r="DU141" i="3"/>
  <c r="DV141" i="3"/>
  <c r="DW141" i="3"/>
  <c r="DX141" i="3"/>
  <c r="DY141" i="3"/>
  <c r="DZ141" i="3"/>
  <c r="EA141" i="3"/>
  <c r="EB141" i="3"/>
  <c r="EC141" i="3"/>
  <c r="ED141" i="3"/>
  <c r="EE141" i="3"/>
  <c r="EF141" i="3"/>
  <c r="EG141" i="3"/>
  <c r="EH141" i="3"/>
  <c r="EI141" i="3"/>
  <c r="EJ141" i="3"/>
  <c r="EK141" i="3"/>
  <c r="EL141" i="3"/>
  <c r="EM141" i="3"/>
  <c r="EN141" i="3"/>
  <c r="EO141" i="3"/>
  <c r="EP141" i="3"/>
  <c r="EQ141" i="3"/>
  <c r="ER141" i="3"/>
  <c r="ES141" i="3"/>
  <c r="ET141" i="3"/>
  <c r="EU141" i="3"/>
  <c r="EV141" i="3"/>
  <c r="EW141" i="3"/>
  <c r="EX141" i="3"/>
  <c r="EY141" i="3"/>
  <c r="EZ141" i="3"/>
  <c r="FA141" i="3"/>
  <c r="FB141" i="3"/>
  <c r="FC141" i="3"/>
  <c r="FD141" i="3"/>
  <c r="FE141" i="3"/>
  <c r="FF141" i="3"/>
  <c r="FG141" i="3"/>
  <c r="FH141" i="3"/>
  <c r="FI141" i="3"/>
  <c r="FJ141" i="3"/>
  <c r="FK141" i="3"/>
  <c r="FL141" i="3"/>
  <c r="FM141" i="3"/>
  <c r="FN141" i="3"/>
  <c r="FO141" i="3"/>
  <c r="FP141" i="3"/>
  <c r="FQ141" i="3"/>
  <c r="FR141" i="3"/>
  <c r="FS141" i="3"/>
  <c r="FT141" i="3"/>
  <c r="FU141" i="3"/>
  <c r="FV141" i="3"/>
  <c r="FW141" i="3"/>
  <c r="FX141" i="3"/>
  <c r="FY141" i="3"/>
  <c r="FZ141" i="3"/>
  <c r="GA141" i="3"/>
  <c r="GB141" i="3"/>
  <c r="GC141" i="3"/>
  <c r="GD141" i="3"/>
  <c r="GE141" i="3"/>
  <c r="GF141" i="3"/>
  <c r="GG141" i="3"/>
  <c r="GH141" i="3"/>
  <c r="GI141" i="3"/>
  <c r="GJ141" i="3"/>
  <c r="GK141" i="3"/>
  <c r="GL141" i="3"/>
  <c r="GM141" i="3"/>
  <c r="GN141" i="3"/>
  <c r="GO141" i="3"/>
  <c r="GP141" i="3"/>
  <c r="GQ141" i="3"/>
  <c r="GR141" i="3"/>
  <c r="GS141" i="3"/>
  <c r="GT141" i="3"/>
  <c r="GU141" i="3"/>
  <c r="GV141" i="3"/>
  <c r="GW141" i="3"/>
  <c r="GX141" i="3"/>
  <c r="GY141" i="3"/>
  <c r="GZ141" i="3"/>
  <c r="HA141" i="3"/>
  <c r="HB141" i="3"/>
  <c r="HC141" i="3"/>
  <c r="HD141" i="3"/>
  <c r="HE141" i="3"/>
  <c r="HF141" i="3"/>
  <c r="HG141" i="3"/>
  <c r="HH141" i="3"/>
  <c r="HI141" i="3"/>
  <c r="HJ141" i="3"/>
  <c r="HK141" i="3"/>
  <c r="HL141" i="3"/>
  <c r="HM141" i="3"/>
  <c r="HN141" i="3"/>
  <c r="HO141" i="3"/>
  <c r="HP141" i="3"/>
  <c r="HQ141" i="3"/>
  <c r="HR141" i="3"/>
  <c r="HS141" i="3"/>
  <c r="HT141" i="3"/>
  <c r="HU141" i="3"/>
  <c r="HV141" i="3"/>
  <c r="HW141" i="3"/>
  <c r="HX141" i="3"/>
  <c r="HY141" i="3"/>
  <c r="HZ141" i="3"/>
  <c r="IA141" i="3"/>
  <c r="IB141" i="3"/>
  <c r="IC141" i="3"/>
  <c r="ID141" i="3"/>
  <c r="IE141" i="3"/>
  <c r="IF141" i="3"/>
  <c r="IG141" i="3"/>
  <c r="IH141" i="3"/>
  <c r="II141" i="3"/>
  <c r="IJ141" i="3"/>
  <c r="IK141" i="3"/>
  <c r="IL141" i="3"/>
  <c r="IM141" i="3"/>
  <c r="IN141" i="3"/>
  <c r="IO141" i="3"/>
  <c r="IP141" i="3"/>
  <c r="IQ141" i="3"/>
  <c r="IR141" i="3"/>
  <c r="IS141" i="3"/>
  <c r="IT141" i="3"/>
  <c r="IU141" i="3"/>
  <c r="IV141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DC140" i="3"/>
  <c r="DD140" i="3"/>
  <c r="DE140" i="3"/>
  <c r="DF140" i="3"/>
  <c r="DG140" i="3"/>
  <c r="DH140" i="3"/>
  <c r="DI140" i="3"/>
  <c r="DJ140" i="3"/>
  <c r="DK140" i="3"/>
  <c r="DL140" i="3"/>
  <c r="DM140" i="3"/>
  <c r="DN140" i="3"/>
  <c r="DO140" i="3"/>
  <c r="DP140" i="3"/>
  <c r="DQ140" i="3"/>
  <c r="DR140" i="3"/>
  <c r="DS140" i="3"/>
  <c r="DT140" i="3"/>
  <c r="DU140" i="3"/>
  <c r="DV140" i="3"/>
  <c r="DW140" i="3"/>
  <c r="DX140" i="3"/>
  <c r="DY140" i="3"/>
  <c r="DZ140" i="3"/>
  <c r="EA140" i="3"/>
  <c r="EB140" i="3"/>
  <c r="EC140" i="3"/>
  <c r="ED140" i="3"/>
  <c r="EE140" i="3"/>
  <c r="EF140" i="3"/>
  <c r="EG140" i="3"/>
  <c r="EH140" i="3"/>
  <c r="EI140" i="3"/>
  <c r="EJ140" i="3"/>
  <c r="EK140" i="3"/>
  <c r="EL140" i="3"/>
  <c r="EM140" i="3"/>
  <c r="EN140" i="3"/>
  <c r="EO140" i="3"/>
  <c r="EP140" i="3"/>
  <c r="EQ140" i="3"/>
  <c r="ER140" i="3"/>
  <c r="ES140" i="3"/>
  <c r="ET140" i="3"/>
  <c r="EU140" i="3"/>
  <c r="EV140" i="3"/>
  <c r="EW140" i="3"/>
  <c r="EX140" i="3"/>
  <c r="EY140" i="3"/>
  <c r="EZ140" i="3"/>
  <c r="FA140" i="3"/>
  <c r="FB140" i="3"/>
  <c r="FC140" i="3"/>
  <c r="FD140" i="3"/>
  <c r="FE140" i="3"/>
  <c r="FF140" i="3"/>
  <c r="FG140" i="3"/>
  <c r="FH140" i="3"/>
  <c r="FI140" i="3"/>
  <c r="FJ140" i="3"/>
  <c r="FK140" i="3"/>
  <c r="FL140" i="3"/>
  <c r="FM140" i="3"/>
  <c r="FN140" i="3"/>
  <c r="FO140" i="3"/>
  <c r="FP140" i="3"/>
  <c r="FQ140" i="3"/>
  <c r="FR140" i="3"/>
  <c r="FS140" i="3"/>
  <c r="FT140" i="3"/>
  <c r="FU140" i="3"/>
  <c r="FV140" i="3"/>
  <c r="FW140" i="3"/>
  <c r="FX140" i="3"/>
  <c r="FY140" i="3"/>
  <c r="FZ140" i="3"/>
  <c r="GA140" i="3"/>
  <c r="GB140" i="3"/>
  <c r="GC140" i="3"/>
  <c r="GD140" i="3"/>
  <c r="GE140" i="3"/>
  <c r="GF140" i="3"/>
  <c r="GG140" i="3"/>
  <c r="GH140" i="3"/>
  <c r="GI140" i="3"/>
  <c r="GJ140" i="3"/>
  <c r="GK140" i="3"/>
  <c r="GL140" i="3"/>
  <c r="GM140" i="3"/>
  <c r="GN140" i="3"/>
  <c r="GO140" i="3"/>
  <c r="GP140" i="3"/>
  <c r="GQ140" i="3"/>
  <c r="GR140" i="3"/>
  <c r="GS140" i="3"/>
  <c r="GT140" i="3"/>
  <c r="GU140" i="3"/>
  <c r="GV140" i="3"/>
  <c r="GW140" i="3"/>
  <c r="GX140" i="3"/>
  <c r="GY140" i="3"/>
  <c r="GZ140" i="3"/>
  <c r="HA140" i="3"/>
  <c r="HB140" i="3"/>
  <c r="HC140" i="3"/>
  <c r="HD140" i="3"/>
  <c r="HE140" i="3"/>
  <c r="HF140" i="3"/>
  <c r="HG140" i="3"/>
  <c r="HH140" i="3"/>
  <c r="HI140" i="3"/>
  <c r="HJ140" i="3"/>
  <c r="HK140" i="3"/>
  <c r="HL140" i="3"/>
  <c r="HM140" i="3"/>
  <c r="HN140" i="3"/>
  <c r="HO140" i="3"/>
  <c r="HP140" i="3"/>
  <c r="HQ140" i="3"/>
  <c r="HR140" i="3"/>
  <c r="HS140" i="3"/>
  <c r="HT140" i="3"/>
  <c r="HU140" i="3"/>
  <c r="HV140" i="3"/>
  <c r="HW140" i="3"/>
  <c r="HX140" i="3"/>
  <c r="HY140" i="3"/>
  <c r="HZ140" i="3"/>
  <c r="IA140" i="3"/>
  <c r="IB140" i="3"/>
  <c r="IC140" i="3"/>
  <c r="ID140" i="3"/>
  <c r="IE140" i="3"/>
  <c r="IF140" i="3"/>
  <c r="IG140" i="3"/>
  <c r="IH140" i="3"/>
  <c r="II140" i="3"/>
  <c r="IJ140" i="3"/>
  <c r="IK140" i="3"/>
  <c r="IL140" i="3"/>
  <c r="IM140" i="3"/>
  <c r="IN140" i="3"/>
  <c r="IO140" i="3"/>
  <c r="IP140" i="3"/>
  <c r="IQ140" i="3"/>
  <c r="IR140" i="3"/>
  <c r="IS140" i="3"/>
  <c r="IT140" i="3"/>
  <c r="IU140" i="3"/>
  <c r="IV140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DC139" i="3"/>
  <c r="DD139" i="3"/>
  <c r="DE139" i="3"/>
  <c r="DF139" i="3"/>
  <c r="DG139" i="3"/>
  <c r="DH139" i="3"/>
  <c r="DI139" i="3"/>
  <c r="DJ139" i="3"/>
  <c r="DK139" i="3"/>
  <c r="DL139" i="3"/>
  <c r="DM139" i="3"/>
  <c r="DN139" i="3"/>
  <c r="DO139" i="3"/>
  <c r="DP139" i="3"/>
  <c r="DQ139" i="3"/>
  <c r="DR139" i="3"/>
  <c r="DS139" i="3"/>
  <c r="DT139" i="3"/>
  <c r="DU139" i="3"/>
  <c r="DV139" i="3"/>
  <c r="DW139" i="3"/>
  <c r="DX139" i="3"/>
  <c r="DY139" i="3"/>
  <c r="DZ139" i="3"/>
  <c r="EA139" i="3"/>
  <c r="EB139" i="3"/>
  <c r="EC139" i="3"/>
  <c r="ED139" i="3"/>
  <c r="EE139" i="3"/>
  <c r="EF139" i="3"/>
  <c r="EG139" i="3"/>
  <c r="EH139" i="3"/>
  <c r="EI139" i="3"/>
  <c r="EJ139" i="3"/>
  <c r="EK139" i="3"/>
  <c r="EL139" i="3"/>
  <c r="EM139" i="3"/>
  <c r="EN139" i="3"/>
  <c r="EO139" i="3"/>
  <c r="EP139" i="3"/>
  <c r="EQ139" i="3"/>
  <c r="ER139" i="3"/>
  <c r="ES139" i="3"/>
  <c r="ET139" i="3"/>
  <c r="EU139" i="3"/>
  <c r="EV139" i="3"/>
  <c r="EW139" i="3"/>
  <c r="EX139" i="3"/>
  <c r="EY139" i="3"/>
  <c r="EZ139" i="3"/>
  <c r="FA139" i="3"/>
  <c r="FB139" i="3"/>
  <c r="FC139" i="3"/>
  <c r="FD139" i="3"/>
  <c r="FE139" i="3"/>
  <c r="FF139" i="3"/>
  <c r="FG139" i="3"/>
  <c r="FH139" i="3"/>
  <c r="FI139" i="3"/>
  <c r="FJ139" i="3"/>
  <c r="FK139" i="3"/>
  <c r="FL139" i="3"/>
  <c r="FM139" i="3"/>
  <c r="FN139" i="3"/>
  <c r="FO139" i="3"/>
  <c r="FP139" i="3"/>
  <c r="FQ139" i="3"/>
  <c r="FR139" i="3"/>
  <c r="FS139" i="3"/>
  <c r="FT139" i="3"/>
  <c r="FU139" i="3"/>
  <c r="FV139" i="3"/>
  <c r="FW139" i="3"/>
  <c r="FX139" i="3"/>
  <c r="FY139" i="3"/>
  <c r="FZ139" i="3"/>
  <c r="GA139" i="3"/>
  <c r="GB139" i="3"/>
  <c r="GC139" i="3"/>
  <c r="GD139" i="3"/>
  <c r="GE139" i="3"/>
  <c r="GF139" i="3"/>
  <c r="GG139" i="3"/>
  <c r="GH139" i="3"/>
  <c r="GI139" i="3"/>
  <c r="GJ139" i="3"/>
  <c r="GK139" i="3"/>
  <c r="GL139" i="3"/>
  <c r="GM139" i="3"/>
  <c r="GN139" i="3"/>
  <c r="GO139" i="3"/>
  <c r="GP139" i="3"/>
  <c r="GQ139" i="3"/>
  <c r="GR139" i="3"/>
  <c r="GS139" i="3"/>
  <c r="GT139" i="3"/>
  <c r="GU139" i="3"/>
  <c r="GV139" i="3"/>
  <c r="GW139" i="3"/>
  <c r="GX139" i="3"/>
  <c r="GY139" i="3"/>
  <c r="GZ139" i="3"/>
  <c r="HA139" i="3"/>
  <c r="HB139" i="3"/>
  <c r="HC139" i="3"/>
  <c r="HD139" i="3"/>
  <c r="HE139" i="3"/>
  <c r="HF139" i="3"/>
  <c r="HG139" i="3"/>
  <c r="HH139" i="3"/>
  <c r="HI139" i="3"/>
  <c r="HJ139" i="3"/>
  <c r="HK139" i="3"/>
  <c r="HL139" i="3"/>
  <c r="HM139" i="3"/>
  <c r="HN139" i="3"/>
  <c r="HO139" i="3"/>
  <c r="HP139" i="3"/>
  <c r="HQ139" i="3"/>
  <c r="HR139" i="3"/>
  <c r="HS139" i="3"/>
  <c r="HT139" i="3"/>
  <c r="HU139" i="3"/>
  <c r="HV139" i="3"/>
  <c r="HW139" i="3"/>
  <c r="HX139" i="3"/>
  <c r="HY139" i="3"/>
  <c r="HZ139" i="3"/>
  <c r="IA139" i="3"/>
  <c r="IB139" i="3"/>
  <c r="IC139" i="3"/>
  <c r="ID139" i="3"/>
  <c r="IE139" i="3"/>
  <c r="IF139" i="3"/>
  <c r="IG139" i="3"/>
  <c r="IH139" i="3"/>
  <c r="II139" i="3"/>
  <c r="IJ139" i="3"/>
  <c r="IK139" i="3"/>
  <c r="IL139" i="3"/>
  <c r="IM139" i="3"/>
  <c r="IN139" i="3"/>
  <c r="IO139" i="3"/>
  <c r="IP139" i="3"/>
  <c r="IQ139" i="3"/>
  <c r="IR139" i="3"/>
  <c r="IS139" i="3"/>
  <c r="IT139" i="3"/>
  <c r="IU139" i="3"/>
  <c r="IV139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DC138" i="3"/>
  <c r="DD138" i="3"/>
  <c r="DE138" i="3"/>
  <c r="DF138" i="3"/>
  <c r="DG138" i="3"/>
  <c r="DH138" i="3"/>
  <c r="DI138" i="3"/>
  <c r="DJ138" i="3"/>
  <c r="DK138" i="3"/>
  <c r="DL138" i="3"/>
  <c r="DM138" i="3"/>
  <c r="DN138" i="3"/>
  <c r="DO138" i="3"/>
  <c r="DP138" i="3"/>
  <c r="DQ138" i="3"/>
  <c r="DR138" i="3"/>
  <c r="DS138" i="3"/>
  <c r="DT138" i="3"/>
  <c r="DU138" i="3"/>
  <c r="DV138" i="3"/>
  <c r="DW138" i="3"/>
  <c r="DX138" i="3"/>
  <c r="DY138" i="3"/>
  <c r="DZ138" i="3"/>
  <c r="EA138" i="3"/>
  <c r="EB138" i="3"/>
  <c r="EC138" i="3"/>
  <c r="ED138" i="3"/>
  <c r="EE138" i="3"/>
  <c r="EF138" i="3"/>
  <c r="EG138" i="3"/>
  <c r="EH138" i="3"/>
  <c r="EI138" i="3"/>
  <c r="EJ138" i="3"/>
  <c r="EK138" i="3"/>
  <c r="EL138" i="3"/>
  <c r="EM138" i="3"/>
  <c r="EN138" i="3"/>
  <c r="EO138" i="3"/>
  <c r="EP138" i="3"/>
  <c r="EQ138" i="3"/>
  <c r="ER138" i="3"/>
  <c r="ES138" i="3"/>
  <c r="ET138" i="3"/>
  <c r="EU138" i="3"/>
  <c r="EV138" i="3"/>
  <c r="EW138" i="3"/>
  <c r="EX138" i="3"/>
  <c r="EY138" i="3"/>
  <c r="EZ138" i="3"/>
  <c r="FA138" i="3"/>
  <c r="FB138" i="3"/>
  <c r="FC138" i="3"/>
  <c r="FD138" i="3"/>
  <c r="FE138" i="3"/>
  <c r="FF138" i="3"/>
  <c r="FG138" i="3"/>
  <c r="FH138" i="3"/>
  <c r="FI138" i="3"/>
  <c r="FJ138" i="3"/>
  <c r="FK138" i="3"/>
  <c r="FL138" i="3"/>
  <c r="FM138" i="3"/>
  <c r="FN138" i="3"/>
  <c r="FO138" i="3"/>
  <c r="FP138" i="3"/>
  <c r="FQ138" i="3"/>
  <c r="FR138" i="3"/>
  <c r="FS138" i="3"/>
  <c r="FT138" i="3"/>
  <c r="FU138" i="3"/>
  <c r="FV138" i="3"/>
  <c r="FW138" i="3"/>
  <c r="FX138" i="3"/>
  <c r="FY138" i="3"/>
  <c r="FZ138" i="3"/>
  <c r="GA138" i="3"/>
  <c r="GB138" i="3"/>
  <c r="GC138" i="3"/>
  <c r="GD138" i="3"/>
  <c r="GE138" i="3"/>
  <c r="GF138" i="3"/>
  <c r="GG138" i="3"/>
  <c r="GH138" i="3"/>
  <c r="GI138" i="3"/>
  <c r="GJ138" i="3"/>
  <c r="GK138" i="3"/>
  <c r="GL138" i="3"/>
  <c r="GM138" i="3"/>
  <c r="GN138" i="3"/>
  <c r="GO138" i="3"/>
  <c r="GP138" i="3"/>
  <c r="GQ138" i="3"/>
  <c r="GR138" i="3"/>
  <c r="GS138" i="3"/>
  <c r="GT138" i="3"/>
  <c r="GU138" i="3"/>
  <c r="GV138" i="3"/>
  <c r="GW138" i="3"/>
  <c r="GX138" i="3"/>
  <c r="GY138" i="3"/>
  <c r="GZ138" i="3"/>
  <c r="HA138" i="3"/>
  <c r="HB138" i="3"/>
  <c r="HC138" i="3"/>
  <c r="HD138" i="3"/>
  <c r="HE138" i="3"/>
  <c r="HF138" i="3"/>
  <c r="HG138" i="3"/>
  <c r="HH138" i="3"/>
  <c r="HI138" i="3"/>
  <c r="HJ138" i="3"/>
  <c r="HK138" i="3"/>
  <c r="HL138" i="3"/>
  <c r="HM138" i="3"/>
  <c r="HN138" i="3"/>
  <c r="HO138" i="3"/>
  <c r="HP138" i="3"/>
  <c r="HQ138" i="3"/>
  <c r="HR138" i="3"/>
  <c r="HS138" i="3"/>
  <c r="HT138" i="3"/>
  <c r="HU138" i="3"/>
  <c r="HV138" i="3"/>
  <c r="HW138" i="3"/>
  <c r="HX138" i="3"/>
  <c r="HY138" i="3"/>
  <c r="HZ138" i="3"/>
  <c r="IA138" i="3"/>
  <c r="IB138" i="3"/>
  <c r="IC138" i="3"/>
  <c r="ID138" i="3"/>
  <c r="IE138" i="3"/>
  <c r="IF138" i="3"/>
  <c r="IG138" i="3"/>
  <c r="IH138" i="3"/>
  <c r="II138" i="3"/>
  <c r="IJ138" i="3"/>
  <c r="IK138" i="3"/>
  <c r="IL138" i="3"/>
  <c r="IM138" i="3"/>
  <c r="IN138" i="3"/>
  <c r="IO138" i="3"/>
  <c r="IP138" i="3"/>
  <c r="IQ138" i="3"/>
  <c r="IR138" i="3"/>
  <c r="IS138" i="3"/>
  <c r="IT138" i="3"/>
  <c r="IU138" i="3"/>
  <c r="IV138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DC137" i="3"/>
  <c r="DD137" i="3"/>
  <c r="DE137" i="3"/>
  <c r="DF137" i="3"/>
  <c r="DG137" i="3"/>
  <c r="DH137" i="3"/>
  <c r="DI137" i="3"/>
  <c r="DJ137" i="3"/>
  <c r="DK137" i="3"/>
  <c r="DL137" i="3"/>
  <c r="DM137" i="3"/>
  <c r="DN137" i="3"/>
  <c r="DO137" i="3"/>
  <c r="DP137" i="3"/>
  <c r="DQ137" i="3"/>
  <c r="DR137" i="3"/>
  <c r="DS137" i="3"/>
  <c r="DT137" i="3"/>
  <c r="DU137" i="3"/>
  <c r="DV137" i="3"/>
  <c r="DW137" i="3"/>
  <c r="DX137" i="3"/>
  <c r="DY137" i="3"/>
  <c r="DZ137" i="3"/>
  <c r="EA137" i="3"/>
  <c r="EB137" i="3"/>
  <c r="EC137" i="3"/>
  <c r="ED137" i="3"/>
  <c r="EE137" i="3"/>
  <c r="EF137" i="3"/>
  <c r="EG137" i="3"/>
  <c r="EH137" i="3"/>
  <c r="EI137" i="3"/>
  <c r="EJ137" i="3"/>
  <c r="EK137" i="3"/>
  <c r="EL137" i="3"/>
  <c r="EM137" i="3"/>
  <c r="EN137" i="3"/>
  <c r="EO137" i="3"/>
  <c r="EP137" i="3"/>
  <c r="EQ137" i="3"/>
  <c r="ER137" i="3"/>
  <c r="ES137" i="3"/>
  <c r="ET137" i="3"/>
  <c r="EU137" i="3"/>
  <c r="EV137" i="3"/>
  <c r="EW137" i="3"/>
  <c r="EX137" i="3"/>
  <c r="EY137" i="3"/>
  <c r="EZ137" i="3"/>
  <c r="FA137" i="3"/>
  <c r="FB137" i="3"/>
  <c r="FC137" i="3"/>
  <c r="FD137" i="3"/>
  <c r="FE137" i="3"/>
  <c r="FF137" i="3"/>
  <c r="FG137" i="3"/>
  <c r="FH137" i="3"/>
  <c r="FI137" i="3"/>
  <c r="FJ137" i="3"/>
  <c r="FK137" i="3"/>
  <c r="FL137" i="3"/>
  <c r="FM137" i="3"/>
  <c r="FN137" i="3"/>
  <c r="FO137" i="3"/>
  <c r="FP137" i="3"/>
  <c r="FQ137" i="3"/>
  <c r="FR137" i="3"/>
  <c r="FS137" i="3"/>
  <c r="FT137" i="3"/>
  <c r="FU137" i="3"/>
  <c r="FV137" i="3"/>
  <c r="FW137" i="3"/>
  <c r="FX137" i="3"/>
  <c r="FY137" i="3"/>
  <c r="FZ137" i="3"/>
  <c r="GA137" i="3"/>
  <c r="GB137" i="3"/>
  <c r="GC137" i="3"/>
  <c r="GD137" i="3"/>
  <c r="GE137" i="3"/>
  <c r="GF137" i="3"/>
  <c r="GG137" i="3"/>
  <c r="GH137" i="3"/>
  <c r="GI137" i="3"/>
  <c r="GJ137" i="3"/>
  <c r="GK137" i="3"/>
  <c r="GL137" i="3"/>
  <c r="GM137" i="3"/>
  <c r="GN137" i="3"/>
  <c r="GO137" i="3"/>
  <c r="GP137" i="3"/>
  <c r="GQ137" i="3"/>
  <c r="GR137" i="3"/>
  <c r="GS137" i="3"/>
  <c r="GT137" i="3"/>
  <c r="GU137" i="3"/>
  <c r="GV137" i="3"/>
  <c r="GW137" i="3"/>
  <c r="GX137" i="3"/>
  <c r="GY137" i="3"/>
  <c r="GZ137" i="3"/>
  <c r="HA137" i="3"/>
  <c r="HB137" i="3"/>
  <c r="HC137" i="3"/>
  <c r="HD137" i="3"/>
  <c r="HE137" i="3"/>
  <c r="HF137" i="3"/>
  <c r="HG137" i="3"/>
  <c r="HH137" i="3"/>
  <c r="HI137" i="3"/>
  <c r="HJ137" i="3"/>
  <c r="HK137" i="3"/>
  <c r="HL137" i="3"/>
  <c r="HM137" i="3"/>
  <c r="HN137" i="3"/>
  <c r="HO137" i="3"/>
  <c r="HP137" i="3"/>
  <c r="HQ137" i="3"/>
  <c r="HR137" i="3"/>
  <c r="HS137" i="3"/>
  <c r="HT137" i="3"/>
  <c r="HU137" i="3"/>
  <c r="HV137" i="3"/>
  <c r="HW137" i="3"/>
  <c r="HX137" i="3"/>
  <c r="HY137" i="3"/>
  <c r="HZ137" i="3"/>
  <c r="IA137" i="3"/>
  <c r="IB137" i="3"/>
  <c r="IC137" i="3"/>
  <c r="ID137" i="3"/>
  <c r="IE137" i="3"/>
  <c r="IF137" i="3"/>
  <c r="IG137" i="3"/>
  <c r="IH137" i="3"/>
  <c r="II137" i="3"/>
  <c r="IJ137" i="3"/>
  <c r="IK137" i="3"/>
  <c r="IL137" i="3"/>
  <c r="IM137" i="3"/>
  <c r="IN137" i="3"/>
  <c r="IO137" i="3"/>
  <c r="IP137" i="3"/>
  <c r="IQ137" i="3"/>
  <c r="IR137" i="3"/>
  <c r="IS137" i="3"/>
  <c r="IT137" i="3"/>
  <c r="IU137" i="3"/>
  <c r="IV137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DC136" i="3"/>
  <c r="DD136" i="3"/>
  <c r="DE136" i="3"/>
  <c r="DF136" i="3"/>
  <c r="DG136" i="3"/>
  <c r="DH136" i="3"/>
  <c r="DI136" i="3"/>
  <c r="DJ136" i="3"/>
  <c r="DK136" i="3"/>
  <c r="DL136" i="3"/>
  <c r="DM136" i="3"/>
  <c r="DN136" i="3"/>
  <c r="DO136" i="3"/>
  <c r="DP136" i="3"/>
  <c r="DQ136" i="3"/>
  <c r="DR136" i="3"/>
  <c r="DS136" i="3"/>
  <c r="DT136" i="3"/>
  <c r="DU136" i="3"/>
  <c r="DV136" i="3"/>
  <c r="DW136" i="3"/>
  <c r="DX136" i="3"/>
  <c r="DY136" i="3"/>
  <c r="DZ136" i="3"/>
  <c r="EA136" i="3"/>
  <c r="EB136" i="3"/>
  <c r="EC136" i="3"/>
  <c r="ED136" i="3"/>
  <c r="EE136" i="3"/>
  <c r="EF136" i="3"/>
  <c r="EG136" i="3"/>
  <c r="EH136" i="3"/>
  <c r="EI136" i="3"/>
  <c r="EJ136" i="3"/>
  <c r="EK136" i="3"/>
  <c r="EL136" i="3"/>
  <c r="EM136" i="3"/>
  <c r="EN136" i="3"/>
  <c r="EO136" i="3"/>
  <c r="EP136" i="3"/>
  <c r="EQ136" i="3"/>
  <c r="ER136" i="3"/>
  <c r="ES136" i="3"/>
  <c r="ET136" i="3"/>
  <c r="EU136" i="3"/>
  <c r="EV136" i="3"/>
  <c r="EW136" i="3"/>
  <c r="EX136" i="3"/>
  <c r="EY136" i="3"/>
  <c r="EZ136" i="3"/>
  <c r="FA136" i="3"/>
  <c r="FB136" i="3"/>
  <c r="FC136" i="3"/>
  <c r="FD136" i="3"/>
  <c r="FE136" i="3"/>
  <c r="FF136" i="3"/>
  <c r="FG136" i="3"/>
  <c r="FH136" i="3"/>
  <c r="FI136" i="3"/>
  <c r="FJ136" i="3"/>
  <c r="FK136" i="3"/>
  <c r="FL136" i="3"/>
  <c r="FM136" i="3"/>
  <c r="FN136" i="3"/>
  <c r="FO136" i="3"/>
  <c r="FP136" i="3"/>
  <c r="FQ136" i="3"/>
  <c r="FR136" i="3"/>
  <c r="FS136" i="3"/>
  <c r="FT136" i="3"/>
  <c r="FU136" i="3"/>
  <c r="FV136" i="3"/>
  <c r="FW136" i="3"/>
  <c r="FX136" i="3"/>
  <c r="FY136" i="3"/>
  <c r="FZ136" i="3"/>
  <c r="GA136" i="3"/>
  <c r="GB136" i="3"/>
  <c r="GC136" i="3"/>
  <c r="GD136" i="3"/>
  <c r="GE136" i="3"/>
  <c r="GF136" i="3"/>
  <c r="GG136" i="3"/>
  <c r="GH136" i="3"/>
  <c r="GI136" i="3"/>
  <c r="GJ136" i="3"/>
  <c r="GK136" i="3"/>
  <c r="GL136" i="3"/>
  <c r="GM136" i="3"/>
  <c r="GN136" i="3"/>
  <c r="GO136" i="3"/>
  <c r="GP136" i="3"/>
  <c r="GQ136" i="3"/>
  <c r="GR136" i="3"/>
  <c r="GS136" i="3"/>
  <c r="GT136" i="3"/>
  <c r="GU136" i="3"/>
  <c r="GV136" i="3"/>
  <c r="GW136" i="3"/>
  <c r="GX136" i="3"/>
  <c r="GY136" i="3"/>
  <c r="GZ136" i="3"/>
  <c r="HA136" i="3"/>
  <c r="HB136" i="3"/>
  <c r="HC136" i="3"/>
  <c r="HD136" i="3"/>
  <c r="HE136" i="3"/>
  <c r="HF136" i="3"/>
  <c r="HG136" i="3"/>
  <c r="HH136" i="3"/>
  <c r="HI136" i="3"/>
  <c r="HJ136" i="3"/>
  <c r="HK136" i="3"/>
  <c r="HL136" i="3"/>
  <c r="HM136" i="3"/>
  <c r="HN136" i="3"/>
  <c r="HO136" i="3"/>
  <c r="HP136" i="3"/>
  <c r="HQ136" i="3"/>
  <c r="HR136" i="3"/>
  <c r="HS136" i="3"/>
  <c r="HT136" i="3"/>
  <c r="HU136" i="3"/>
  <c r="HV136" i="3"/>
  <c r="HW136" i="3"/>
  <c r="HX136" i="3"/>
  <c r="HY136" i="3"/>
  <c r="HZ136" i="3"/>
  <c r="IA136" i="3"/>
  <c r="IB136" i="3"/>
  <c r="IC136" i="3"/>
  <c r="ID136" i="3"/>
  <c r="IE136" i="3"/>
  <c r="IF136" i="3"/>
  <c r="IG136" i="3"/>
  <c r="IH136" i="3"/>
  <c r="II136" i="3"/>
  <c r="IJ136" i="3"/>
  <c r="IK136" i="3"/>
  <c r="IL136" i="3"/>
  <c r="IM136" i="3"/>
  <c r="IN136" i="3"/>
  <c r="IO136" i="3"/>
  <c r="IP136" i="3"/>
  <c r="IQ136" i="3"/>
  <c r="IR136" i="3"/>
  <c r="IS136" i="3"/>
  <c r="IT136" i="3"/>
  <c r="IU136" i="3"/>
  <c r="IV136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DC135" i="3"/>
  <c r="DD135" i="3"/>
  <c r="DE135" i="3"/>
  <c r="DF135" i="3"/>
  <c r="DG135" i="3"/>
  <c r="DH135" i="3"/>
  <c r="DI135" i="3"/>
  <c r="DJ135" i="3"/>
  <c r="DK135" i="3"/>
  <c r="DL135" i="3"/>
  <c r="DM135" i="3"/>
  <c r="DN135" i="3"/>
  <c r="DO135" i="3"/>
  <c r="DP135" i="3"/>
  <c r="DQ135" i="3"/>
  <c r="DR135" i="3"/>
  <c r="DS135" i="3"/>
  <c r="DT135" i="3"/>
  <c r="DU135" i="3"/>
  <c r="DV135" i="3"/>
  <c r="DW135" i="3"/>
  <c r="DX135" i="3"/>
  <c r="DY135" i="3"/>
  <c r="DZ135" i="3"/>
  <c r="EA135" i="3"/>
  <c r="EB135" i="3"/>
  <c r="EC135" i="3"/>
  <c r="ED135" i="3"/>
  <c r="EE135" i="3"/>
  <c r="EF135" i="3"/>
  <c r="EG135" i="3"/>
  <c r="EH135" i="3"/>
  <c r="EI135" i="3"/>
  <c r="EJ135" i="3"/>
  <c r="EK135" i="3"/>
  <c r="EL135" i="3"/>
  <c r="EM135" i="3"/>
  <c r="EN135" i="3"/>
  <c r="EO135" i="3"/>
  <c r="EP135" i="3"/>
  <c r="EQ135" i="3"/>
  <c r="ER135" i="3"/>
  <c r="ES135" i="3"/>
  <c r="ET135" i="3"/>
  <c r="EU135" i="3"/>
  <c r="EV135" i="3"/>
  <c r="EW135" i="3"/>
  <c r="EX135" i="3"/>
  <c r="EY135" i="3"/>
  <c r="EZ135" i="3"/>
  <c r="FA135" i="3"/>
  <c r="FB135" i="3"/>
  <c r="FC135" i="3"/>
  <c r="FD135" i="3"/>
  <c r="FE135" i="3"/>
  <c r="FF135" i="3"/>
  <c r="FG135" i="3"/>
  <c r="FH135" i="3"/>
  <c r="FI135" i="3"/>
  <c r="FJ135" i="3"/>
  <c r="FK135" i="3"/>
  <c r="FL135" i="3"/>
  <c r="FM135" i="3"/>
  <c r="FN135" i="3"/>
  <c r="FO135" i="3"/>
  <c r="FP135" i="3"/>
  <c r="FQ135" i="3"/>
  <c r="FR135" i="3"/>
  <c r="FS135" i="3"/>
  <c r="FT135" i="3"/>
  <c r="FU135" i="3"/>
  <c r="FV135" i="3"/>
  <c r="FW135" i="3"/>
  <c r="FX135" i="3"/>
  <c r="FY135" i="3"/>
  <c r="FZ135" i="3"/>
  <c r="GA135" i="3"/>
  <c r="GB135" i="3"/>
  <c r="GC135" i="3"/>
  <c r="GD135" i="3"/>
  <c r="GE135" i="3"/>
  <c r="GF135" i="3"/>
  <c r="GG135" i="3"/>
  <c r="GH135" i="3"/>
  <c r="GI135" i="3"/>
  <c r="GJ135" i="3"/>
  <c r="GK135" i="3"/>
  <c r="GL135" i="3"/>
  <c r="GM135" i="3"/>
  <c r="GN135" i="3"/>
  <c r="GO135" i="3"/>
  <c r="GP135" i="3"/>
  <c r="GQ135" i="3"/>
  <c r="GR135" i="3"/>
  <c r="GS135" i="3"/>
  <c r="GT135" i="3"/>
  <c r="GU135" i="3"/>
  <c r="GV135" i="3"/>
  <c r="GW135" i="3"/>
  <c r="GX135" i="3"/>
  <c r="GY135" i="3"/>
  <c r="GZ135" i="3"/>
  <c r="HA135" i="3"/>
  <c r="HB135" i="3"/>
  <c r="HC135" i="3"/>
  <c r="HD135" i="3"/>
  <c r="HE135" i="3"/>
  <c r="HF135" i="3"/>
  <c r="HG135" i="3"/>
  <c r="HH135" i="3"/>
  <c r="HI135" i="3"/>
  <c r="HJ135" i="3"/>
  <c r="HK135" i="3"/>
  <c r="HL135" i="3"/>
  <c r="HM135" i="3"/>
  <c r="HN135" i="3"/>
  <c r="HO135" i="3"/>
  <c r="HP135" i="3"/>
  <c r="HQ135" i="3"/>
  <c r="HR135" i="3"/>
  <c r="HS135" i="3"/>
  <c r="HT135" i="3"/>
  <c r="HU135" i="3"/>
  <c r="HV135" i="3"/>
  <c r="HW135" i="3"/>
  <c r="HX135" i="3"/>
  <c r="HY135" i="3"/>
  <c r="HZ135" i="3"/>
  <c r="IA135" i="3"/>
  <c r="IB135" i="3"/>
  <c r="IC135" i="3"/>
  <c r="ID135" i="3"/>
  <c r="IE135" i="3"/>
  <c r="IF135" i="3"/>
  <c r="IG135" i="3"/>
  <c r="IH135" i="3"/>
  <c r="II135" i="3"/>
  <c r="IJ135" i="3"/>
  <c r="IK135" i="3"/>
  <c r="IL135" i="3"/>
  <c r="IM135" i="3"/>
  <c r="IN135" i="3"/>
  <c r="IO135" i="3"/>
  <c r="IP135" i="3"/>
  <c r="IQ135" i="3"/>
  <c r="IR135" i="3"/>
  <c r="IS135" i="3"/>
  <c r="IT135" i="3"/>
  <c r="IU135" i="3"/>
  <c r="IV135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DC134" i="3"/>
  <c r="DD134" i="3"/>
  <c r="DE134" i="3"/>
  <c r="DF134" i="3"/>
  <c r="DG134" i="3"/>
  <c r="DH134" i="3"/>
  <c r="DI134" i="3"/>
  <c r="DJ134" i="3"/>
  <c r="DK134" i="3"/>
  <c r="DL134" i="3"/>
  <c r="DM134" i="3"/>
  <c r="DN134" i="3"/>
  <c r="DO134" i="3"/>
  <c r="DP134" i="3"/>
  <c r="DQ134" i="3"/>
  <c r="DR134" i="3"/>
  <c r="DS134" i="3"/>
  <c r="DT134" i="3"/>
  <c r="DU134" i="3"/>
  <c r="DV134" i="3"/>
  <c r="DW134" i="3"/>
  <c r="DX134" i="3"/>
  <c r="DY134" i="3"/>
  <c r="DZ134" i="3"/>
  <c r="EA134" i="3"/>
  <c r="EB134" i="3"/>
  <c r="EC134" i="3"/>
  <c r="ED134" i="3"/>
  <c r="EE134" i="3"/>
  <c r="EF134" i="3"/>
  <c r="EG134" i="3"/>
  <c r="EH134" i="3"/>
  <c r="EI134" i="3"/>
  <c r="EJ134" i="3"/>
  <c r="EK134" i="3"/>
  <c r="EL134" i="3"/>
  <c r="EM134" i="3"/>
  <c r="EN134" i="3"/>
  <c r="EO134" i="3"/>
  <c r="EP134" i="3"/>
  <c r="EQ134" i="3"/>
  <c r="ER134" i="3"/>
  <c r="ES134" i="3"/>
  <c r="ET134" i="3"/>
  <c r="EU134" i="3"/>
  <c r="EV134" i="3"/>
  <c r="EW134" i="3"/>
  <c r="EX134" i="3"/>
  <c r="EY134" i="3"/>
  <c r="EZ134" i="3"/>
  <c r="FA134" i="3"/>
  <c r="FB134" i="3"/>
  <c r="FC134" i="3"/>
  <c r="FD134" i="3"/>
  <c r="FE134" i="3"/>
  <c r="FF134" i="3"/>
  <c r="FG134" i="3"/>
  <c r="FH134" i="3"/>
  <c r="FI134" i="3"/>
  <c r="FJ134" i="3"/>
  <c r="FK134" i="3"/>
  <c r="FL134" i="3"/>
  <c r="FM134" i="3"/>
  <c r="FN134" i="3"/>
  <c r="FO134" i="3"/>
  <c r="FP134" i="3"/>
  <c r="FQ134" i="3"/>
  <c r="FR134" i="3"/>
  <c r="FS134" i="3"/>
  <c r="FT134" i="3"/>
  <c r="FU134" i="3"/>
  <c r="FV134" i="3"/>
  <c r="FW134" i="3"/>
  <c r="FX134" i="3"/>
  <c r="FY134" i="3"/>
  <c r="FZ134" i="3"/>
  <c r="GA134" i="3"/>
  <c r="GB134" i="3"/>
  <c r="GC134" i="3"/>
  <c r="GD134" i="3"/>
  <c r="GE134" i="3"/>
  <c r="GF134" i="3"/>
  <c r="GG134" i="3"/>
  <c r="GH134" i="3"/>
  <c r="GI134" i="3"/>
  <c r="GJ134" i="3"/>
  <c r="GK134" i="3"/>
  <c r="GL134" i="3"/>
  <c r="GM134" i="3"/>
  <c r="GN134" i="3"/>
  <c r="GO134" i="3"/>
  <c r="GP134" i="3"/>
  <c r="GQ134" i="3"/>
  <c r="GR134" i="3"/>
  <c r="GS134" i="3"/>
  <c r="GT134" i="3"/>
  <c r="GU134" i="3"/>
  <c r="GV134" i="3"/>
  <c r="GW134" i="3"/>
  <c r="GX134" i="3"/>
  <c r="GY134" i="3"/>
  <c r="GZ134" i="3"/>
  <c r="HA134" i="3"/>
  <c r="HB134" i="3"/>
  <c r="HC134" i="3"/>
  <c r="HD134" i="3"/>
  <c r="HE134" i="3"/>
  <c r="HF134" i="3"/>
  <c r="HG134" i="3"/>
  <c r="HH134" i="3"/>
  <c r="HI134" i="3"/>
  <c r="HJ134" i="3"/>
  <c r="HK134" i="3"/>
  <c r="HL134" i="3"/>
  <c r="HM134" i="3"/>
  <c r="HN134" i="3"/>
  <c r="HO134" i="3"/>
  <c r="HP134" i="3"/>
  <c r="HQ134" i="3"/>
  <c r="HR134" i="3"/>
  <c r="HS134" i="3"/>
  <c r="HT134" i="3"/>
  <c r="HU134" i="3"/>
  <c r="HV134" i="3"/>
  <c r="HW134" i="3"/>
  <c r="HX134" i="3"/>
  <c r="HY134" i="3"/>
  <c r="HZ134" i="3"/>
  <c r="IA134" i="3"/>
  <c r="IB134" i="3"/>
  <c r="IC134" i="3"/>
  <c r="ID134" i="3"/>
  <c r="IE134" i="3"/>
  <c r="IF134" i="3"/>
  <c r="IG134" i="3"/>
  <c r="IH134" i="3"/>
  <c r="II134" i="3"/>
  <c r="IJ134" i="3"/>
  <c r="IK134" i="3"/>
  <c r="IL134" i="3"/>
  <c r="IM134" i="3"/>
  <c r="IN134" i="3"/>
  <c r="IO134" i="3"/>
  <c r="IP134" i="3"/>
  <c r="IQ134" i="3"/>
  <c r="IR134" i="3"/>
  <c r="IS134" i="3"/>
  <c r="IT134" i="3"/>
  <c r="IU134" i="3"/>
  <c r="IV134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DC133" i="3"/>
  <c r="DD133" i="3"/>
  <c r="DE133" i="3"/>
  <c r="DF133" i="3"/>
  <c r="DG133" i="3"/>
  <c r="DH133" i="3"/>
  <c r="DI133" i="3"/>
  <c r="DJ133" i="3"/>
  <c r="DK133" i="3"/>
  <c r="DL133" i="3"/>
  <c r="DM133" i="3"/>
  <c r="DN133" i="3"/>
  <c r="DO133" i="3"/>
  <c r="DP133" i="3"/>
  <c r="DQ133" i="3"/>
  <c r="DR133" i="3"/>
  <c r="DS133" i="3"/>
  <c r="DT133" i="3"/>
  <c r="DU133" i="3"/>
  <c r="DV133" i="3"/>
  <c r="DW133" i="3"/>
  <c r="DX133" i="3"/>
  <c r="DY133" i="3"/>
  <c r="DZ133" i="3"/>
  <c r="EA133" i="3"/>
  <c r="EB133" i="3"/>
  <c r="EC133" i="3"/>
  <c r="ED133" i="3"/>
  <c r="EE133" i="3"/>
  <c r="EF133" i="3"/>
  <c r="EG133" i="3"/>
  <c r="EH133" i="3"/>
  <c r="EI133" i="3"/>
  <c r="EJ133" i="3"/>
  <c r="EK133" i="3"/>
  <c r="EL133" i="3"/>
  <c r="EM133" i="3"/>
  <c r="EN133" i="3"/>
  <c r="EO133" i="3"/>
  <c r="EP133" i="3"/>
  <c r="EQ133" i="3"/>
  <c r="ER133" i="3"/>
  <c r="ES133" i="3"/>
  <c r="ET133" i="3"/>
  <c r="EU133" i="3"/>
  <c r="EV133" i="3"/>
  <c r="EW133" i="3"/>
  <c r="EX133" i="3"/>
  <c r="EY133" i="3"/>
  <c r="EZ133" i="3"/>
  <c r="FA133" i="3"/>
  <c r="FB133" i="3"/>
  <c r="FC133" i="3"/>
  <c r="FD133" i="3"/>
  <c r="FE133" i="3"/>
  <c r="FF133" i="3"/>
  <c r="FG133" i="3"/>
  <c r="FH133" i="3"/>
  <c r="FI133" i="3"/>
  <c r="FJ133" i="3"/>
  <c r="FK133" i="3"/>
  <c r="FL133" i="3"/>
  <c r="FM133" i="3"/>
  <c r="FN133" i="3"/>
  <c r="FO133" i="3"/>
  <c r="FP133" i="3"/>
  <c r="FQ133" i="3"/>
  <c r="FR133" i="3"/>
  <c r="FS133" i="3"/>
  <c r="FT133" i="3"/>
  <c r="FU133" i="3"/>
  <c r="FV133" i="3"/>
  <c r="FW133" i="3"/>
  <c r="FX133" i="3"/>
  <c r="FY133" i="3"/>
  <c r="FZ133" i="3"/>
  <c r="GA133" i="3"/>
  <c r="GB133" i="3"/>
  <c r="GC133" i="3"/>
  <c r="GD133" i="3"/>
  <c r="GE133" i="3"/>
  <c r="GF133" i="3"/>
  <c r="GG133" i="3"/>
  <c r="GH133" i="3"/>
  <c r="GI133" i="3"/>
  <c r="GJ133" i="3"/>
  <c r="GK133" i="3"/>
  <c r="GL133" i="3"/>
  <c r="GM133" i="3"/>
  <c r="GN133" i="3"/>
  <c r="GO133" i="3"/>
  <c r="GP133" i="3"/>
  <c r="GQ133" i="3"/>
  <c r="GR133" i="3"/>
  <c r="GS133" i="3"/>
  <c r="GT133" i="3"/>
  <c r="GU133" i="3"/>
  <c r="GV133" i="3"/>
  <c r="GW133" i="3"/>
  <c r="GX133" i="3"/>
  <c r="GY133" i="3"/>
  <c r="GZ133" i="3"/>
  <c r="HA133" i="3"/>
  <c r="HB133" i="3"/>
  <c r="HC133" i="3"/>
  <c r="HD133" i="3"/>
  <c r="HE133" i="3"/>
  <c r="HF133" i="3"/>
  <c r="HG133" i="3"/>
  <c r="HH133" i="3"/>
  <c r="HI133" i="3"/>
  <c r="HJ133" i="3"/>
  <c r="HK133" i="3"/>
  <c r="HL133" i="3"/>
  <c r="HM133" i="3"/>
  <c r="HN133" i="3"/>
  <c r="HO133" i="3"/>
  <c r="HP133" i="3"/>
  <c r="HQ133" i="3"/>
  <c r="HR133" i="3"/>
  <c r="HS133" i="3"/>
  <c r="HT133" i="3"/>
  <c r="HU133" i="3"/>
  <c r="HV133" i="3"/>
  <c r="HW133" i="3"/>
  <c r="HX133" i="3"/>
  <c r="HY133" i="3"/>
  <c r="HZ133" i="3"/>
  <c r="IA133" i="3"/>
  <c r="IB133" i="3"/>
  <c r="IC133" i="3"/>
  <c r="ID133" i="3"/>
  <c r="IE133" i="3"/>
  <c r="IF133" i="3"/>
  <c r="IG133" i="3"/>
  <c r="IH133" i="3"/>
  <c r="II133" i="3"/>
  <c r="IJ133" i="3"/>
  <c r="IK133" i="3"/>
  <c r="IL133" i="3"/>
  <c r="IM133" i="3"/>
  <c r="IN133" i="3"/>
  <c r="IO133" i="3"/>
  <c r="IP133" i="3"/>
  <c r="IQ133" i="3"/>
  <c r="IR133" i="3"/>
  <c r="IS133" i="3"/>
  <c r="IT133" i="3"/>
  <c r="IU133" i="3"/>
  <c r="IV133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DC132" i="3"/>
  <c r="DD132" i="3"/>
  <c r="DE132" i="3"/>
  <c r="DF132" i="3"/>
  <c r="DG132" i="3"/>
  <c r="DH132" i="3"/>
  <c r="DI132" i="3"/>
  <c r="DJ132" i="3"/>
  <c r="DK132" i="3"/>
  <c r="DL132" i="3"/>
  <c r="DM132" i="3"/>
  <c r="DN132" i="3"/>
  <c r="DO132" i="3"/>
  <c r="DP132" i="3"/>
  <c r="DQ132" i="3"/>
  <c r="DR132" i="3"/>
  <c r="DS132" i="3"/>
  <c r="DT132" i="3"/>
  <c r="DU132" i="3"/>
  <c r="DV132" i="3"/>
  <c r="DW132" i="3"/>
  <c r="DX132" i="3"/>
  <c r="DY132" i="3"/>
  <c r="DZ132" i="3"/>
  <c r="EA132" i="3"/>
  <c r="EB132" i="3"/>
  <c r="EC132" i="3"/>
  <c r="ED132" i="3"/>
  <c r="EE132" i="3"/>
  <c r="EF132" i="3"/>
  <c r="EG132" i="3"/>
  <c r="EH132" i="3"/>
  <c r="EI132" i="3"/>
  <c r="EJ132" i="3"/>
  <c r="EK132" i="3"/>
  <c r="EL132" i="3"/>
  <c r="EM132" i="3"/>
  <c r="EN132" i="3"/>
  <c r="EO132" i="3"/>
  <c r="EP132" i="3"/>
  <c r="EQ132" i="3"/>
  <c r="ER132" i="3"/>
  <c r="ES132" i="3"/>
  <c r="ET132" i="3"/>
  <c r="EU132" i="3"/>
  <c r="EV132" i="3"/>
  <c r="EW132" i="3"/>
  <c r="EX132" i="3"/>
  <c r="EY132" i="3"/>
  <c r="EZ132" i="3"/>
  <c r="FA132" i="3"/>
  <c r="FB132" i="3"/>
  <c r="FC132" i="3"/>
  <c r="FD132" i="3"/>
  <c r="FE132" i="3"/>
  <c r="FF132" i="3"/>
  <c r="FG132" i="3"/>
  <c r="FH132" i="3"/>
  <c r="FI132" i="3"/>
  <c r="FJ132" i="3"/>
  <c r="FK132" i="3"/>
  <c r="FL132" i="3"/>
  <c r="FM132" i="3"/>
  <c r="FN132" i="3"/>
  <c r="FO132" i="3"/>
  <c r="FP132" i="3"/>
  <c r="FQ132" i="3"/>
  <c r="FR132" i="3"/>
  <c r="FS132" i="3"/>
  <c r="FT132" i="3"/>
  <c r="FU132" i="3"/>
  <c r="FV132" i="3"/>
  <c r="FW132" i="3"/>
  <c r="FX132" i="3"/>
  <c r="FY132" i="3"/>
  <c r="FZ132" i="3"/>
  <c r="GA132" i="3"/>
  <c r="GB132" i="3"/>
  <c r="GC132" i="3"/>
  <c r="GD132" i="3"/>
  <c r="GE132" i="3"/>
  <c r="GF132" i="3"/>
  <c r="GG132" i="3"/>
  <c r="GH132" i="3"/>
  <c r="GI132" i="3"/>
  <c r="GJ132" i="3"/>
  <c r="GK132" i="3"/>
  <c r="GL132" i="3"/>
  <c r="GM132" i="3"/>
  <c r="GN132" i="3"/>
  <c r="GO132" i="3"/>
  <c r="GP132" i="3"/>
  <c r="GQ132" i="3"/>
  <c r="GR132" i="3"/>
  <c r="GS132" i="3"/>
  <c r="GT132" i="3"/>
  <c r="GU132" i="3"/>
  <c r="GV132" i="3"/>
  <c r="GW132" i="3"/>
  <c r="GX132" i="3"/>
  <c r="GY132" i="3"/>
  <c r="GZ132" i="3"/>
  <c r="HA132" i="3"/>
  <c r="HB132" i="3"/>
  <c r="HC132" i="3"/>
  <c r="HD132" i="3"/>
  <c r="HE132" i="3"/>
  <c r="HF132" i="3"/>
  <c r="HG132" i="3"/>
  <c r="HH132" i="3"/>
  <c r="HI132" i="3"/>
  <c r="HJ132" i="3"/>
  <c r="HK132" i="3"/>
  <c r="HL132" i="3"/>
  <c r="HM132" i="3"/>
  <c r="HN132" i="3"/>
  <c r="HO132" i="3"/>
  <c r="HP132" i="3"/>
  <c r="HQ132" i="3"/>
  <c r="HR132" i="3"/>
  <c r="HS132" i="3"/>
  <c r="HT132" i="3"/>
  <c r="HU132" i="3"/>
  <c r="HV132" i="3"/>
  <c r="HW132" i="3"/>
  <c r="HX132" i="3"/>
  <c r="HY132" i="3"/>
  <c r="HZ132" i="3"/>
  <c r="IA132" i="3"/>
  <c r="IB132" i="3"/>
  <c r="IC132" i="3"/>
  <c r="ID132" i="3"/>
  <c r="IE132" i="3"/>
  <c r="IF132" i="3"/>
  <c r="IG132" i="3"/>
  <c r="IH132" i="3"/>
  <c r="II132" i="3"/>
  <c r="IJ132" i="3"/>
  <c r="IK132" i="3"/>
  <c r="IL132" i="3"/>
  <c r="IM132" i="3"/>
  <c r="IN132" i="3"/>
  <c r="IO132" i="3"/>
  <c r="IP132" i="3"/>
  <c r="IQ132" i="3"/>
  <c r="IR132" i="3"/>
  <c r="IS132" i="3"/>
  <c r="IT132" i="3"/>
  <c r="IU132" i="3"/>
  <c r="IV132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DC131" i="3"/>
  <c r="DD131" i="3"/>
  <c r="DE131" i="3"/>
  <c r="DF131" i="3"/>
  <c r="DG131" i="3"/>
  <c r="DH131" i="3"/>
  <c r="DI131" i="3"/>
  <c r="DJ131" i="3"/>
  <c r="DK131" i="3"/>
  <c r="DL131" i="3"/>
  <c r="DM131" i="3"/>
  <c r="DN131" i="3"/>
  <c r="DO131" i="3"/>
  <c r="DP131" i="3"/>
  <c r="DQ131" i="3"/>
  <c r="DR131" i="3"/>
  <c r="DS131" i="3"/>
  <c r="DT131" i="3"/>
  <c r="DU131" i="3"/>
  <c r="DV131" i="3"/>
  <c r="DW131" i="3"/>
  <c r="DX131" i="3"/>
  <c r="DY131" i="3"/>
  <c r="DZ131" i="3"/>
  <c r="EA131" i="3"/>
  <c r="EB131" i="3"/>
  <c r="EC131" i="3"/>
  <c r="ED131" i="3"/>
  <c r="EE131" i="3"/>
  <c r="EF131" i="3"/>
  <c r="EG131" i="3"/>
  <c r="EH131" i="3"/>
  <c r="EI131" i="3"/>
  <c r="EJ131" i="3"/>
  <c r="EK131" i="3"/>
  <c r="EL131" i="3"/>
  <c r="EM131" i="3"/>
  <c r="EN131" i="3"/>
  <c r="EO131" i="3"/>
  <c r="EP131" i="3"/>
  <c r="EQ131" i="3"/>
  <c r="ER131" i="3"/>
  <c r="ES131" i="3"/>
  <c r="ET131" i="3"/>
  <c r="EU131" i="3"/>
  <c r="EV131" i="3"/>
  <c r="EW131" i="3"/>
  <c r="EX131" i="3"/>
  <c r="EY131" i="3"/>
  <c r="EZ131" i="3"/>
  <c r="FA131" i="3"/>
  <c r="FB131" i="3"/>
  <c r="FC131" i="3"/>
  <c r="FD131" i="3"/>
  <c r="FE131" i="3"/>
  <c r="FF131" i="3"/>
  <c r="FG131" i="3"/>
  <c r="FH131" i="3"/>
  <c r="FI131" i="3"/>
  <c r="FJ131" i="3"/>
  <c r="FK131" i="3"/>
  <c r="FL131" i="3"/>
  <c r="FM131" i="3"/>
  <c r="FN131" i="3"/>
  <c r="FO131" i="3"/>
  <c r="FP131" i="3"/>
  <c r="FQ131" i="3"/>
  <c r="FR131" i="3"/>
  <c r="FS131" i="3"/>
  <c r="FT131" i="3"/>
  <c r="FU131" i="3"/>
  <c r="FV131" i="3"/>
  <c r="FW131" i="3"/>
  <c r="FX131" i="3"/>
  <c r="FY131" i="3"/>
  <c r="FZ131" i="3"/>
  <c r="GA131" i="3"/>
  <c r="GB131" i="3"/>
  <c r="GC131" i="3"/>
  <c r="GD131" i="3"/>
  <c r="GE131" i="3"/>
  <c r="GF131" i="3"/>
  <c r="GG131" i="3"/>
  <c r="GH131" i="3"/>
  <c r="GI131" i="3"/>
  <c r="GJ131" i="3"/>
  <c r="GK131" i="3"/>
  <c r="GL131" i="3"/>
  <c r="GM131" i="3"/>
  <c r="GN131" i="3"/>
  <c r="GO131" i="3"/>
  <c r="GP131" i="3"/>
  <c r="GQ131" i="3"/>
  <c r="GR131" i="3"/>
  <c r="GS131" i="3"/>
  <c r="GT131" i="3"/>
  <c r="GU131" i="3"/>
  <c r="GV131" i="3"/>
  <c r="GW131" i="3"/>
  <c r="GX131" i="3"/>
  <c r="GY131" i="3"/>
  <c r="GZ131" i="3"/>
  <c r="HA131" i="3"/>
  <c r="HB131" i="3"/>
  <c r="HC131" i="3"/>
  <c r="HD131" i="3"/>
  <c r="HE131" i="3"/>
  <c r="HF131" i="3"/>
  <c r="HG131" i="3"/>
  <c r="HH131" i="3"/>
  <c r="HI131" i="3"/>
  <c r="HJ131" i="3"/>
  <c r="HK131" i="3"/>
  <c r="HL131" i="3"/>
  <c r="HM131" i="3"/>
  <c r="HN131" i="3"/>
  <c r="HO131" i="3"/>
  <c r="HP131" i="3"/>
  <c r="HQ131" i="3"/>
  <c r="HR131" i="3"/>
  <c r="HS131" i="3"/>
  <c r="HT131" i="3"/>
  <c r="HU131" i="3"/>
  <c r="HV131" i="3"/>
  <c r="HW131" i="3"/>
  <c r="HX131" i="3"/>
  <c r="HY131" i="3"/>
  <c r="HZ131" i="3"/>
  <c r="IA131" i="3"/>
  <c r="IB131" i="3"/>
  <c r="IC131" i="3"/>
  <c r="ID131" i="3"/>
  <c r="IE131" i="3"/>
  <c r="IF131" i="3"/>
  <c r="IG131" i="3"/>
  <c r="IH131" i="3"/>
  <c r="II131" i="3"/>
  <c r="IJ131" i="3"/>
  <c r="IK131" i="3"/>
  <c r="IL131" i="3"/>
  <c r="IM131" i="3"/>
  <c r="IN131" i="3"/>
  <c r="IO131" i="3"/>
  <c r="IP131" i="3"/>
  <c r="IQ131" i="3"/>
  <c r="IR131" i="3"/>
  <c r="IS131" i="3"/>
  <c r="IT131" i="3"/>
  <c r="IU131" i="3"/>
  <c r="IV131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DC130" i="3"/>
  <c r="DD130" i="3"/>
  <c r="DE130" i="3"/>
  <c r="DF130" i="3"/>
  <c r="DG130" i="3"/>
  <c r="DH130" i="3"/>
  <c r="DI130" i="3"/>
  <c r="DJ130" i="3"/>
  <c r="DK130" i="3"/>
  <c r="DL130" i="3"/>
  <c r="DM130" i="3"/>
  <c r="DN130" i="3"/>
  <c r="DO130" i="3"/>
  <c r="DP130" i="3"/>
  <c r="DQ130" i="3"/>
  <c r="DR130" i="3"/>
  <c r="DS130" i="3"/>
  <c r="DT130" i="3"/>
  <c r="DU130" i="3"/>
  <c r="DV130" i="3"/>
  <c r="DW130" i="3"/>
  <c r="DX130" i="3"/>
  <c r="DY130" i="3"/>
  <c r="DZ130" i="3"/>
  <c r="EA130" i="3"/>
  <c r="EB130" i="3"/>
  <c r="EC130" i="3"/>
  <c r="ED130" i="3"/>
  <c r="EE130" i="3"/>
  <c r="EF130" i="3"/>
  <c r="EG130" i="3"/>
  <c r="EH130" i="3"/>
  <c r="EI130" i="3"/>
  <c r="EJ130" i="3"/>
  <c r="EK130" i="3"/>
  <c r="EL130" i="3"/>
  <c r="EM130" i="3"/>
  <c r="EN130" i="3"/>
  <c r="EO130" i="3"/>
  <c r="EP130" i="3"/>
  <c r="EQ130" i="3"/>
  <c r="ER130" i="3"/>
  <c r="ES130" i="3"/>
  <c r="ET130" i="3"/>
  <c r="EU130" i="3"/>
  <c r="EV130" i="3"/>
  <c r="EW130" i="3"/>
  <c r="EX130" i="3"/>
  <c r="EY130" i="3"/>
  <c r="EZ130" i="3"/>
  <c r="FA130" i="3"/>
  <c r="FB130" i="3"/>
  <c r="FC130" i="3"/>
  <c r="FD130" i="3"/>
  <c r="FE130" i="3"/>
  <c r="FF130" i="3"/>
  <c r="FG130" i="3"/>
  <c r="FH130" i="3"/>
  <c r="FI130" i="3"/>
  <c r="FJ130" i="3"/>
  <c r="FK130" i="3"/>
  <c r="FL130" i="3"/>
  <c r="FM130" i="3"/>
  <c r="FN130" i="3"/>
  <c r="FO130" i="3"/>
  <c r="FP130" i="3"/>
  <c r="FQ130" i="3"/>
  <c r="FR130" i="3"/>
  <c r="FS130" i="3"/>
  <c r="FT130" i="3"/>
  <c r="FU130" i="3"/>
  <c r="FV130" i="3"/>
  <c r="FW130" i="3"/>
  <c r="FX130" i="3"/>
  <c r="FY130" i="3"/>
  <c r="FZ130" i="3"/>
  <c r="GA130" i="3"/>
  <c r="GB130" i="3"/>
  <c r="GC130" i="3"/>
  <c r="GD130" i="3"/>
  <c r="GE130" i="3"/>
  <c r="GF130" i="3"/>
  <c r="GG130" i="3"/>
  <c r="GH130" i="3"/>
  <c r="GI130" i="3"/>
  <c r="GJ130" i="3"/>
  <c r="GK130" i="3"/>
  <c r="GL130" i="3"/>
  <c r="GM130" i="3"/>
  <c r="GN130" i="3"/>
  <c r="GO130" i="3"/>
  <c r="GP130" i="3"/>
  <c r="GQ130" i="3"/>
  <c r="GR130" i="3"/>
  <c r="GS130" i="3"/>
  <c r="GT130" i="3"/>
  <c r="GU130" i="3"/>
  <c r="GV130" i="3"/>
  <c r="GW130" i="3"/>
  <c r="GX130" i="3"/>
  <c r="GY130" i="3"/>
  <c r="GZ130" i="3"/>
  <c r="HA130" i="3"/>
  <c r="HB130" i="3"/>
  <c r="HC130" i="3"/>
  <c r="HD130" i="3"/>
  <c r="HE130" i="3"/>
  <c r="HF130" i="3"/>
  <c r="HG130" i="3"/>
  <c r="HH130" i="3"/>
  <c r="HI130" i="3"/>
  <c r="HJ130" i="3"/>
  <c r="HK130" i="3"/>
  <c r="HL130" i="3"/>
  <c r="HM130" i="3"/>
  <c r="HN130" i="3"/>
  <c r="HO130" i="3"/>
  <c r="HP130" i="3"/>
  <c r="HQ130" i="3"/>
  <c r="HR130" i="3"/>
  <c r="HS130" i="3"/>
  <c r="HT130" i="3"/>
  <c r="HU130" i="3"/>
  <c r="HV130" i="3"/>
  <c r="HW130" i="3"/>
  <c r="HX130" i="3"/>
  <c r="HY130" i="3"/>
  <c r="HZ130" i="3"/>
  <c r="IA130" i="3"/>
  <c r="IB130" i="3"/>
  <c r="IC130" i="3"/>
  <c r="ID130" i="3"/>
  <c r="IE130" i="3"/>
  <c r="IF130" i="3"/>
  <c r="IG130" i="3"/>
  <c r="IH130" i="3"/>
  <c r="II130" i="3"/>
  <c r="IJ130" i="3"/>
  <c r="IK130" i="3"/>
  <c r="IL130" i="3"/>
  <c r="IM130" i="3"/>
  <c r="IN130" i="3"/>
  <c r="IO130" i="3"/>
  <c r="IP130" i="3"/>
  <c r="IQ130" i="3"/>
  <c r="IR130" i="3"/>
  <c r="IS130" i="3"/>
  <c r="IT130" i="3"/>
  <c r="IU130" i="3"/>
  <c r="IV130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DC129" i="3"/>
  <c r="DD129" i="3"/>
  <c r="DE129" i="3"/>
  <c r="DF129" i="3"/>
  <c r="DG129" i="3"/>
  <c r="DH129" i="3"/>
  <c r="DI129" i="3"/>
  <c r="DJ129" i="3"/>
  <c r="DK129" i="3"/>
  <c r="DL129" i="3"/>
  <c r="DM129" i="3"/>
  <c r="DN129" i="3"/>
  <c r="DO129" i="3"/>
  <c r="DP129" i="3"/>
  <c r="DQ129" i="3"/>
  <c r="DR129" i="3"/>
  <c r="DS129" i="3"/>
  <c r="DT129" i="3"/>
  <c r="DU129" i="3"/>
  <c r="DV129" i="3"/>
  <c r="DW129" i="3"/>
  <c r="DX129" i="3"/>
  <c r="DY129" i="3"/>
  <c r="DZ129" i="3"/>
  <c r="EA129" i="3"/>
  <c r="EB129" i="3"/>
  <c r="EC129" i="3"/>
  <c r="ED129" i="3"/>
  <c r="EE129" i="3"/>
  <c r="EF129" i="3"/>
  <c r="EG129" i="3"/>
  <c r="EH129" i="3"/>
  <c r="EI129" i="3"/>
  <c r="EJ129" i="3"/>
  <c r="EK129" i="3"/>
  <c r="EL129" i="3"/>
  <c r="EM129" i="3"/>
  <c r="EN129" i="3"/>
  <c r="EO129" i="3"/>
  <c r="EP129" i="3"/>
  <c r="EQ129" i="3"/>
  <c r="ER129" i="3"/>
  <c r="ES129" i="3"/>
  <c r="ET129" i="3"/>
  <c r="EU129" i="3"/>
  <c r="EV129" i="3"/>
  <c r="EW129" i="3"/>
  <c r="EX129" i="3"/>
  <c r="EY129" i="3"/>
  <c r="EZ129" i="3"/>
  <c r="FA129" i="3"/>
  <c r="FB129" i="3"/>
  <c r="FC129" i="3"/>
  <c r="FD129" i="3"/>
  <c r="FE129" i="3"/>
  <c r="FF129" i="3"/>
  <c r="FG129" i="3"/>
  <c r="FH129" i="3"/>
  <c r="FI129" i="3"/>
  <c r="FJ129" i="3"/>
  <c r="FK129" i="3"/>
  <c r="FL129" i="3"/>
  <c r="FM129" i="3"/>
  <c r="FN129" i="3"/>
  <c r="FO129" i="3"/>
  <c r="FP129" i="3"/>
  <c r="FQ129" i="3"/>
  <c r="FR129" i="3"/>
  <c r="FS129" i="3"/>
  <c r="FT129" i="3"/>
  <c r="FU129" i="3"/>
  <c r="FV129" i="3"/>
  <c r="FW129" i="3"/>
  <c r="FX129" i="3"/>
  <c r="FY129" i="3"/>
  <c r="FZ129" i="3"/>
  <c r="GA129" i="3"/>
  <c r="GB129" i="3"/>
  <c r="GC129" i="3"/>
  <c r="GD129" i="3"/>
  <c r="GE129" i="3"/>
  <c r="GF129" i="3"/>
  <c r="GG129" i="3"/>
  <c r="GH129" i="3"/>
  <c r="GI129" i="3"/>
  <c r="GJ129" i="3"/>
  <c r="GK129" i="3"/>
  <c r="GL129" i="3"/>
  <c r="GM129" i="3"/>
  <c r="GN129" i="3"/>
  <c r="GO129" i="3"/>
  <c r="GP129" i="3"/>
  <c r="GQ129" i="3"/>
  <c r="GR129" i="3"/>
  <c r="GS129" i="3"/>
  <c r="GT129" i="3"/>
  <c r="GU129" i="3"/>
  <c r="GV129" i="3"/>
  <c r="GW129" i="3"/>
  <c r="GX129" i="3"/>
  <c r="GY129" i="3"/>
  <c r="GZ129" i="3"/>
  <c r="HA129" i="3"/>
  <c r="HB129" i="3"/>
  <c r="HC129" i="3"/>
  <c r="HD129" i="3"/>
  <c r="HE129" i="3"/>
  <c r="HF129" i="3"/>
  <c r="HG129" i="3"/>
  <c r="HH129" i="3"/>
  <c r="HI129" i="3"/>
  <c r="HJ129" i="3"/>
  <c r="HK129" i="3"/>
  <c r="HL129" i="3"/>
  <c r="HM129" i="3"/>
  <c r="HN129" i="3"/>
  <c r="HO129" i="3"/>
  <c r="HP129" i="3"/>
  <c r="HQ129" i="3"/>
  <c r="HR129" i="3"/>
  <c r="HS129" i="3"/>
  <c r="HT129" i="3"/>
  <c r="HU129" i="3"/>
  <c r="HV129" i="3"/>
  <c r="HW129" i="3"/>
  <c r="HX129" i="3"/>
  <c r="HY129" i="3"/>
  <c r="HZ129" i="3"/>
  <c r="IA129" i="3"/>
  <c r="IB129" i="3"/>
  <c r="IC129" i="3"/>
  <c r="ID129" i="3"/>
  <c r="IE129" i="3"/>
  <c r="IF129" i="3"/>
  <c r="IG129" i="3"/>
  <c r="IH129" i="3"/>
  <c r="II129" i="3"/>
  <c r="IJ129" i="3"/>
  <c r="IK129" i="3"/>
  <c r="IL129" i="3"/>
  <c r="IM129" i="3"/>
  <c r="IN129" i="3"/>
  <c r="IO129" i="3"/>
  <c r="IP129" i="3"/>
  <c r="IQ129" i="3"/>
  <c r="IR129" i="3"/>
  <c r="IS129" i="3"/>
  <c r="IT129" i="3"/>
  <c r="IU129" i="3"/>
  <c r="IV129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DC128" i="3"/>
  <c r="DD128" i="3"/>
  <c r="DE128" i="3"/>
  <c r="DF128" i="3"/>
  <c r="DG128" i="3"/>
  <c r="DH128" i="3"/>
  <c r="DI128" i="3"/>
  <c r="DJ128" i="3"/>
  <c r="DK128" i="3"/>
  <c r="DL128" i="3"/>
  <c r="DM128" i="3"/>
  <c r="DN128" i="3"/>
  <c r="DO128" i="3"/>
  <c r="DP128" i="3"/>
  <c r="DQ128" i="3"/>
  <c r="DR128" i="3"/>
  <c r="DS128" i="3"/>
  <c r="DT128" i="3"/>
  <c r="DU128" i="3"/>
  <c r="DV128" i="3"/>
  <c r="DW128" i="3"/>
  <c r="DX128" i="3"/>
  <c r="DY128" i="3"/>
  <c r="DZ128" i="3"/>
  <c r="EA128" i="3"/>
  <c r="EB128" i="3"/>
  <c r="EC128" i="3"/>
  <c r="ED128" i="3"/>
  <c r="EE128" i="3"/>
  <c r="EF128" i="3"/>
  <c r="EG128" i="3"/>
  <c r="EH128" i="3"/>
  <c r="EI128" i="3"/>
  <c r="EJ128" i="3"/>
  <c r="EK128" i="3"/>
  <c r="EL128" i="3"/>
  <c r="EM128" i="3"/>
  <c r="EN128" i="3"/>
  <c r="EO128" i="3"/>
  <c r="EP128" i="3"/>
  <c r="EQ128" i="3"/>
  <c r="ER128" i="3"/>
  <c r="ES128" i="3"/>
  <c r="ET128" i="3"/>
  <c r="EU128" i="3"/>
  <c r="EV128" i="3"/>
  <c r="EW128" i="3"/>
  <c r="EX128" i="3"/>
  <c r="EY128" i="3"/>
  <c r="EZ128" i="3"/>
  <c r="FA128" i="3"/>
  <c r="FB128" i="3"/>
  <c r="FC128" i="3"/>
  <c r="FD128" i="3"/>
  <c r="FE128" i="3"/>
  <c r="FF128" i="3"/>
  <c r="FG128" i="3"/>
  <c r="FH128" i="3"/>
  <c r="FI128" i="3"/>
  <c r="FJ128" i="3"/>
  <c r="FK128" i="3"/>
  <c r="FL128" i="3"/>
  <c r="FM128" i="3"/>
  <c r="FN128" i="3"/>
  <c r="FO128" i="3"/>
  <c r="FP128" i="3"/>
  <c r="FQ128" i="3"/>
  <c r="FR128" i="3"/>
  <c r="FS128" i="3"/>
  <c r="FT128" i="3"/>
  <c r="FU128" i="3"/>
  <c r="FV128" i="3"/>
  <c r="FW128" i="3"/>
  <c r="FX128" i="3"/>
  <c r="FY128" i="3"/>
  <c r="FZ128" i="3"/>
  <c r="GA128" i="3"/>
  <c r="GB128" i="3"/>
  <c r="GC128" i="3"/>
  <c r="GD128" i="3"/>
  <c r="GE128" i="3"/>
  <c r="GF128" i="3"/>
  <c r="GG128" i="3"/>
  <c r="GH128" i="3"/>
  <c r="GI128" i="3"/>
  <c r="GJ128" i="3"/>
  <c r="GK128" i="3"/>
  <c r="GL128" i="3"/>
  <c r="GM128" i="3"/>
  <c r="GN128" i="3"/>
  <c r="GO128" i="3"/>
  <c r="GP128" i="3"/>
  <c r="GQ128" i="3"/>
  <c r="GR128" i="3"/>
  <c r="GS128" i="3"/>
  <c r="GT128" i="3"/>
  <c r="GU128" i="3"/>
  <c r="GV128" i="3"/>
  <c r="GW128" i="3"/>
  <c r="GX128" i="3"/>
  <c r="GY128" i="3"/>
  <c r="GZ128" i="3"/>
  <c r="HA128" i="3"/>
  <c r="HB128" i="3"/>
  <c r="HC128" i="3"/>
  <c r="HD128" i="3"/>
  <c r="HE128" i="3"/>
  <c r="HF128" i="3"/>
  <c r="HG128" i="3"/>
  <c r="HH128" i="3"/>
  <c r="HI128" i="3"/>
  <c r="HJ128" i="3"/>
  <c r="HK128" i="3"/>
  <c r="HL128" i="3"/>
  <c r="HM128" i="3"/>
  <c r="HN128" i="3"/>
  <c r="HO128" i="3"/>
  <c r="HP128" i="3"/>
  <c r="HQ128" i="3"/>
  <c r="HR128" i="3"/>
  <c r="HS128" i="3"/>
  <c r="HT128" i="3"/>
  <c r="HU128" i="3"/>
  <c r="HV128" i="3"/>
  <c r="HW128" i="3"/>
  <c r="HX128" i="3"/>
  <c r="HY128" i="3"/>
  <c r="HZ128" i="3"/>
  <c r="IA128" i="3"/>
  <c r="IB128" i="3"/>
  <c r="IC128" i="3"/>
  <c r="ID128" i="3"/>
  <c r="IE128" i="3"/>
  <c r="IF128" i="3"/>
  <c r="IG128" i="3"/>
  <c r="IH128" i="3"/>
  <c r="II128" i="3"/>
  <c r="IJ128" i="3"/>
  <c r="IK128" i="3"/>
  <c r="IL128" i="3"/>
  <c r="IM128" i="3"/>
  <c r="IN128" i="3"/>
  <c r="IO128" i="3"/>
  <c r="IP128" i="3"/>
  <c r="IQ128" i="3"/>
  <c r="IR128" i="3"/>
  <c r="IS128" i="3"/>
  <c r="IT128" i="3"/>
  <c r="IU128" i="3"/>
  <c r="IV128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DC127" i="3"/>
  <c r="DD127" i="3"/>
  <c r="DE127" i="3"/>
  <c r="DF127" i="3"/>
  <c r="DG127" i="3"/>
  <c r="DH127" i="3"/>
  <c r="DI127" i="3"/>
  <c r="DJ127" i="3"/>
  <c r="DK127" i="3"/>
  <c r="DL127" i="3"/>
  <c r="DM127" i="3"/>
  <c r="DN127" i="3"/>
  <c r="DO127" i="3"/>
  <c r="DP127" i="3"/>
  <c r="DQ127" i="3"/>
  <c r="DR127" i="3"/>
  <c r="DS127" i="3"/>
  <c r="DT127" i="3"/>
  <c r="DU127" i="3"/>
  <c r="DV127" i="3"/>
  <c r="DW127" i="3"/>
  <c r="DX127" i="3"/>
  <c r="DY127" i="3"/>
  <c r="DZ127" i="3"/>
  <c r="EA127" i="3"/>
  <c r="EB127" i="3"/>
  <c r="EC127" i="3"/>
  <c r="ED127" i="3"/>
  <c r="EE127" i="3"/>
  <c r="EF127" i="3"/>
  <c r="EG127" i="3"/>
  <c r="EH127" i="3"/>
  <c r="EI127" i="3"/>
  <c r="EJ127" i="3"/>
  <c r="EK127" i="3"/>
  <c r="EL127" i="3"/>
  <c r="EM127" i="3"/>
  <c r="EN127" i="3"/>
  <c r="EO127" i="3"/>
  <c r="EP127" i="3"/>
  <c r="EQ127" i="3"/>
  <c r="ER127" i="3"/>
  <c r="ES127" i="3"/>
  <c r="ET127" i="3"/>
  <c r="EU127" i="3"/>
  <c r="EV127" i="3"/>
  <c r="EW127" i="3"/>
  <c r="EX127" i="3"/>
  <c r="EY127" i="3"/>
  <c r="EZ127" i="3"/>
  <c r="FA127" i="3"/>
  <c r="FB127" i="3"/>
  <c r="FC127" i="3"/>
  <c r="FD127" i="3"/>
  <c r="FE127" i="3"/>
  <c r="FF127" i="3"/>
  <c r="FG127" i="3"/>
  <c r="FH127" i="3"/>
  <c r="FI127" i="3"/>
  <c r="FJ127" i="3"/>
  <c r="FK127" i="3"/>
  <c r="FL127" i="3"/>
  <c r="FM127" i="3"/>
  <c r="FN127" i="3"/>
  <c r="FO127" i="3"/>
  <c r="FP127" i="3"/>
  <c r="FQ127" i="3"/>
  <c r="FR127" i="3"/>
  <c r="FS127" i="3"/>
  <c r="FT127" i="3"/>
  <c r="FU127" i="3"/>
  <c r="FV127" i="3"/>
  <c r="FW127" i="3"/>
  <c r="FX127" i="3"/>
  <c r="FY127" i="3"/>
  <c r="FZ127" i="3"/>
  <c r="GA127" i="3"/>
  <c r="GB127" i="3"/>
  <c r="GC127" i="3"/>
  <c r="GD127" i="3"/>
  <c r="GE127" i="3"/>
  <c r="GF127" i="3"/>
  <c r="GG127" i="3"/>
  <c r="GH127" i="3"/>
  <c r="GI127" i="3"/>
  <c r="GJ127" i="3"/>
  <c r="GK127" i="3"/>
  <c r="GL127" i="3"/>
  <c r="GM127" i="3"/>
  <c r="GN127" i="3"/>
  <c r="GO127" i="3"/>
  <c r="GP127" i="3"/>
  <c r="GQ127" i="3"/>
  <c r="GR127" i="3"/>
  <c r="GS127" i="3"/>
  <c r="GT127" i="3"/>
  <c r="GU127" i="3"/>
  <c r="GV127" i="3"/>
  <c r="GW127" i="3"/>
  <c r="GX127" i="3"/>
  <c r="GY127" i="3"/>
  <c r="GZ127" i="3"/>
  <c r="HA127" i="3"/>
  <c r="HB127" i="3"/>
  <c r="HC127" i="3"/>
  <c r="HD127" i="3"/>
  <c r="HE127" i="3"/>
  <c r="HF127" i="3"/>
  <c r="HG127" i="3"/>
  <c r="HH127" i="3"/>
  <c r="HI127" i="3"/>
  <c r="HJ127" i="3"/>
  <c r="HK127" i="3"/>
  <c r="HL127" i="3"/>
  <c r="HM127" i="3"/>
  <c r="HN127" i="3"/>
  <c r="HO127" i="3"/>
  <c r="HP127" i="3"/>
  <c r="HQ127" i="3"/>
  <c r="HR127" i="3"/>
  <c r="HS127" i="3"/>
  <c r="HT127" i="3"/>
  <c r="HU127" i="3"/>
  <c r="HV127" i="3"/>
  <c r="HW127" i="3"/>
  <c r="HX127" i="3"/>
  <c r="HY127" i="3"/>
  <c r="HZ127" i="3"/>
  <c r="IA127" i="3"/>
  <c r="IB127" i="3"/>
  <c r="IC127" i="3"/>
  <c r="ID127" i="3"/>
  <c r="IE127" i="3"/>
  <c r="IF127" i="3"/>
  <c r="IG127" i="3"/>
  <c r="IH127" i="3"/>
  <c r="II127" i="3"/>
  <c r="IJ127" i="3"/>
  <c r="IK127" i="3"/>
  <c r="IL127" i="3"/>
  <c r="IM127" i="3"/>
  <c r="IN127" i="3"/>
  <c r="IO127" i="3"/>
  <c r="IP127" i="3"/>
  <c r="IQ127" i="3"/>
  <c r="IR127" i="3"/>
  <c r="IS127" i="3"/>
  <c r="IT127" i="3"/>
  <c r="IU127" i="3"/>
  <c r="IV127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DC126" i="3"/>
  <c r="DD126" i="3"/>
  <c r="DE126" i="3"/>
  <c r="DF126" i="3"/>
  <c r="DG126" i="3"/>
  <c r="DH126" i="3"/>
  <c r="DI126" i="3"/>
  <c r="DJ126" i="3"/>
  <c r="DK126" i="3"/>
  <c r="DL126" i="3"/>
  <c r="DM126" i="3"/>
  <c r="DN126" i="3"/>
  <c r="DO126" i="3"/>
  <c r="DP126" i="3"/>
  <c r="DQ126" i="3"/>
  <c r="DR126" i="3"/>
  <c r="DS126" i="3"/>
  <c r="DT126" i="3"/>
  <c r="DU126" i="3"/>
  <c r="DV126" i="3"/>
  <c r="DW126" i="3"/>
  <c r="DX126" i="3"/>
  <c r="DY126" i="3"/>
  <c r="DZ126" i="3"/>
  <c r="EA126" i="3"/>
  <c r="EB126" i="3"/>
  <c r="EC126" i="3"/>
  <c r="ED126" i="3"/>
  <c r="EE126" i="3"/>
  <c r="EF126" i="3"/>
  <c r="EG126" i="3"/>
  <c r="EH126" i="3"/>
  <c r="EI126" i="3"/>
  <c r="EJ126" i="3"/>
  <c r="EK126" i="3"/>
  <c r="EL126" i="3"/>
  <c r="EM126" i="3"/>
  <c r="EN126" i="3"/>
  <c r="EO126" i="3"/>
  <c r="EP126" i="3"/>
  <c r="EQ126" i="3"/>
  <c r="ER126" i="3"/>
  <c r="ES126" i="3"/>
  <c r="ET126" i="3"/>
  <c r="EU126" i="3"/>
  <c r="EV126" i="3"/>
  <c r="EW126" i="3"/>
  <c r="EX126" i="3"/>
  <c r="EY126" i="3"/>
  <c r="EZ126" i="3"/>
  <c r="FA126" i="3"/>
  <c r="FB126" i="3"/>
  <c r="FC126" i="3"/>
  <c r="FD126" i="3"/>
  <c r="FE126" i="3"/>
  <c r="FF126" i="3"/>
  <c r="FG126" i="3"/>
  <c r="FH126" i="3"/>
  <c r="FI126" i="3"/>
  <c r="FJ126" i="3"/>
  <c r="FK126" i="3"/>
  <c r="FL126" i="3"/>
  <c r="FM126" i="3"/>
  <c r="FN126" i="3"/>
  <c r="FO126" i="3"/>
  <c r="FP126" i="3"/>
  <c r="FQ126" i="3"/>
  <c r="FR126" i="3"/>
  <c r="FS126" i="3"/>
  <c r="FT126" i="3"/>
  <c r="FU126" i="3"/>
  <c r="FV126" i="3"/>
  <c r="FW126" i="3"/>
  <c r="FX126" i="3"/>
  <c r="FY126" i="3"/>
  <c r="FZ126" i="3"/>
  <c r="GA126" i="3"/>
  <c r="GB126" i="3"/>
  <c r="GC126" i="3"/>
  <c r="GD126" i="3"/>
  <c r="GE126" i="3"/>
  <c r="GF126" i="3"/>
  <c r="GG126" i="3"/>
  <c r="GH126" i="3"/>
  <c r="GI126" i="3"/>
  <c r="GJ126" i="3"/>
  <c r="GK126" i="3"/>
  <c r="GL126" i="3"/>
  <c r="GM126" i="3"/>
  <c r="GN126" i="3"/>
  <c r="GO126" i="3"/>
  <c r="GP126" i="3"/>
  <c r="GQ126" i="3"/>
  <c r="GR126" i="3"/>
  <c r="GS126" i="3"/>
  <c r="GT126" i="3"/>
  <c r="GU126" i="3"/>
  <c r="GV126" i="3"/>
  <c r="GW126" i="3"/>
  <c r="GX126" i="3"/>
  <c r="GY126" i="3"/>
  <c r="GZ126" i="3"/>
  <c r="HA126" i="3"/>
  <c r="HB126" i="3"/>
  <c r="HC126" i="3"/>
  <c r="HD126" i="3"/>
  <c r="HE126" i="3"/>
  <c r="HF126" i="3"/>
  <c r="HG126" i="3"/>
  <c r="HH126" i="3"/>
  <c r="HI126" i="3"/>
  <c r="HJ126" i="3"/>
  <c r="HK126" i="3"/>
  <c r="HL126" i="3"/>
  <c r="HM126" i="3"/>
  <c r="HN126" i="3"/>
  <c r="HO126" i="3"/>
  <c r="HP126" i="3"/>
  <c r="HQ126" i="3"/>
  <c r="HR126" i="3"/>
  <c r="HS126" i="3"/>
  <c r="HT126" i="3"/>
  <c r="HU126" i="3"/>
  <c r="HV126" i="3"/>
  <c r="HW126" i="3"/>
  <c r="HX126" i="3"/>
  <c r="HY126" i="3"/>
  <c r="HZ126" i="3"/>
  <c r="IA126" i="3"/>
  <c r="IB126" i="3"/>
  <c r="IC126" i="3"/>
  <c r="ID126" i="3"/>
  <c r="IE126" i="3"/>
  <c r="IF126" i="3"/>
  <c r="IG126" i="3"/>
  <c r="IH126" i="3"/>
  <c r="II126" i="3"/>
  <c r="IJ126" i="3"/>
  <c r="IK126" i="3"/>
  <c r="IL126" i="3"/>
  <c r="IM126" i="3"/>
  <c r="IN126" i="3"/>
  <c r="IO126" i="3"/>
  <c r="IP126" i="3"/>
  <c r="IQ126" i="3"/>
  <c r="IR126" i="3"/>
  <c r="IS126" i="3"/>
  <c r="IT126" i="3"/>
  <c r="IU126" i="3"/>
  <c r="IV126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DC125" i="3"/>
  <c r="DD125" i="3"/>
  <c r="DE125" i="3"/>
  <c r="DF125" i="3"/>
  <c r="DG125" i="3"/>
  <c r="DH125" i="3"/>
  <c r="DI125" i="3"/>
  <c r="DJ125" i="3"/>
  <c r="DK125" i="3"/>
  <c r="DL125" i="3"/>
  <c r="DM125" i="3"/>
  <c r="DN125" i="3"/>
  <c r="DO125" i="3"/>
  <c r="DP125" i="3"/>
  <c r="DQ125" i="3"/>
  <c r="DR125" i="3"/>
  <c r="DS125" i="3"/>
  <c r="DT125" i="3"/>
  <c r="DU125" i="3"/>
  <c r="DV125" i="3"/>
  <c r="DW125" i="3"/>
  <c r="DX125" i="3"/>
  <c r="DY125" i="3"/>
  <c r="DZ125" i="3"/>
  <c r="EA125" i="3"/>
  <c r="EB125" i="3"/>
  <c r="EC125" i="3"/>
  <c r="ED125" i="3"/>
  <c r="EE125" i="3"/>
  <c r="EF125" i="3"/>
  <c r="EG125" i="3"/>
  <c r="EH125" i="3"/>
  <c r="EI125" i="3"/>
  <c r="EJ125" i="3"/>
  <c r="EK125" i="3"/>
  <c r="EL125" i="3"/>
  <c r="EM125" i="3"/>
  <c r="EN125" i="3"/>
  <c r="EO125" i="3"/>
  <c r="EP125" i="3"/>
  <c r="EQ125" i="3"/>
  <c r="ER125" i="3"/>
  <c r="ES125" i="3"/>
  <c r="ET125" i="3"/>
  <c r="EU125" i="3"/>
  <c r="EV125" i="3"/>
  <c r="EW125" i="3"/>
  <c r="EX125" i="3"/>
  <c r="EY125" i="3"/>
  <c r="EZ125" i="3"/>
  <c r="FA125" i="3"/>
  <c r="FB125" i="3"/>
  <c r="FC125" i="3"/>
  <c r="FD125" i="3"/>
  <c r="FE125" i="3"/>
  <c r="FF125" i="3"/>
  <c r="FG125" i="3"/>
  <c r="FH125" i="3"/>
  <c r="FI125" i="3"/>
  <c r="FJ125" i="3"/>
  <c r="FK125" i="3"/>
  <c r="FL125" i="3"/>
  <c r="FM125" i="3"/>
  <c r="FN125" i="3"/>
  <c r="FO125" i="3"/>
  <c r="FP125" i="3"/>
  <c r="FQ125" i="3"/>
  <c r="FR125" i="3"/>
  <c r="FS125" i="3"/>
  <c r="FT125" i="3"/>
  <c r="FU125" i="3"/>
  <c r="FV125" i="3"/>
  <c r="FW125" i="3"/>
  <c r="FX125" i="3"/>
  <c r="FY125" i="3"/>
  <c r="FZ125" i="3"/>
  <c r="GA125" i="3"/>
  <c r="GB125" i="3"/>
  <c r="GC125" i="3"/>
  <c r="GD125" i="3"/>
  <c r="GE125" i="3"/>
  <c r="GF125" i="3"/>
  <c r="GG125" i="3"/>
  <c r="GH125" i="3"/>
  <c r="GI125" i="3"/>
  <c r="GJ125" i="3"/>
  <c r="GK125" i="3"/>
  <c r="GL125" i="3"/>
  <c r="GM125" i="3"/>
  <c r="GN125" i="3"/>
  <c r="GO125" i="3"/>
  <c r="GP125" i="3"/>
  <c r="GQ125" i="3"/>
  <c r="GR125" i="3"/>
  <c r="GS125" i="3"/>
  <c r="GT125" i="3"/>
  <c r="GU125" i="3"/>
  <c r="GV125" i="3"/>
  <c r="GW125" i="3"/>
  <c r="GX125" i="3"/>
  <c r="GY125" i="3"/>
  <c r="GZ125" i="3"/>
  <c r="HA125" i="3"/>
  <c r="HB125" i="3"/>
  <c r="HC125" i="3"/>
  <c r="HD125" i="3"/>
  <c r="HE125" i="3"/>
  <c r="HF125" i="3"/>
  <c r="HG125" i="3"/>
  <c r="HH125" i="3"/>
  <c r="HI125" i="3"/>
  <c r="HJ125" i="3"/>
  <c r="HK125" i="3"/>
  <c r="HL125" i="3"/>
  <c r="HM125" i="3"/>
  <c r="HN125" i="3"/>
  <c r="HO125" i="3"/>
  <c r="HP125" i="3"/>
  <c r="HQ125" i="3"/>
  <c r="HR125" i="3"/>
  <c r="HS125" i="3"/>
  <c r="HT125" i="3"/>
  <c r="HU125" i="3"/>
  <c r="HV125" i="3"/>
  <c r="HW125" i="3"/>
  <c r="HX125" i="3"/>
  <c r="HY125" i="3"/>
  <c r="HZ125" i="3"/>
  <c r="IA125" i="3"/>
  <c r="IB125" i="3"/>
  <c r="IC125" i="3"/>
  <c r="ID125" i="3"/>
  <c r="IE125" i="3"/>
  <c r="IF125" i="3"/>
  <c r="IG125" i="3"/>
  <c r="IH125" i="3"/>
  <c r="II125" i="3"/>
  <c r="IJ125" i="3"/>
  <c r="IK125" i="3"/>
  <c r="IL125" i="3"/>
  <c r="IM125" i="3"/>
  <c r="IN125" i="3"/>
  <c r="IO125" i="3"/>
  <c r="IP125" i="3"/>
  <c r="IQ125" i="3"/>
  <c r="IR125" i="3"/>
  <c r="IS125" i="3"/>
  <c r="IT125" i="3"/>
  <c r="IU125" i="3"/>
  <c r="IV125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DC124" i="3"/>
  <c r="DD124" i="3"/>
  <c r="DE124" i="3"/>
  <c r="DF124" i="3"/>
  <c r="DG124" i="3"/>
  <c r="DH124" i="3"/>
  <c r="DI124" i="3"/>
  <c r="DJ124" i="3"/>
  <c r="DK124" i="3"/>
  <c r="DL124" i="3"/>
  <c r="DM124" i="3"/>
  <c r="DN124" i="3"/>
  <c r="DO124" i="3"/>
  <c r="DP124" i="3"/>
  <c r="DQ124" i="3"/>
  <c r="DR124" i="3"/>
  <c r="DS124" i="3"/>
  <c r="DT124" i="3"/>
  <c r="DU124" i="3"/>
  <c r="DV124" i="3"/>
  <c r="DW124" i="3"/>
  <c r="DX124" i="3"/>
  <c r="DY124" i="3"/>
  <c r="DZ124" i="3"/>
  <c r="EA124" i="3"/>
  <c r="EB124" i="3"/>
  <c r="EC124" i="3"/>
  <c r="ED124" i="3"/>
  <c r="EE124" i="3"/>
  <c r="EF124" i="3"/>
  <c r="EG124" i="3"/>
  <c r="EH124" i="3"/>
  <c r="EI124" i="3"/>
  <c r="EJ124" i="3"/>
  <c r="EK124" i="3"/>
  <c r="EL124" i="3"/>
  <c r="EM124" i="3"/>
  <c r="EN124" i="3"/>
  <c r="EO124" i="3"/>
  <c r="EP124" i="3"/>
  <c r="EQ124" i="3"/>
  <c r="ER124" i="3"/>
  <c r="ES124" i="3"/>
  <c r="ET124" i="3"/>
  <c r="EU124" i="3"/>
  <c r="EV124" i="3"/>
  <c r="EW124" i="3"/>
  <c r="EX124" i="3"/>
  <c r="EY124" i="3"/>
  <c r="EZ124" i="3"/>
  <c r="FA124" i="3"/>
  <c r="FB124" i="3"/>
  <c r="FC124" i="3"/>
  <c r="FD124" i="3"/>
  <c r="FE124" i="3"/>
  <c r="FF124" i="3"/>
  <c r="FG124" i="3"/>
  <c r="FH124" i="3"/>
  <c r="FI124" i="3"/>
  <c r="FJ124" i="3"/>
  <c r="FK124" i="3"/>
  <c r="FL124" i="3"/>
  <c r="FM124" i="3"/>
  <c r="FN124" i="3"/>
  <c r="FO124" i="3"/>
  <c r="FP124" i="3"/>
  <c r="FQ124" i="3"/>
  <c r="FR124" i="3"/>
  <c r="FS124" i="3"/>
  <c r="FT124" i="3"/>
  <c r="FU124" i="3"/>
  <c r="FV124" i="3"/>
  <c r="FW124" i="3"/>
  <c r="FX124" i="3"/>
  <c r="FY124" i="3"/>
  <c r="FZ124" i="3"/>
  <c r="GA124" i="3"/>
  <c r="GB124" i="3"/>
  <c r="GC124" i="3"/>
  <c r="GD124" i="3"/>
  <c r="GE124" i="3"/>
  <c r="GF124" i="3"/>
  <c r="GG124" i="3"/>
  <c r="GH124" i="3"/>
  <c r="GI124" i="3"/>
  <c r="GJ124" i="3"/>
  <c r="GK124" i="3"/>
  <c r="GL124" i="3"/>
  <c r="GM124" i="3"/>
  <c r="GN124" i="3"/>
  <c r="GO124" i="3"/>
  <c r="GP124" i="3"/>
  <c r="GQ124" i="3"/>
  <c r="GR124" i="3"/>
  <c r="GS124" i="3"/>
  <c r="GT124" i="3"/>
  <c r="GU124" i="3"/>
  <c r="GV124" i="3"/>
  <c r="GW124" i="3"/>
  <c r="GX124" i="3"/>
  <c r="GY124" i="3"/>
  <c r="GZ124" i="3"/>
  <c r="HA124" i="3"/>
  <c r="HB124" i="3"/>
  <c r="HC124" i="3"/>
  <c r="HD124" i="3"/>
  <c r="HE124" i="3"/>
  <c r="HF124" i="3"/>
  <c r="HG124" i="3"/>
  <c r="HH124" i="3"/>
  <c r="HI124" i="3"/>
  <c r="HJ124" i="3"/>
  <c r="HK124" i="3"/>
  <c r="HL124" i="3"/>
  <c r="HM124" i="3"/>
  <c r="HN124" i="3"/>
  <c r="HO124" i="3"/>
  <c r="HP124" i="3"/>
  <c r="HQ124" i="3"/>
  <c r="HR124" i="3"/>
  <c r="HS124" i="3"/>
  <c r="HT124" i="3"/>
  <c r="HU124" i="3"/>
  <c r="HV124" i="3"/>
  <c r="HW124" i="3"/>
  <c r="HX124" i="3"/>
  <c r="HY124" i="3"/>
  <c r="HZ124" i="3"/>
  <c r="IA124" i="3"/>
  <c r="IB124" i="3"/>
  <c r="IC124" i="3"/>
  <c r="ID124" i="3"/>
  <c r="IE124" i="3"/>
  <c r="IF124" i="3"/>
  <c r="IG124" i="3"/>
  <c r="IH124" i="3"/>
  <c r="II124" i="3"/>
  <c r="IJ124" i="3"/>
  <c r="IK124" i="3"/>
  <c r="IL124" i="3"/>
  <c r="IM124" i="3"/>
  <c r="IN124" i="3"/>
  <c r="IO124" i="3"/>
  <c r="IP124" i="3"/>
  <c r="IQ124" i="3"/>
  <c r="IR124" i="3"/>
  <c r="IS124" i="3"/>
  <c r="IT124" i="3"/>
  <c r="IU124" i="3"/>
  <c r="IV124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DC123" i="3"/>
  <c r="DD123" i="3"/>
  <c r="DE123" i="3"/>
  <c r="DF123" i="3"/>
  <c r="DG123" i="3"/>
  <c r="DH123" i="3"/>
  <c r="DI123" i="3"/>
  <c r="DJ123" i="3"/>
  <c r="DK123" i="3"/>
  <c r="DL123" i="3"/>
  <c r="DM123" i="3"/>
  <c r="DN123" i="3"/>
  <c r="DO123" i="3"/>
  <c r="DP123" i="3"/>
  <c r="DQ123" i="3"/>
  <c r="DR123" i="3"/>
  <c r="DS123" i="3"/>
  <c r="DT123" i="3"/>
  <c r="DU123" i="3"/>
  <c r="DV123" i="3"/>
  <c r="DW123" i="3"/>
  <c r="DX123" i="3"/>
  <c r="DY123" i="3"/>
  <c r="DZ123" i="3"/>
  <c r="EA123" i="3"/>
  <c r="EB123" i="3"/>
  <c r="EC123" i="3"/>
  <c r="ED123" i="3"/>
  <c r="EE123" i="3"/>
  <c r="EF123" i="3"/>
  <c r="EG123" i="3"/>
  <c r="EH123" i="3"/>
  <c r="EI123" i="3"/>
  <c r="EJ123" i="3"/>
  <c r="EK123" i="3"/>
  <c r="EL123" i="3"/>
  <c r="EM123" i="3"/>
  <c r="EN123" i="3"/>
  <c r="EO123" i="3"/>
  <c r="EP123" i="3"/>
  <c r="EQ123" i="3"/>
  <c r="ER123" i="3"/>
  <c r="ES123" i="3"/>
  <c r="ET123" i="3"/>
  <c r="EU123" i="3"/>
  <c r="EV123" i="3"/>
  <c r="EW123" i="3"/>
  <c r="EX123" i="3"/>
  <c r="EY123" i="3"/>
  <c r="EZ123" i="3"/>
  <c r="FA123" i="3"/>
  <c r="FB123" i="3"/>
  <c r="FC123" i="3"/>
  <c r="FD123" i="3"/>
  <c r="FE123" i="3"/>
  <c r="FF123" i="3"/>
  <c r="FG123" i="3"/>
  <c r="FH123" i="3"/>
  <c r="FI123" i="3"/>
  <c r="FJ123" i="3"/>
  <c r="FK123" i="3"/>
  <c r="FL123" i="3"/>
  <c r="FM123" i="3"/>
  <c r="FN123" i="3"/>
  <c r="FO123" i="3"/>
  <c r="FP123" i="3"/>
  <c r="FQ123" i="3"/>
  <c r="FR123" i="3"/>
  <c r="FS123" i="3"/>
  <c r="FT123" i="3"/>
  <c r="FU123" i="3"/>
  <c r="FV123" i="3"/>
  <c r="FW123" i="3"/>
  <c r="FX123" i="3"/>
  <c r="FY123" i="3"/>
  <c r="FZ123" i="3"/>
  <c r="GA123" i="3"/>
  <c r="GB123" i="3"/>
  <c r="GC123" i="3"/>
  <c r="GD123" i="3"/>
  <c r="GE123" i="3"/>
  <c r="GF123" i="3"/>
  <c r="GG123" i="3"/>
  <c r="GH123" i="3"/>
  <c r="GI123" i="3"/>
  <c r="GJ123" i="3"/>
  <c r="GK123" i="3"/>
  <c r="GL123" i="3"/>
  <c r="GM123" i="3"/>
  <c r="GN123" i="3"/>
  <c r="GO123" i="3"/>
  <c r="GP123" i="3"/>
  <c r="GQ123" i="3"/>
  <c r="GR123" i="3"/>
  <c r="GS123" i="3"/>
  <c r="GT123" i="3"/>
  <c r="GU123" i="3"/>
  <c r="GV123" i="3"/>
  <c r="GW123" i="3"/>
  <c r="GX123" i="3"/>
  <c r="GY123" i="3"/>
  <c r="GZ123" i="3"/>
  <c r="HA123" i="3"/>
  <c r="HB123" i="3"/>
  <c r="HC123" i="3"/>
  <c r="HD123" i="3"/>
  <c r="HE123" i="3"/>
  <c r="HF123" i="3"/>
  <c r="HG123" i="3"/>
  <c r="HH123" i="3"/>
  <c r="HI123" i="3"/>
  <c r="HJ123" i="3"/>
  <c r="HK123" i="3"/>
  <c r="HL123" i="3"/>
  <c r="HM123" i="3"/>
  <c r="HN123" i="3"/>
  <c r="HO123" i="3"/>
  <c r="HP123" i="3"/>
  <c r="HQ123" i="3"/>
  <c r="HR123" i="3"/>
  <c r="HS123" i="3"/>
  <c r="HT123" i="3"/>
  <c r="HU123" i="3"/>
  <c r="HV123" i="3"/>
  <c r="HW123" i="3"/>
  <c r="HX123" i="3"/>
  <c r="HY123" i="3"/>
  <c r="HZ123" i="3"/>
  <c r="IA123" i="3"/>
  <c r="IB123" i="3"/>
  <c r="IC123" i="3"/>
  <c r="ID123" i="3"/>
  <c r="IE123" i="3"/>
  <c r="IF123" i="3"/>
  <c r="IG123" i="3"/>
  <c r="IH123" i="3"/>
  <c r="II123" i="3"/>
  <c r="IJ123" i="3"/>
  <c r="IK123" i="3"/>
  <c r="IL123" i="3"/>
  <c r="IM123" i="3"/>
  <c r="IN123" i="3"/>
  <c r="IO123" i="3"/>
  <c r="IP123" i="3"/>
  <c r="IQ123" i="3"/>
  <c r="IR123" i="3"/>
  <c r="IS123" i="3"/>
  <c r="IT123" i="3"/>
  <c r="IU123" i="3"/>
  <c r="IV123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DC122" i="3"/>
  <c r="DD122" i="3"/>
  <c r="DE122" i="3"/>
  <c r="DF122" i="3"/>
  <c r="DG122" i="3"/>
  <c r="DH122" i="3"/>
  <c r="DI122" i="3"/>
  <c r="DJ122" i="3"/>
  <c r="DK122" i="3"/>
  <c r="DL122" i="3"/>
  <c r="DM122" i="3"/>
  <c r="DN122" i="3"/>
  <c r="DO122" i="3"/>
  <c r="DP122" i="3"/>
  <c r="DQ122" i="3"/>
  <c r="DR122" i="3"/>
  <c r="DS122" i="3"/>
  <c r="DT122" i="3"/>
  <c r="DU122" i="3"/>
  <c r="DV122" i="3"/>
  <c r="DW122" i="3"/>
  <c r="DX122" i="3"/>
  <c r="DY122" i="3"/>
  <c r="DZ122" i="3"/>
  <c r="EA122" i="3"/>
  <c r="EB122" i="3"/>
  <c r="EC122" i="3"/>
  <c r="ED122" i="3"/>
  <c r="EE122" i="3"/>
  <c r="EF122" i="3"/>
  <c r="EG122" i="3"/>
  <c r="EH122" i="3"/>
  <c r="EI122" i="3"/>
  <c r="EJ122" i="3"/>
  <c r="EK122" i="3"/>
  <c r="EL122" i="3"/>
  <c r="EM122" i="3"/>
  <c r="EN122" i="3"/>
  <c r="EO122" i="3"/>
  <c r="EP122" i="3"/>
  <c r="EQ122" i="3"/>
  <c r="ER122" i="3"/>
  <c r="ES122" i="3"/>
  <c r="ET122" i="3"/>
  <c r="EU122" i="3"/>
  <c r="EV122" i="3"/>
  <c r="EW122" i="3"/>
  <c r="EX122" i="3"/>
  <c r="EY122" i="3"/>
  <c r="EZ122" i="3"/>
  <c r="FA122" i="3"/>
  <c r="FB122" i="3"/>
  <c r="FC122" i="3"/>
  <c r="FD122" i="3"/>
  <c r="FE122" i="3"/>
  <c r="FF122" i="3"/>
  <c r="FG122" i="3"/>
  <c r="FH122" i="3"/>
  <c r="FI122" i="3"/>
  <c r="FJ122" i="3"/>
  <c r="FK122" i="3"/>
  <c r="FL122" i="3"/>
  <c r="FM122" i="3"/>
  <c r="FN122" i="3"/>
  <c r="FO122" i="3"/>
  <c r="FP122" i="3"/>
  <c r="FQ122" i="3"/>
  <c r="FR122" i="3"/>
  <c r="FS122" i="3"/>
  <c r="FT122" i="3"/>
  <c r="FU122" i="3"/>
  <c r="FV122" i="3"/>
  <c r="FW122" i="3"/>
  <c r="FX122" i="3"/>
  <c r="FY122" i="3"/>
  <c r="FZ122" i="3"/>
  <c r="GA122" i="3"/>
  <c r="GB122" i="3"/>
  <c r="GC122" i="3"/>
  <c r="GD122" i="3"/>
  <c r="GE122" i="3"/>
  <c r="GF122" i="3"/>
  <c r="GG122" i="3"/>
  <c r="GH122" i="3"/>
  <c r="GI122" i="3"/>
  <c r="GJ122" i="3"/>
  <c r="GK122" i="3"/>
  <c r="GL122" i="3"/>
  <c r="GM122" i="3"/>
  <c r="GN122" i="3"/>
  <c r="GO122" i="3"/>
  <c r="GP122" i="3"/>
  <c r="GQ122" i="3"/>
  <c r="GR122" i="3"/>
  <c r="GS122" i="3"/>
  <c r="GT122" i="3"/>
  <c r="GU122" i="3"/>
  <c r="GV122" i="3"/>
  <c r="GW122" i="3"/>
  <c r="GX122" i="3"/>
  <c r="GY122" i="3"/>
  <c r="GZ122" i="3"/>
  <c r="HA122" i="3"/>
  <c r="HB122" i="3"/>
  <c r="HC122" i="3"/>
  <c r="HD122" i="3"/>
  <c r="HE122" i="3"/>
  <c r="HF122" i="3"/>
  <c r="HG122" i="3"/>
  <c r="HH122" i="3"/>
  <c r="HI122" i="3"/>
  <c r="HJ122" i="3"/>
  <c r="HK122" i="3"/>
  <c r="HL122" i="3"/>
  <c r="HM122" i="3"/>
  <c r="HN122" i="3"/>
  <c r="HO122" i="3"/>
  <c r="HP122" i="3"/>
  <c r="HQ122" i="3"/>
  <c r="HR122" i="3"/>
  <c r="HS122" i="3"/>
  <c r="HT122" i="3"/>
  <c r="HU122" i="3"/>
  <c r="HV122" i="3"/>
  <c r="HW122" i="3"/>
  <c r="HX122" i="3"/>
  <c r="HY122" i="3"/>
  <c r="HZ122" i="3"/>
  <c r="IA122" i="3"/>
  <c r="IB122" i="3"/>
  <c r="IC122" i="3"/>
  <c r="ID122" i="3"/>
  <c r="IE122" i="3"/>
  <c r="IF122" i="3"/>
  <c r="IG122" i="3"/>
  <c r="IH122" i="3"/>
  <c r="II122" i="3"/>
  <c r="IJ122" i="3"/>
  <c r="IK122" i="3"/>
  <c r="IL122" i="3"/>
  <c r="IM122" i="3"/>
  <c r="IN122" i="3"/>
  <c r="IO122" i="3"/>
  <c r="IP122" i="3"/>
  <c r="IQ122" i="3"/>
  <c r="IR122" i="3"/>
  <c r="IS122" i="3"/>
  <c r="IT122" i="3"/>
  <c r="IU122" i="3"/>
  <c r="IV122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DC121" i="3"/>
  <c r="DD121" i="3"/>
  <c r="DE121" i="3"/>
  <c r="DF121" i="3"/>
  <c r="DG121" i="3"/>
  <c r="DH121" i="3"/>
  <c r="DI121" i="3"/>
  <c r="DJ121" i="3"/>
  <c r="DK121" i="3"/>
  <c r="DL121" i="3"/>
  <c r="DM121" i="3"/>
  <c r="DN121" i="3"/>
  <c r="DO121" i="3"/>
  <c r="DP121" i="3"/>
  <c r="DQ121" i="3"/>
  <c r="DR121" i="3"/>
  <c r="DS121" i="3"/>
  <c r="DT121" i="3"/>
  <c r="DU121" i="3"/>
  <c r="DV121" i="3"/>
  <c r="DW121" i="3"/>
  <c r="DX121" i="3"/>
  <c r="DY121" i="3"/>
  <c r="DZ121" i="3"/>
  <c r="EA121" i="3"/>
  <c r="EB121" i="3"/>
  <c r="EC121" i="3"/>
  <c r="ED121" i="3"/>
  <c r="EE121" i="3"/>
  <c r="EF121" i="3"/>
  <c r="EG121" i="3"/>
  <c r="EH121" i="3"/>
  <c r="EI121" i="3"/>
  <c r="EJ121" i="3"/>
  <c r="EK121" i="3"/>
  <c r="EL121" i="3"/>
  <c r="EM121" i="3"/>
  <c r="EN121" i="3"/>
  <c r="EO121" i="3"/>
  <c r="EP121" i="3"/>
  <c r="EQ121" i="3"/>
  <c r="ER121" i="3"/>
  <c r="ES121" i="3"/>
  <c r="ET121" i="3"/>
  <c r="EU121" i="3"/>
  <c r="EV121" i="3"/>
  <c r="EW121" i="3"/>
  <c r="EX121" i="3"/>
  <c r="EY121" i="3"/>
  <c r="EZ121" i="3"/>
  <c r="FA121" i="3"/>
  <c r="FB121" i="3"/>
  <c r="FC121" i="3"/>
  <c r="FD121" i="3"/>
  <c r="FE121" i="3"/>
  <c r="FF121" i="3"/>
  <c r="FG121" i="3"/>
  <c r="FH121" i="3"/>
  <c r="FI121" i="3"/>
  <c r="FJ121" i="3"/>
  <c r="FK121" i="3"/>
  <c r="FL121" i="3"/>
  <c r="FM121" i="3"/>
  <c r="FN121" i="3"/>
  <c r="FO121" i="3"/>
  <c r="FP121" i="3"/>
  <c r="FQ121" i="3"/>
  <c r="FR121" i="3"/>
  <c r="FS121" i="3"/>
  <c r="FT121" i="3"/>
  <c r="FU121" i="3"/>
  <c r="FV121" i="3"/>
  <c r="FW121" i="3"/>
  <c r="FX121" i="3"/>
  <c r="FY121" i="3"/>
  <c r="FZ121" i="3"/>
  <c r="GA121" i="3"/>
  <c r="GB121" i="3"/>
  <c r="GC121" i="3"/>
  <c r="GD121" i="3"/>
  <c r="GE121" i="3"/>
  <c r="GF121" i="3"/>
  <c r="GG121" i="3"/>
  <c r="GH121" i="3"/>
  <c r="GI121" i="3"/>
  <c r="GJ121" i="3"/>
  <c r="GK121" i="3"/>
  <c r="GL121" i="3"/>
  <c r="GM121" i="3"/>
  <c r="GN121" i="3"/>
  <c r="GO121" i="3"/>
  <c r="GP121" i="3"/>
  <c r="GQ121" i="3"/>
  <c r="GR121" i="3"/>
  <c r="GS121" i="3"/>
  <c r="GT121" i="3"/>
  <c r="GU121" i="3"/>
  <c r="GV121" i="3"/>
  <c r="GW121" i="3"/>
  <c r="GX121" i="3"/>
  <c r="GY121" i="3"/>
  <c r="GZ121" i="3"/>
  <c r="HA121" i="3"/>
  <c r="HB121" i="3"/>
  <c r="HC121" i="3"/>
  <c r="HD121" i="3"/>
  <c r="HE121" i="3"/>
  <c r="HF121" i="3"/>
  <c r="HG121" i="3"/>
  <c r="HH121" i="3"/>
  <c r="HI121" i="3"/>
  <c r="HJ121" i="3"/>
  <c r="HK121" i="3"/>
  <c r="HL121" i="3"/>
  <c r="HM121" i="3"/>
  <c r="HN121" i="3"/>
  <c r="HO121" i="3"/>
  <c r="HP121" i="3"/>
  <c r="HQ121" i="3"/>
  <c r="HR121" i="3"/>
  <c r="HS121" i="3"/>
  <c r="HT121" i="3"/>
  <c r="HU121" i="3"/>
  <c r="HV121" i="3"/>
  <c r="HW121" i="3"/>
  <c r="HX121" i="3"/>
  <c r="HY121" i="3"/>
  <c r="HZ121" i="3"/>
  <c r="IA121" i="3"/>
  <c r="IB121" i="3"/>
  <c r="IC121" i="3"/>
  <c r="ID121" i="3"/>
  <c r="IE121" i="3"/>
  <c r="IF121" i="3"/>
  <c r="IG121" i="3"/>
  <c r="IH121" i="3"/>
  <c r="II121" i="3"/>
  <c r="IJ121" i="3"/>
  <c r="IK121" i="3"/>
  <c r="IL121" i="3"/>
  <c r="IM121" i="3"/>
  <c r="IN121" i="3"/>
  <c r="IO121" i="3"/>
  <c r="IP121" i="3"/>
  <c r="IQ121" i="3"/>
  <c r="IR121" i="3"/>
  <c r="IS121" i="3"/>
  <c r="IT121" i="3"/>
  <c r="IU121" i="3"/>
  <c r="IV121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DC120" i="3"/>
  <c r="DD120" i="3"/>
  <c r="DE120" i="3"/>
  <c r="DF120" i="3"/>
  <c r="DG120" i="3"/>
  <c r="DH120" i="3"/>
  <c r="DI120" i="3"/>
  <c r="DJ120" i="3"/>
  <c r="DK120" i="3"/>
  <c r="DL120" i="3"/>
  <c r="DM120" i="3"/>
  <c r="DN120" i="3"/>
  <c r="DO120" i="3"/>
  <c r="DP120" i="3"/>
  <c r="DQ120" i="3"/>
  <c r="DR120" i="3"/>
  <c r="DS120" i="3"/>
  <c r="DT120" i="3"/>
  <c r="DU120" i="3"/>
  <c r="DV120" i="3"/>
  <c r="DW120" i="3"/>
  <c r="DX120" i="3"/>
  <c r="DY120" i="3"/>
  <c r="DZ120" i="3"/>
  <c r="EA120" i="3"/>
  <c r="EB120" i="3"/>
  <c r="EC120" i="3"/>
  <c r="ED120" i="3"/>
  <c r="EE120" i="3"/>
  <c r="EF120" i="3"/>
  <c r="EG120" i="3"/>
  <c r="EH120" i="3"/>
  <c r="EI120" i="3"/>
  <c r="EJ120" i="3"/>
  <c r="EK120" i="3"/>
  <c r="EL120" i="3"/>
  <c r="EM120" i="3"/>
  <c r="EN120" i="3"/>
  <c r="EO120" i="3"/>
  <c r="EP120" i="3"/>
  <c r="EQ120" i="3"/>
  <c r="ER120" i="3"/>
  <c r="ES120" i="3"/>
  <c r="ET120" i="3"/>
  <c r="EU120" i="3"/>
  <c r="EV120" i="3"/>
  <c r="EW120" i="3"/>
  <c r="EX120" i="3"/>
  <c r="EY120" i="3"/>
  <c r="EZ120" i="3"/>
  <c r="FA120" i="3"/>
  <c r="FB120" i="3"/>
  <c r="FC120" i="3"/>
  <c r="FD120" i="3"/>
  <c r="FE120" i="3"/>
  <c r="FF120" i="3"/>
  <c r="FG120" i="3"/>
  <c r="FH120" i="3"/>
  <c r="FI120" i="3"/>
  <c r="FJ120" i="3"/>
  <c r="FK120" i="3"/>
  <c r="FL120" i="3"/>
  <c r="FM120" i="3"/>
  <c r="FN120" i="3"/>
  <c r="FO120" i="3"/>
  <c r="FP120" i="3"/>
  <c r="FQ120" i="3"/>
  <c r="FR120" i="3"/>
  <c r="FS120" i="3"/>
  <c r="FT120" i="3"/>
  <c r="FU120" i="3"/>
  <c r="FV120" i="3"/>
  <c r="FW120" i="3"/>
  <c r="FX120" i="3"/>
  <c r="FY120" i="3"/>
  <c r="FZ120" i="3"/>
  <c r="GA120" i="3"/>
  <c r="GB120" i="3"/>
  <c r="GC120" i="3"/>
  <c r="GD120" i="3"/>
  <c r="GE120" i="3"/>
  <c r="GF120" i="3"/>
  <c r="GG120" i="3"/>
  <c r="GH120" i="3"/>
  <c r="GI120" i="3"/>
  <c r="GJ120" i="3"/>
  <c r="GK120" i="3"/>
  <c r="GL120" i="3"/>
  <c r="GM120" i="3"/>
  <c r="GN120" i="3"/>
  <c r="GO120" i="3"/>
  <c r="GP120" i="3"/>
  <c r="GQ120" i="3"/>
  <c r="GR120" i="3"/>
  <c r="GS120" i="3"/>
  <c r="GT120" i="3"/>
  <c r="GU120" i="3"/>
  <c r="GV120" i="3"/>
  <c r="GW120" i="3"/>
  <c r="GX120" i="3"/>
  <c r="GY120" i="3"/>
  <c r="GZ120" i="3"/>
  <c r="HA120" i="3"/>
  <c r="HB120" i="3"/>
  <c r="HC120" i="3"/>
  <c r="HD120" i="3"/>
  <c r="HE120" i="3"/>
  <c r="HF120" i="3"/>
  <c r="HG120" i="3"/>
  <c r="HH120" i="3"/>
  <c r="HI120" i="3"/>
  <c r="HJ120" i="3"/>
  <c r="HK120" i="3"/>
  <c r="HL120" i="3"/>
  <c r="HM120" i="3"/>
  <c r="HN120" i="3"/>
  <c r="HO120" i="3"/>
  <c r="HP120" i="3"/>
  <c r="HQ120" i="3"/>
  <c r="HR120" i="3"/>
  <c r="HS120" i="3"/>
  <c r="HT120" i="3"/>
  <c r="HU120" i="3"/>
  <c r="HV120" i="3"/>
  <c r="HW120" i="3"/>
  <c r="HX120" i="3"/>
  <c r="HY120" i="3"/>
  <c r="HZ120" i="3"/>
  <c r="IA120" i="3"/>
  <c r="IB120" i="3"/>
  <c r="IC120" i="3"/>
  <c r="ID120" i="3"/>
  <c r="IE120" i="3"/>
  <c r="IF120" i="3"/>
  <c r="IG120" i="3"/>
  <c r="IH120" i="3"/>
  <c r="II120" i="3"/>
  <c r="IJ120" i="3"/>
  <c r="IK120" i="3"/>
  <c r="IL120" i="3"/>
  <c r="IM120" i="3"/>
  <c r="IN120" i="3"/>
  <c r="IO120" i="3"/>
  <c r="IP120" i="3"/>
  <c r="IQ120" i="3"/>
  <c r="IR120" i="3"/>
  <c r="IS120" i="3"/>
  <c r="IT120" i="3"/>
  <c r="IU120" i="3"/>
  <c r="IV120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DC119" i="3"/>
  <c r="DD119" i="3"/>
  <c r="DE119" i="3"/>
  <c r="DF119" i="3"/>
  <c r="DG119" i="3"/>
  <c r="DH119" i="3"/>
  <c r="DI119" i="3"/>
  <c r="DJ119" i="3"/>
  <c r="DK119" i="3"/>
  <c r="DL119" i="3"/>
  <c r="DM119" i="3"/>
  <c r="DN119" i="3"/>
  <c r="DO119" i="3"/>
  <c r="DP119" i="3"/>
  <c r="DQ119" i="3"/>
  <c r="DR119" i="3"/>
  <c r="DS119" i="3"/>
  <c r="DT119" i="3"/>
  <c r="DU119" i="3"/>
  <c r="DV119" i="3"/>
  <c r="DW119" i="3"/>
  <c r="DX119" i="3"/>
  <c r="DY119" i="3"/>
  <c r="DZ119" i="3"/>
  <c r="EA119" i="3"/>
  <c r="EB119" i="3"/>
  <c r="EC119" i="3"/>
  <c r="ED119" i="3"/>
  <c r="EE119" i="3"/>
  <c r="EF119" i="3"/>
  <c r="EG119" i="3"/>
  <c r="EH119" i="3"/>
  <c r="EI119" i="3"/>
  <c r="EJ119" i="3"/>
  <c r="EK119" i="3"/>
  <c r="EL119" i="3"/>
  <c r="EM119" i="3"/>
  <c r="EN119" i="3"/>
  <c r="EO119" i="3"/>
  <c r="EP119" i="3"/>
  <c r="EQ119" i="3"/>
  <c r="ER119" i="3"/>
  <c r="ES119" i="3"/>
  <c r="ET119" i="3"/>
  <c r="EU119" i="3"/>
  <c r="EV119" i="3"/>
  <c r="EW119" i="3"/>
  <c r="EX119" i="3"/>
  <c r="EY119" i="3"/>
  <c r="EZ119" i="3"/>
  <c r="FA119" i="3"/>
  <c r="FB119" i="3"/>
  <c r="FC119" i="3"/>
  <c r="FD119" i="3"/>
  <c r="FE119" i="3"/>
  <c r="FF119" i="3"/>
  <c r="FG119" i="3"/>
  <c r="FH119" i="3"/>
  <c r="FI119" i="3"/>
  <c r="FJ119" i="3"/>
  <c r="FK119" i="3"/>
  <c r="FL119" i="3"/>
  <c r="FM119" i="3"/>
  <c r="FN119" i="3"/>
  <c r="FO119" i="3"/>
  <c r="FP119" i="3"/>
  <c r="FQ119" i="3"/>
  <c r="FR119" i="3"/>
  <c r="FS119" i="3"/>
  <c r="FT119" i="3"/>
  <c r="FU119" i="3"/>
  <c r="FV119" i="3"/>
  <c r="FW119" i="3"/>
  <c r="FX119" i="3"/>
  <c r="FY119" i="3"/>
  <c r="FZ119" i="3"/>
  <c r="GA119" i="3"/>
  <c r="GB119" i="3"/>
  <c r="GC119" i="3"/>
  <c r="GD119" i="3"/>
  <c r="GE119" i="3"/>
  <c r="GF119" i="3"/>
  <c r="GG119" i="3"/>
  <c r="GH119" i="3"/>
  <c r="GI119" i="3"/>
  <c r="GJ119" i="3"/>
  <c r="GK119" i="3"/>
  <c r="GL119" i="3"/>
  <c r="GM119" i="3"/>
  <c r="GN119" i="3"/>
  <c r="GO119" i="3"/>
  <c r="GP119" i="3"/>
  <c r="GQ119" i="3"/>
  <c r="GR119" i="3"/>
  <c r="GS119" i="3"/>
  <c r="GT119" i="3"/>
  <c r="GU119" i="3"/>
  <c r="GV119" i="3"/>
  <c r="GW119" i="3"/>
  <c r="GX119" i="3"/>
  <c r="GY119" i="3"/>
  <c r="GZ119" i="3"/>
  <c r="HA119" i="3"/>
  <c r="HB119" i="3"/>
  <c r="HC119" i="3"/>
  <c r="HD119" i="3"/>
  <c r="HE119" i="3"/>
  <c r="HF119" i="3"/>
  <c r="HG119" i="3"/>
  <c r="HH119" i="3"/>
  <c r="HI119" i="3"/>
  <c r="HJ119" i="3"/>
  <c r="HK119" i="3"/>
  <c r="HL119" i="3"/>
  <c r="HM119" i="3"/>
  <c r="HN119" i="3"/>
  <c r="HO119" i="3"/>
  <c r="HP119" i="3"/>
  <c r="HQ119" i="3"/>
  <c r="HR119" i="3"/>
  <c r="HS119" i="3"/>
  <c r="HT119" i="3"/>
  <c r="HU119" i="3"/>
  <c r="HV119" i="3"/>
  <c r="HW119" i="3"/>
  <c r="HX119" i="3"/>
  <c r="HY119" i="3"/>
  <c r="HZ119" i="3"/>
  <c r="IA119" i="3"/>
  <c r="IB119" i="3"/>
  <c r="IC119" i="3"/>
  <c r="ID119" i="3"/>
  <c r="IE119" i="3"/>
  <c r="IF119" i="3"/>
  <c r="IG119" i="3"/>
  <c r="IH119" i="3"/>
  <c r="II119" i="3"/>
  <c r="IJ119" i="3"/>
  <c r="IK119" i="3"/>
  <c r="IL119" i="3"/>
  <c r="IM119" i="3"/>
  <c r="IN119" i="3"/>
  <c r="IO119" i="3"/>
  <c r="IP119" i="3"/>
  <c r="IQ119" i="3"/>
  <c r="IR119" i="3"/>
  <c r="IS119" i="3"/>
  <c r="IT119" i="3"/>
  <c r="IU119" i="3"/>
  <c r="IV119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DC118" i="3"/>
  <c r="DD118" i="3"/>
  <c r="DE118" i="3"/>
  <c r="DF118" i="3"/>
  <c r="DG118" i="3"/>
  <c r="DH118" i="3"/>
  <c r="DI118" i="3"/>
  <c r="DJ118" i="3"/>
  <c r="DK118" i="3"/>
  <c r="DL118" i="3"/>
  <c r="DM118" i="3"/>
  <c r="DN118" i="3"/>
  <c r="DO118" i="3"/>
  <c r="DP118" i="3"/>
  <c r="DQ118" i="3"/>
  <c r="DR118" i="3"/>
  <c r="DS118" i="3"/>
  <c r="DT118" i="3"/>
  <c r="DU118" i="3"/>
  <c r="DV118" i="3"/>
  <c r="DW118" i="3"/>
  <c r="DX118" i="3"/>
  <c r="DY118" i="3"/>
  <c r="DZ118" i="3"/>
  <c r="EA118" i="3"/>
  <c r="EB118" i="3"/>
  <c r="EC118" i="3"/>
  <c r="ED118" i="3"/>
  <c r="EE118" i="3"/>
  <c r="EF118" i="3"/>
  <c r="EG118" i="3"/>
  <c r="EH118" i="3"/>
  <c r="EI118" i="3"/>
  <c r="EJ118" i="3"/>
  <c r="EK118" i="3"/>
  <c r="EL118" i="3"/>
  <c r="EM118" i="3"/>
  <c r="EN118" i="3"/>
  <c r="EO118" i="3"/>
  <c r="EP118" i="3"/>
  <c r="EQ118" i="3"/>
  <c r="ER118" i="3"/>
  <c r="ES118" i="3"/>
  <c r="ET118" i="3"/>
  <c r="EU118" i="3"/>
  <c r="EV118" i="3"/>
  <c r="EW118" i="3"/>
  <c r="EX118" i="3"/>
  <c r="EY118" i="3"/>
  <c r="EZ118" i="3"/>
  <c r="FA118" i="3"/>
  <c r="FB118" i="3"/>
  <c r="FC118" i="3"/>
  <c r="FD118" i="3"/>
  <c r="FE118" i="3"/>
  <c r="FF118" i="3"/>
  <c r="FG118" i="3"/>
  <c r="FH118" i="3"/>
  <c r="FI118" i="3"/>
  <c r="FJ118" i="3"/>
  <c r="FK118" i="3"/>
  <c r="FL118" i="3"/>
  <c r="FM118" i="3"/>
  <c r="FN118" i="3"/>
  <c r="FO118" i="3"/>
  <c r="FP118" i="3"/>
  <c r="FQ118" i="3"/>
  <c r="FR118" i="3"/>
  <c r="FS118" i="3"/>
  <c r="FT118" i="3"/>
  <c r="FU118" i="3"/>
  <c r="FV118" i="3"/>
  <c r="FW118" i="3"/>
  <c r="FX118" i="3"/>
  <c r="FY118" i="3"/>
  <c r="FZ118" i="3"/>
  <c r="GA118" i="3"/>
  <c r="GB118" i="3"/>
  <c r="GC118" i="3"/>
  <c r="GD118" i="3"/>
  <c r="GE118" i="3"/>
  <c r="GF118" i="3"/>
  <c r="GG118" i="3"/>
  <c r="GH118" i="3"/>
  <c r="GI118" i="3"/>
  <c r="GJ118" i="3"/>
  <c r="GK118" i="3"/>
  <c r="GL118" i="3"/>
  <c r="GM118" i="3"/>
  <c r="GN118" i="3"/>
  <c r="GO118" i="3"/>
  <c r="GP118" i="3"/>
  <c r="GQ118" i="3"/>
  <c r="GR118" i="3"/>
  <c r="GS118" i="3"/>
  <c r="GT118" i="3"/>
  <c r="GU118" i="3"/>
  <c r="GV118" i="3"/>
  <c r="GW118" i="3"/>
  <c r="GX118" i="3"/>
  <c r="GY118" i="3"/>
  <c r="GZ118" i="3"/>
  <c r="HA118" i="3"/>
  <c r="HB118" i="3"/>
  <c r="HC118" i="3"/>
  <c r="HD118" i="3"/>
  <c r="HE118" i="3"/>
  <c r="HF118" i="3"/>
  <c r="HG118" i="3"/>
  <c r="HH118" i="3"/>
  <c r="HI118" i="3"/>
  <c r="HJ118" i="3"/>
  <c r="HK118" i="3"/>
  <c r="HL118" i="3"/>
  <c r="HM118" i="3"/>
  <c r="HN118" i="3"/>
  <c r="HO118" i="3"/>
  <c r="HP118" i="3"/>
  <c r="HQ118" i="3"/>
  <c r="HR118" i="3"/>
  <c r="HS118" i="3"/>
  <c r="HT118" i="3"/>
  <c r="HU118" i="3"/>
  <c r="HV118" i="3"/>
  <c r="HW118" i="3"/>
  <c r="HX118" i="3"/>
  <c r="HY118" i="3"/>
  <c r="HZ118" i="3"/>
  <c r="IA118" i="3"/>
  <c r="IB118" i="3"/>
  <c r="IC118" i="3"/>
  <c r="ID118" i="3"/>
  <c r="IE118" i="3"/>
  <c r="IF118" i="3"/>
  <c r="IG118" i="3"/>
  <c r="IH118" i="3"/>
  <c r="II118" i="3"/>
  <c r="IJ118" i="3"/>
  <c r="IK118" i="3"/>
  <c r="IL118" i="3"/>
  <c r="IM118" i="3"/>
  <c r="IN118" i="3"/>
  <c r="IO118" i="3"/>
  <c r="IP118" i="3"/>
  <c r="IQ118" i="3"/>
  <c r="IR118" i="3"/>
  <c r="IS118" i="3"/>
  <c r="IT118" i="3"/>
  <c r="IU118" i="3"/>
  <c r="IV118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DC117" i="3"/>
  <c r="DD117" i="3"/>
  <c r="DE117" i="3"/>
  <c r="DF117" i="3"/>
  <c r="DG117" i="3"/>
  <c r="DH117" i="3"/>
  <c r="DI117" i="3"/>
  <c r="DJ117" i="3"/>
  <c r="DK117" i="3"/>
  <c r="DL117" i="3"/>
  <c r="DM117" i="3"/>
  <c r="DN117" i="3"/>
  <c r="DO117" i="3"/>
  <c r="DP117" i="3"/>
  <c r="DQ117" i="3"/>
  <c r="DR117" i="3"/>
  <c r="DS117" i="3"/>
  <c r="DT117" i="3"/>
  <c r="DU117" i="3"/>
  <c r="DV117" i="3"/>
  <c r="DW117" i="3"/>
  <c r="DX117" i="3"/>
  <c r="DY117" i="3"/>
  <c r="DZ117" i="3"/>
  <c r="EA117" i="3"/>
  <c r="EB117" i="3"/>
  <c r="EC117" i="3"/>
  <c r="ED117" i="3"/>
  <c r="EE117" i="3"/>
  <c r="EF117" i="3"/>
  <c r="EG117" i="3"/>
  <c r="EH117" i="3"/>
  <c r="EI117" i="3"/>
  <c r="EJ117" i="3"/>
  <c r="EK117" i="3"/>
  <c r="EL117" i="3"/>
  <c r="EM117" i="3"/>
  <c r="EN117" i="3"/>
  <c r="EO117" i="3"/>
  <c r="EP117" i="3"/>
  <c r="EQ117" i="3"/>
  <c r="ER117" i="3"/>
  <c r="ES117" i="3"/>
  <c r="ET117" i="3"/>
  <c r="EU117" i="3"/>
  <c r="EV117" i="3"/>
  <c r="EW117" i="3"/>
  <c r="EX117" i="3"/>
  <c r="EY117" i="3"/>
  <c r="EZ117" i="3"/>
  <c r="FA117" i="3"/>
  <c r="FB117" i="3"/>
  <c r="FC117" i="3"/>
  <c r="FD117" i="3"/>
  <c r="FE117" i="3"/>
  <c r="FF117" i="3"/>
  <c r="FG117" i="3"/>
  <c r="FH117" i="3"/>
  <c r="FI117" i="3"/>
  <c r="FJ117" i="3"/>
  <c r="FK117" i="3"/>
  <c r="FL117" i="3"/>
  <c r="FM117" i="3"/>
  <c r="FN117" i="3"/>
  <c r="FO117" i="3"/>
  <c r="FP117" i="3"/>
  <c r="FQ117" i="3"/>
  <c r="FR117" i="3"/>
  <c r="FS117" i="3"/>
  <c r="FT117" i="3"/>
  <c r="FU117" i="3"/>
  <c r="FV117" i="3"/>
  <c r="FW117" i="3"/>
  <c r="FX117" i="3"/>
  <c r="FY117" i="3"/>
  <c r="FZ117" i="3"/>
  <c r="GA117" i="3"/>
  <c r="GB117" i="3"/>
  <c r="GC117" i="3"/>
  <c r="GD117" i="3"/>
  <c r="GE117" i="3"/>
  <c r="GF117" i="3"/>
  <c r="GG117" i="3"/>
  <c r="GH117" i="3"/>
  <c r="GI117" i="3"/>
  <c r="GJ117" i="3"/>
  <c r="GK117" i="3"/>
  <c r="GL117" i="3"/>
  <c r="GM117" i="3"/>
  <c r="GN117" i="3"/>
  <c r="GO117" i="3"/>
  <c r="GP117" i="3"/>
  <c r="GQ117" i="3"/>
  <c r="GR117" i="3"/>
  <c r="GS117" i="3"/>
  <c r="GT117" i="3"/>
  <c r="GU117" i="3"/>
  <c r="GV117" i="3"/>
  <c r="GW117" i="3"/>
  <c r="GX117" i="3"/>
  <c r="GY117" i="3"/>
  <c r="GZ117" i="3"/>
  <c r="HA117" i="3"/>
  <c r="HB117" i="3"/>
  <c r="HC117" i="3"/>
  <c r="HD117" i="3"/>
  <c r="HE117" i="3"/>
  <c r="HF117" i="3"/>
  <c r="HG117" i="3"/>
  <c r="HH117" i="3"/>
  <c r="HI117" i="3"/>
  <c r="HJ117" i="3"/>
  <c r="HK117" i="3"/>
  <c r="HL117" i="3"/>
  <c r="HM117" i="3"/>
  <c r="HN117" i="3"/>
  <c r="HO117" i="3"/>
  <c r="HP117" i="3"/>
  <c r="HQ117" i="3"/>
  <c r="HR117" i="3"/>
  <c r="HS117" i="3"/>
  <c r="HT117" i="3"/>
  <c r="HU117" i="3"/>
  <c r="HV117" i="3"/>
  <c r="HW117" i="3"/>
  <c r="HX117" i="3"/>
  <c r="HY117" i="3"/>
  <c r="HZ117" i="3"/>
  <c r="IA117" i="3"/>
  <c r="IB117" i="3"/>
  <c r="IC117" i="3"/>
  <c r="ID117" i="3"/>
  <c r="IE117" i="3"/>
  <c r="IF117" i="3"/>
  <c r="IG117" i="3"/>
  <c r="IH117" i="3"/>
  <c r="II117" i="3"/>
  <c r="IJ117" i="3"/>
  <c r="IK117" i="3"/>
  <c r="IL117" i="3"/>
  <c r="IM117" i="3"/>
  <c r="IN117" i="3"/>
  <c r="IO117" i="3"/>
  <c r="IP117" i="3"/>
  <c r="IQ117" i="3"/>
  <c r="IR117" i="3"/>
  <c r="IS117" i="3"/>
  <c r="IT117" i="3"/>
  <c r="IU117" i="3"/>
  <c r="IV117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DC116" i="3"/>
  <c r="DD116" i="3"/>
  <c r="DE116" i="3"/>
  <c r="DF116" i="3"/>
  <c r="DG116" i="3"/>
  <c r="DH116" i="3"/>
  <c r="DI116" i="3"/>
  <c r="DJ116" i="3"/>
  <c r="DK116" i="3"/>
  <c r="DL116" i="3"/>
  <c r="DM116" i="3"/>
  <c r="DN116" i="3"/>
  <c r="DO116" i="3"/>
  <c r="DP116" i="3"/>
  <c r="DQ116" i="3"/>
  <c r="DR116" i="3"/>
  <c r="DS116" i="3"/>
  <c r="DT116" i="3"/>
  <c r="DU116" i="3"/>
  <c r="DV116" i="3"/>
  <c r="DW116" i="3"/>
  <c r="DX116" i="3"/>
  <c r="DY116" i="3"/>
  <c r="DZ116" i="3"/>
  <c r="EA116" i="3"/>
  <c r="EB116" i="3"/>
  <c r="EC116" i="3"/>
  <c r="ED116" i="3"/>
  <c r="EE116" i="3"/>
  <c r="EF116" i="3"/>
  <c r="EG116" i="3"/>
  <c r="EH116" i="3"/>
  <c r="EI116" i="3"/>
  <c r="EJ116" i="3"/>
  <c r="EK116" i="3"/>
  <c r="EL116" i="3"/>
  <c r="EM116" i="3"/>
  <c r="EN116" i="3"/>
  <c r="EO116" i="3"/>
  <c r="EP116" i="3"/>
  <c r="EQ116" i="3"/>
  <c r="ER116" i="3"/>
  <c r="ES116" i="3"/>
  <c r="ET116" i="3"/>
  <c r="EU116" i="3"/>
  <c r="EV116" i="3"/>
  <c r="EW116" i="3"/>
  <c r="EX116" i="3"/>
  <c r="EY116" i="3"/>
  <c r="EZ116" i="3"/>
  <c r="FA116" i="3"/>
  <c r="FB116" i="3"/>
  <c r="FC116" i="3"/>
  <c r="FD116" i="3"/>
  <c r="FE116" i="3"/>
  <c r="FF116" i="3"/>
  <c r="FG116" i="3"/>
  <c r="FH116" i="3"/>
  <c r="FI116" i="3"/>
  <c r="FJ116" i="3"/>
  <c r="FK116" i="3"/>
  <c r="FL116" i="3"/>
  <c r="FM116" i="3"/>
  <c r="FN116" i="3"/>
  <c r="FO116" i="3"/>
  <c r="FP116" i="3"/>
  <c r="FQ116" i="3"/>
  <c r="FR116" i="3"/>
  <c r="FS116" i="3"/>
  <c r="FT116" i="3"/>
  <c r="FU116" i="3"/>
  <c r="FV116" i="3"/>
  <c r="FW116" i="3"/>
  <c r="FX116" i="3"/>
  <c r="FY116" i="3"/>
  <c r="FZ116" i="3"/>
  <c r="GA116" i="3"/>
  <c r="GB116" i="3"/>
  <c r="GC116" i="3"/>
  <c r="GD116" i="3"/>
  <c r="GE116" i="3"/>
  <c r="GF116" i="3"/>
  <c r="GG116" i="3"/>
  <c r="GH116" i="3"/>
  <c r="GI116" i="3"/>
  <c r="GJ116" i="3"/>
  <c r="GK116" i="3"/>
  <c r="GL116" i="3"/>
  <c r="GM116" i="3"/>
  <c r="GN116" i="3"/>
  <c r="GO116" i="3"/>
  <c r="GP116" i="3"/>
  <c r="GQ116" i="3"/>
  <c r="GR116" i="3"/>
  <c r="GS116" i="3"/>
  <c r="GT116" i="3"/>
  <c r="GU116" i="3"/>
  <c r="GV116" i="3"/>
  <c r="GW116" i="3"/>
  <c r="GX116" i="3"/>
  <c r="GY116" i="3"/>
  <c r="GZ116" i="3"/>
  <c r="HA116" i="3"/>
  <c r="HB116" i="3"/>
  <c r="HC116" i="3"/>
  <c r="HD116" i="3"/>
  <c r="HE116" i="3"/>
  <c r="HF116" i="3"/>
  <c r="HG116" i="3"/>
  <c r="HH116" i="3"/>
  <c r="HI116" i="3"/>
  <c r="HJ116" i="3"/>
  <c r="HK116" i="3"/>
  <c r="HL116" i="3"/>
  <c r="HM116" i="3"/>
  <c r="HN116" i="3"/>
  <c r="HO116" i="3"/>
  <c r="HP116" i="3"/>
  <c r="HQ116" i="3"/>
  <c r="HR116" i="3"/>
  <c r="HS116" i="3"/>
  <c r="HT116" i="3"/>
  <c r="HU116" i="3"/>
  <c r="HV116" i="3"/>
  <c r="HW116" i="3"/>
  <c r="HX116" i="3"/>
  <c r="HY116" i="3"/>
  <c r="HZ116" i="3"/>
  <c r="IA116" i="3"/>
  <c r="IB116" i="3"/>
  <c r="IC116" i="3"/>
  <c r="ID116" i="3"/>
  <c r="IE116" i="3"/>
  <c r="IF116" i="3"/>
  <c r="IG116" i="3"/>
  <c r="IH116" i="3"/>
  <c r="II116" i="3"/>
  <c r="IJ116" i="3"/>
  <c r="IK116" i="3"/>
  <c r="IL116" i="3"/>
  <c r="IM116" i="3"/>
  <c r="IN116" i="3"/>
  <c r="IO116" i="3"/>
  <c r="IP116" i="3"/>
  <c r="IQ116" i="3"/>
  <c r="IR116" i="3"/>
  <c r="IS116" i="3"/>
  <c r="IT116" i="3"/>
  <c r="IU116" i="3"/>
  <c r="IV116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DC115" i="3"/>
  <c r="DD115" i="3"/>
  <c r="DE115" i="3"/>
  <c r="DF115" i="3"/>
  <c r="DG115" i="3"/>
  <c r="DH115" i="3"/>
  <c r="DI115" i="3"/>
  <c r="DJ115" i="3"/>
  <c r="DK115" i="3"/>
  <c r="DL115" i="3"/>
  <c r="DM115" i="3"/>
  <c r="DN115" i="3"/>
  <c r="DO115" i="3"/>
  <c r="DP115" i="3"/>
  <c r="DQ115" i="3"/>
  <c r="DR115" i="3"/>
  <c r="DS115" i="3"/>
  <c r="DT115" i="3"/>
  <c r="DU115" i="3"/>
  <c r="DV115" i="3"/>
  <c r="DW115" i="3"/>
  <c r="DX115" i="3"/>
  <c r="DY115" i="3"/>
  <c r="DZ115" i="3"/>
  <c r="EA115" i="3"/>
  <c r="EB115" i="3"/>
  <c r="EC115" i="3"/>
  <c r="ED115" i="3"/>
  <c r="EE115" i="3"/>
  <c r="EF115" i="3"/>
  <c r="EG115" i="3"/>
  <c r="EH115" i="3"/>
  <c r="EI115" i="3"/>
  <c r="EJ115" i="3"/>
  <c r="EK115" i="3"/>
  <c r="EL115" i="3"/>
  <c r="EM115" i="3"/>
  <c r="EN115" i="3"/>
  <c r="EO115" i="3"/>
  <c r="EP115" i="3"/>
  <c r="EQ115" i="3"/>
  <c r="ER115" i="3"/>
  <c r="ES115" i="3"/>
  <c r="ET115" i="3"/>
  <c r="EU115" i="3"/>
  <c r="EV115" i="3"/>
  <c r="EW115" i="3"/>
  <c r="EX115" i="3"/>
  <c r="EY115" i="3"/>
  <c r="EZ115" i="3"/>
  <c r="FA115" i="3"/>
  <c r="FB115" i="3"/>
  <c r="FC115" i="3"/>
  <c r="FD115" i="3"/>
  <c r="FE115" i="3"/>
  <c r="FF115" i="3"/>
  <c r="FG115" i="3"/>
  <c r="FH115" i="3"/>
  <c r="FI115" i="3"/>
  <c r="FJ115" i="3"/>
  <c r="FK115" i="3"/>
  <c r="FL115" i="3"/>
  <c r="FM115" i="3"/>
  <c r="FN115" i="3"/>
  <c r="FO115" i="3"/>
  <c r="FP115" i="3"/>
  <c r="FQ115" i="3"/>
  <c r="FR115" i="3"/>
  <c r="FS115" i="3"/>
  <c r="FT115" i="3"/>
  <c r="FU115" i="3"/>
  <c r="FV115" i="3"/>
  <c r="FW115" i="3"/>
  <c r="FX115" i="3"/>
  <c r="FY115" i="3"/>
  <c r="FZ115" i="3"/>
  <c r="GA115" i="3"/>
  <c r="GB115" i="3"/>
  <c r="GC115" i="3"/>
  <c r="GD115" i="3"/>
  <c r="GE115" i="3"/>
  <c r="GF115" i="3"/>
  <c r="GG115" i="3"/>
  <c r="GH115" i="3"/>
  <c r="GI115" i="3"/>
  <c r="GJ115" i="3"/>
  <c r="GK115" i="3"/>
  <c r="GL115" i="3"/>
  <c r="GM115" i="3"/>
  <c r="GN115" i="3"/>
  <c r="GO115" i="3"/>
  <c r="GP115" i="3"/>
  <c r="GQ115" i="3"/>
  <c r="GR115" i="3"/>
  <c r="GS115" i="3"/>
  <c r="GT115" i="3"/>
  <c r="GU115" i="3"/>
  <c r="GV115" i="3"/>
  <c r="GW115" i="3"/>
  <c r="GX115" i="3"/>
  <c r="GY115" i="3"/>
  <c r="GZ115" i="3"/>
  <c r="HA115" i="3"/>
  <c r="HB115" i="3"/>
  <c r="HC115" i="3"/>
  <c r="HD115" i="3"/>
  <c r="HE115" i="3"/>
  <c r="HF115" i="3"/>
  <c r="HG115" i="3"/>
  <c r="HH115" i="3"/>
  <c r="HI115" i="3"/>
  <c r="HJ115" i="3"/>
  <c r="HK115" i="3"/>
  <c r="HL115" i="3"/>
  <c r="HM115" i="3"/>
  <c r="HN115" i="3"/>
  <c r="HO115" i="3"/>
  <c r="HP115" i="3"/>
  <c r="HQ115" i="3"/>
  <c r="HR115" i="3"/>
  <c r="HS115" i="3"/>
  <c r="HT115" i="3"/>
  <c r="HU115" i="3"/>
  <c r="HV115" i="3"/>
  <c r="HW115" i="3"/>
  <c r="HX115" i="3"/>
  <c r="HY115" i="3"/>
  <c r="HZ115" i="3"/>
  <c r="IA115" i="3"/>
  <c r="IB115" i="3"/>
  <c r="IC115" i="3"/>
  <c r="ID115" i="3"/>
  <c r="IE115" i="3"/>
  <c r="IF115" i="3"/>
  <c r="IG115" i="3"/>
  <c r="IH115" i="3"/>
  <c r="II115" i="3"/>
  <c r="IJ115" i="3"/>
  <c r="IK115" i="3"/>
  <c r="IL115" i="3"/>
  <c r="IM115" i="3"/>
  <c r="IN115" i="3"/>
  <c r="IO115" i="3"/>
  <c r="IP115" i="3"/>
  <c r="IQ115" i="3"/>
  <c r="IR115" i="3"/>
  <c r="IS115" i="3"/>
  <c r="IT115" i="3"/>
  <c r="IU115" i="3"/>
  <c r="IV115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DC114" i="3"/>
  <c r="DD114" i="3"/>
  <c r="DE114" i="3"/>
  <c r="DF114" i="3"/>
  <c r="DG114" i="3"/>
  <c r="DH114" i="3"/>
  <c r="DI114" i="3"/>
  <c r="DJ114" i="3"/>
  <c r="DK114" i="3"/>
  <c r="DL114" i="3"/>
  <c r="DM114" i="3"/>
  <c r="DN114" i="3"/>
  <c r="DO114" i="3"/>
  <c r="DP114" i="3"/>
  <c r="DQ114" i="3"/>
  <c r="DR114" i="3"/>
  <c r="DS114" i="3"/>
  <c r="DT114" i="3"/>
  <c r="DU114" i="3"/>
  <c r="DV114" i="3"/>
  <c r="DW114" i="3"/>
  <c r="DX114" i="3"/>
  <c r="DY114" i="3"/>
  <c r="DZ114" i="3"/>
  <c r="EA114" i="3"/>
  <c r="EB114" i="3"/>
  <c r="EC114" i="3"/>
  <c r="ED114" i="3"/>
  <c r="EE114" i="3"/>
  <c r="EF114" i="3"/>
  <c r="EG114" i="3"/>
  <c r="EH114" i="3"/>
  <c r="EI114" i="3"/>
  <c r="EJ114" i="3"/>
  <c r="EK114" i="3"/>
  <c r="EL114" i="3"/>
  <c r="EM114" i="3"/>
  <c r="EN114" i="3"/>
  <c r="EO114" i="3"/>
  <c r="EP114" i="3"/>
  <c r="EQ114" i="3"/>
  <c r="ER114" i="3"/>
  <c r="ES114" i="3"/>
  <c r="ET114" i="3"/>
  <c r="EU114" i="3"/>
  <c r="EV114" i="3"/>
  <c r="EW114" i="3"/>
  <c r="EX114" i="3"/>
  <c r="EY114" i="3"/>
  <c r="EZ114" i="3"/>
  <c r="FA114" i="3"/>
  <c r="FB114" i="3"/>
  <c r="FC114" i="3"/>
  <c r="FD114" i="3"/>
  <c r="FE114" i="3"/>
  <c r="FF114" i="3"/>
  <c r="FG114" i="3"/>
  <c r="FH114" i="3"/>
  <c r="FI114" i="3"/>
  <c r="FJ114" i="3"/>
  <c r="FK114" i="3"/>
  <c r="FL114" i="3"/>
  <c r="FM114" i="3"/>
  <c r="FN114" i="3"/>
  <c r="FO114" i="3"/>
  <c r="FP114" i="3"/>
  <c r="FQ114" i="3"/>
  <c r="FR114" i="3"/>
  <c r="FS114" i="3"/>
  <c r="FT114" i="3"/>
  <c r="FU114" i="3"/>
  <c r="FV114" i="3"/>
  <c r="FW114" i="3"/>
  <c r="FX114" i="3"/>
  <c r="FY114" i="3"/>
  <c r="FZ114" i="3"/>
  <c r="GA114" i="3"/>
  <c r="GB114" i="3"/>
  <c r="GC114" i="3"/>
  <c r="GD114" i="3"/>
  <c r="GE114" i="3"/>
  <c r="GF114" i="3"/>
  <c r="GG114" i="3"/>
  <c r="GH114" i="3"/>
  <c r="GI114" i="3"/>
  <c r="GJ114" i="3"/>
  <c r="GK114" i="3"/>
  <c r="GL114" i="3"/>
  <c r="GM114" i="3"/>
  <c r="GN114" i="3"/>
  <c r="GO114" i="3"/>
  <c r="GP114" i="3"/>
  <c r="GQ114" i="3"/>
  <c r="GR114" i="3"/>
  <c r="GS114" i="3"/>
  <c r="GT114" i="3"/>
  <c r="GU114" i="3"/>
  <c r="GV114" i="3"/>
  <c r="GW114" i="3"/>
  <c r="GX114" i="3"/>
  <c r="GY114" i="3"/>
  <c r="GZ114" i="3"/>
  <c r="HA114" i="3"/>
  <c r="HB114" i="3"/>
  <c r="HC114" i="3"/>
  <c r="HD114" i="3"/>
  <c r="HE114" i="3"/>
  <c r="HF114" i="3"/>
  <c r="HG114" i="3"/>
  <c r="HH114" i="3"/>
  <c r="HI114" i="3"/>
  <c r="HJ114" i="3"/>
  <c r="HK114" i="3"/>
  <c r="HL114" i="3"/>
  <c r="HM114" i="3"/>
  <c r="HN114" i="3"/>
  <c r="HO114" i="3"/>
  <c r="HP114" i="3"/>
  <c r="HQ114" i="3"/>
  <c r="HR114" i="3"/>
  <c r="HS114" i="3"/>
  <c r="HT114" i="3"/>
  <c r="HU114" i="3"/>
  <c r="HV114" i="3"/>
  <c r="HW114" i="3"/>
  <c r="HX114" i="3"/>
  <c r="HY114" i="3"/>
  <c r="HZ114" i="3"/>
  <c r="IA114" i="3"/>
  <c r="IB114" i="3"/>
  <c r="IC114" i="3"/>
  <c r="ID114" i="3"/>
  <c r="IE114" i="3"/>
  <c r="IF114" i="3"/>
  <c r="IG114" i="3"/>
  <c r="IH114" i="3"/>
  <c r="II114" i="3"/>
  <c r="IJ114" i="3"/>
  <c r="IK114" i="3"/>
  <c r="IL114" i="3"/>
  <c r="IM114" i="3"/>
  <c r="IN114" i="3"/>
  <c r="IO114" i="3"/>
  <c r="IP114" i="3"/>
  <c r="IQ114" i="3"/>
  <c r="IR114" i="3"/>
  <c r="IS114" i="3"/>
  <c r="IT114" i="3"/>
  <c r="IU114" i="3"/>
  <c r="IV114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DC113" i="3"/>
  <c r="DD113" i="3"/>
  <c r="DE113" i="3"/>
  <c r="DF113" i="3"/>
  <c r="DG113" i="3"/>
  <c r="DH113" i="3"/>
  <c r="DI113" i="3"/>
  <c r="DJ113" i="3"/>
  <c r="DK113" i="3"/>
  <c r="DL113" i="3"/>
  <c r="DM113" i="3"/>
  <c r="DN113" i="3"/>
  <c r="DO113" i="3"/>
  <c r="DP113" i="3"/>
  <c r="DQ113" i="3"/>
  <c r="DR113" i="3"/>
  <c r="DS113" i="3"/>
  <c r="DT113" i="3"/>
  <c r="DU113" i="3"/>
  <c r="DV113" i="3"/>
  <c r="DW113" i="3"/>
  <c r="DX113" i="3"/>
  <c r="DY113" i="3"/>
  <c r="DZ113" i="3"/>
  <c r="EA113" i="3"/>
  <c r="EB113" i="3"/>
  <c r="EC113" i="3"/>
  <c r="ED113" i="3"/>
  <c r="EE113" i="3"/>
  <c r="EF113" i="3"/>
  <c r="EG113" i="3"/>
  <c r="EH113" i="3"/>
  <c r="EI113" i="3"/>
  <c r="EJ113" i="3"/>
  <c r="EK113" i="3"/>
  <c r="EL113" i="3"/>
  <c r="EM113" i="3"/>
  <c r="EN113" i="3"/>
  <c r="EO113" i="3"/>
  <c r="EP113" i="3"/>
  <c r="EQ113" i="3"/>
  <c r="ER113" i="3"/>
  <c r="ES113" i="3"/>
  <c r="ET113" i="3"/>
  <c r="EU113" i="3"/>
  <c r="EV113" i="3"/>
  <c r="EW113" i="3"/>
  <c r="EX113" i="3"/>
  <c r="EY113" i="3"/>
  <c r="EZ113" i="3"/>
  <c r="FA113" i="3"/>
  <c r="FB113" i="3"/>
  <c r="FC113" i="3"/>
  <c r="FD113" i="3"/>
  <c r="FE113" i="3"/>
  <c r="FF113" i="3"/>
  <c r="FG113" i="3"/>
  <c r="FH113" i="3"/>
  <c r="FI113" i="3"/>
  <c r="FJ113" i="3"/>
  <c r="FK113" i="3"/>
  <c r="FL113" i="3"/>
  <c r="FM113" i="3"/>
  <c r="FN113" i="3"/>
  <c r="FO113" i="3"/>
  <c r="FP113" i="3"/>
  <c r="FQ113" i="3"/>
  <c r="FR113" i="3"/>
  <c r="FS113" i="3"/>
  <c r="FT113" i="3"/>
  <c r="FU113" i="3"/>
  <c r="FV113" i="3"/>
  <c r="FW113" i="3"/>
  <c r="FX113" i="3"/>
  <c r="FY113" i="3"/>
  <c r="FZ113" i="3"/>
  <c r="GA113" i="3"/>
  <c r="GB113" i="3"/>
  <c r="GC113" i="3"/>
  <c r="GD113" i="3"/>
  <c r="GE113" i="3"/>
  <c r="GF113" i="3"/>
  <c r="GG113" i="3"/>
  <c r="GH113" i="3"/>
  <c r="GI113" i="3"/>
  <c r="GJ113" i="3"/>
  <c r="GK113" i="3"/>
  <c r="GL113" i="3"/>
  <c r="GM113" i="3"/>
  <c r="GN113" i="3"/>
  <c r="GO113" i="3"/>
  <c r="GP113" i="3"/>
  <c r="GQ113" i="3"/>
  <c r="GR113" i="3"/>
  <c r="GS113" i="3"/>
  <c r="GT113" i="3"/>
  <c r="GU113" i="3"/>
  <c r="GV113" i="3"/>
  <c r="GW113" i="3"/>
  <c r="GX113" i="3"/>
  <c r="GY113" i="3"/>
  <c r="GZ113" i="3"/>
  <c r="HA113" i="3"/>
  <c r="HB113" i="3"/>
  <c r="HC113" i="3"/>
  <c r="HD113" i="3"/>
  <c r="HE113" i="3"/>
  <c r="HF113" i="3"/>
  <c r="HG113" i="3"/>
  <c r="HH113" i="3"/>
  <c r="HI113" i="3"/>
  <c r="HJ113" i="3"/>
  <c r="HK113" i="3"/>
  <c r="HL113" i="3"/>
  <c r="HM113" i="3"/>
  <c r="HN113" i="3"/>
  <c r="HO113" i="3"/>
  <c r="HP113" i="3"/>
  <c r="HQ113" i="3"/>
  <c r="HR113" i="3"/>
  <c r="HS113" i="3"/>
  <c r="HT113" i="3"/>
  <c r="HU113" i="3"/>
  <c r="HV113" i="3"/>
  <c r="HW113" i="3"/>
  <c r="HX113" i="3"/>
  <c r="HY113" i="3"/>
  <c r="HZ113" i="3"/>
  <c r="IA113" i="3"/>
  <c r="IB113" i="3"/>
  <c r="IC113" i="3"/>
  <c r="ID113" i="3"/>
  <c r="IE113" i="3"/>
  <c r="IF113" i="3"/>
  <c r="IG113" i="3"/>
  <c r="IH113" i="3"/>
  <c r="II113" i="3"/>
  <c r="IJ113" i="3"/>
  <c r="IK113" i="3"/>
  <c r="IL113" i="3"/>
  <c r="IM113" i="3"/>
  <c r="IN113" i="3"/>
  <c r="IO113" i="3"/>
  <c r="IP113" i="3"/>
  <c r="IQ113" i="3"/>
  <c r="IR113" i="3"/>
  <c r="IS113" i="3"/>
  <c r="IT113" i="3"/>
  <c r="IU113" i="3"/>
  <c r="IV113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DC112" i="3"/>
  <c r="DD112" i="3"/>
  <c r="DE112" i="3"/>
  <c r="DF112" i="3"/>
  <c r="DG112" i="3"/>
  <c r="DH112" i="3"/>
  <c r="DI112" i="3"/>
  <c r="DJ112" i="3"/>
  <c r="DK112" i="3"/>
  <c r="DL112" i="3"/>
  <c r="DM112" i="3"/>
  <c r="DN112" i="3"/>
  <c r="DO112" i="3"/>
  <c r="DP112" i="3"/>
  <c r="DQ112" i="3"/>
  <c r="DR112" i="3"/>
  <c r="DS112" i="3"/>
  <c r="DT112" i="3"/>
  <c r="DU112" i="3"/>
  <c r="DV112" i="3"/>
  <c r="DW112" i="3"/>
  <c r="DX112" i="3"/>
  <c r="DY112" i="3"/>
  <c r="DZ112" i="3"/>
  <c r="EA112" i="3"/>
  <c r="EB112" i="3"/>
  <c r="EC112" i="3"/>
  <c r="ED112" i="3"/>
  <c r="EE112" i="3"/>
  <c r="EF112" i="3"/>
  <c r="EG112" i="3"/>
  <c r="EH112" i="3"/>
  <c r="EI112" i="3"/>
  <c r="EJ112" i="3"/>
  <c r="EK112" i="3"/>
  <c r="EL112" i="3"/>
  <c r="EM112" i="3"/>
  <c r="EN112" i="3"/>
  <c r="EO112" i="3"/>
  <c r="EP112" i="3"/>
  <c r="EQ112" i="3"/>
  <c r="ER112" i="3"/>
  <c r="ES112" i="3"/>
  <c r="ET112" i="3"/>
  <c r="EU112" i="3"/>
  <c r="EV112" i="3"/>
  <c r="EW112" i="3"/>
  <c r="EX112" i="3"/>
  <c r="EY112" i="3"/>
  <c r="EZ112" i="3"/>
  <c r="FA112" i="3"/>
  <c r="FB112" i="3"/>
  <c r="FC112" i="3"/>
  <c r="FD112" i="3"/>
  <c r="FE112" i="3"/>
  <c r="FF112" i="3"/>
  <c r="FG112" i="3"/>
  <c r="FH112" i="3"/>
  <c r="FI112" i="3"/>
  <c r="FJ112" i="3"/>
  <c r="FK112" i="3"/>
  <c r="FL112" i="3"/>
  <c r="FM112" i="3"/>
  <c r="FN112" i="3"/>
  <c r="FO112" i="3"/>
  <c r="FP112" i="3"/>
  <c r="FQ112" i="3"/>
  <c r="FR112" i="3"/>
  <c r="FS112" i="3"/>
  <c r="FT112" i="3"/>
  <c r="FU112" i="3"/>
  <c r="FV112" i="3"/>
  <c r="FW112" i="3"/>
  <c r="FX112" i="3"/>
  <c r="FY112" i="3"/>
  <c r="FZ112" i="3"/>
  <c r="GA112" i="3"/>
  <c r="GB112" i="3"/>
  <c r="GC112" i="3"/>
  <c r="GD112" i="3"/>
  <c r="GE112" i="3"/>
  <c r="GF112" i="3"/>
  <c r="GG112" i="3"/>
  <c r="GH112" i="3"/>
  <c r="GI112" i="3"/>
  <c r="GJ112" i="3"/>
  <c r="GK112" i="3"/>
  <c r="GL112" i="3"/>
  <c r="GM112" i="3"/>
  <c r="GN112" i="3"/>
  <c r="GO112" i="3"/>
  <c r="GP112" i="3"/>
  <c r="GQ112" i="3"/>
  <c r="GR112" i="3"/>
  <c r="GS112" i="3"/>
  <c r="GT112" i="3"/>
  <c r="GU112" i="3"/>
  <c r="GV112" i="3"/>
  <c r="GW112" i="3"/>
  <c r="GX112" i="3"/>
  <c r="GY112" i="3"/>
  <c r="GZ112" i="3"/>
  <c r="HA112" i="3"/>
  <c r="HB112" i="3"/>
  <c r="HC112" i="3"/>
  <c r="HD112" i="3"/>
  <c r="HE112" i="3"/>
  <c r="HF112" i="3"/>
  <c r="HG112" i="3"/>
  <c r="HH112" i="3"/>
  <c r="HI112" i="3"/>
  <c r="HJ112" i="3"/>
  <c r="HK112" i="3"/>
  <c r="HL112" i="3"/>
  <c r="HM112" i="3"/>
  <c r="HN112" i="3"/>
  <c r="HO112" i="3"/>
  <c r="HP112" i="3"/>
  <c r="HQ112" i="3"/>
  <c r="HR112" i="3"/>
  <c r="HS112" i="3"/>
  <c r="HT112" i="3"/>
  <c r="HU112" i="3"/>
  <c r="HV112" i="3"/>
  <c r="HW112" i="3"/>
  <c r="HX112" i="3"/>
  <c r="HY112" i="3"/>
  <c r="HZ112" i="3"/>
  <c r="IA112" i="3"/>
  <c r="IB112" i="3"/>
  <c r="IC112" i="3"/>
  <c r="ID112" i="3"/>
  <c r="IE112" i="3"/>
  <c r="IF112" i="3"/>
  <c r="IG112" i="3"/>
  <c r="IH112" i="3"/>
  <c r="II112" i="3"/>
  <c r="IJ112" i="3"/>
  <c r="IK112" i="3"/>
  <c r="IL112" i="3"/>
  <c r="IM112" i="3"/>
  <c r="IN112" i="3"/>
  <c r="IO112" i="3"/>
  <c r="IP112" i="3"/>
  <c r="IQ112" i="3"/>
  <c r="IR112" i="3"/>
  <c r="IS112" i="3"/>
  <c r="IT112" i="3"/>
  <c r="IU112" i="3"/>
  <c r="IV112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DC111" i="3"/>
  <c r="DD111" i="3"/>
  <c r="DE111" i="3"/>
  <c r="DF111" i="3"/>
  <c r="DG111" i="3"/>
  <c r="DH111" i="3"/>
  <c r="DI111" i="3"/>
  <c r="DJ111" i="3"/>
  <c r="DK111" i="3"/>
  <c r="DL111" i="3"/>
  <c r="DM111" i="3"/>
  <c r="DN111" i="3"/>
  <c r="DO111" i="3"/>
  <c r="DP111" i="3"/>
  <c r="DQ111" i="3"/>
  <c r="DR111" i="3"/>
  <c r="DS111" i="3"/>
  <c r="DT111" i="3"/>
  <c r="DU111" i="3"/>
  <c r="DV111" i="3"/>
  <c r="DW111" i="3"/>
  <c r="DX111" i="3"/>
  <c r="DY111" i="3"/>
  <c r="DZ111" i="3"/>
  <c r="EA111" i="3"/>
  <c r="EB111" i="3"/>
  <c r="EC111" i="3"/>
  <c r="ED111" i="3"/>
  <c r="EE111" i="3"/>
  <c r="EF111" i="3"/>
  <c r="EG111" i="3"/>
  <c r="EH111" i="3"/>
  <c r="EI111" i="3"/>
  <c r="EJ111" i="3"/>
  <c r="EK111" i="3"/>
  <c r="EL111" i="3"/>
  <c r="EM111" i="3"/>
  <c r="EN111" i="3"/>
  <c r="EO111" i="3"/>
  <c r="EP111" i="3"/>
  <c r="EQ111" i="3"/>
  <c r="ER111" i="3"/>
  <c r="ES111" i="3"/>
  <c r="ET111" i="3"/>
  <c r="EU111" i="3"/>
  <c r="EV111" i="3"/>
  <c r="EW111" i="3"/>
  <c r="EX111" i="3"/>
  <c r="EY111" i="3"/>
  <c r="EZ111" i="3"/>
  <c r="FA111" i="3"/>
  <c r="FB111" i="3"/>
  <c r="FC111" i="3"/>
  <c r="FD111" i="3"/>
  <c r="FE111" i="3"/>
  <c r="FF111" i="3"/>
  <c r="FG111" i="3"/>
  <c r="FH111" i="3"/>
  <c r="FI111" i="3"/>
  <c r="FJ111" i="3"/>
  <c r="FK111" i="3"/>
  <c r="FL111" i="3"/>
  <c r="FM111" i="3"/>
  <c r="FN111" i="3"/>
  <c r="FO111" i="3"/>
  <c r="FP111" i="3"/>
  <c r="FQ111" i="3"/>
  <c r="FR111" i="3"/>
  <c r="FS111" i="3"/>
  <c r="FT111" i="3"/>
  <c r="FU111" i="3"/>
  <c r="FV111" i="3"/>
  <c r="FW111" i="3"/>
  <c r="FX111" i="3"/>
  <c r="FY111" i="3"/>
  <c r="FZ111" i="3"/>
  <c r="GA111" i="3"/>
  <c r="GB111" i="3"/>
  <c r="GC111" i="3"/>
  <c r="GD111" i="3"/>
  <c r="GE111" i="3"/>
  <c r="GF111" i="3"/>
  <c r="GG111" i="3"/>
  <c r="GH111" i="3"/>
  <c r="GI111" i="3"/>
  <c r="GJ111" i="3"/>
  <c r="GK111" i="3"/>
  <c r="GL111" i="3"/>
  <c r="GM111" i="3"/>
  <c r="GN111" i="3"/>
  <c r="GO111" i="3"/>
  <c r="GP111" i="3"/>
  <c r="GQ111" i="3"/>
  <c r="GR111" i="3"/>
  <c r="GS111" i="3"/>
  <c r="GT111" i="3"/>
  <c r="GU111" i="3"/>
  <c r="GV111" i="3"/>
  <c r="GW111" i="3"/>
  <c r="GX111" i="3"/>
  <c r="GY111" i="3"/>
  <c r="GZ111" i="3"/>
  <c r="HA111" i="3"/>
  <c r="HB111" i="3"/>
  <c r="HC111" i="3"/>
  <c r="HD111" i="3"/>
  <c r="HE111" i="3"/>
  <c r="HF111" i="3"/>
  <c r="HG111" i="3"/>
  <c r="HH111" i="3"/>
  <c r="HI111" i="3"/>
  <c r="HJ111" i="3"/>
  <c r="HK111" i="3"/>
  <c r="HL111" i="3"/>
  <c r="HM111" i="3"/>
  <c r="HN111" i="3"/>
  <c r="HO111" i="3"/>
  <c r="HP111" i="3"/>
  <c r="HQ111" i="3"/>
  <c r="HR111" i="3"/>
  <c r="HS111" i="3"/>
  <c r="HT111" i="3"/>
  <c r="HU111" i="3"/>
  <c r="HV111" i="3"/>
  <c r="HW111" i="3"/>
  <c r="HX111" i="3"/>
  <c r="HY111" i="3"/>
  <c r="HZ111" i="3"/>
  <c r="IA111" i="3"/>
  <c r="IB111" i="3"/>
  <c r="IC111" i="3"/>
  <c r="ID111" i="3"/>
  <c r="IE111" i="3"/>
  <c r="IF111" i="3"/>
  <c r="IG111" i="3"/>
  <c r="IH111" i="3"/>
  <c r="II111" i="3"/>
  <c r="IJ111" i="3"/>
  <c r="IK111" i="3"/>
  <c r="IL111" i="3"/>
  <c r="IM111" i="3"/>
  <c r="IN111" i="3"/>
  <c r="IO111" i="3"/>
  <c r="IP111" i="3"/>
  <c r="IQ111" i="3"/>
  <c r="IR111" i="3"/>
  <c r="IS111" i="3"/>
  <c r="IT111" i="3"/>
  <c r="IU111" i="3"/>
  <c r="IV111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DC110" i="3"/>
  <c r="DD110" i="3"/>
  <c r="DE110" i="3"/>
  <c r="DF110" i="3"/>
  <c r="DG110" i="3"/>
  <c r="DH110" i="3"/>
  <c r="DI110" i="3"/>
  <c r="DJ110" i="3"/>
  <c r="DK110" i="3"/>
  <c r="DL110" i="3"/>
  <c r="DM110" i="3"/>
  <c r="DN110" i="3"/>
  <c r="DO110" i="3"/>
  <c r="DP110" i="3"/>
  <c r="DQ110" i="3"/>
  <c r="DR110" i="3"/>
  <c r="DS110" i="3"/>
  <c r="DT110" i="3"/>
  <c r="DU110" i="3"/>
  <c r="DV110" i="3"/>
  <c r="DW110" i="3"/>
  <c r="DX110" i="3"/>
  <c r="DY110" i="3"/>
  <c r="DZ110" i="3"/>
  <c r="EA110" i="3"/>
  <c r="EB110" i="3"/>
  <c r="EC110" i="3"/>
  <c r="ED110" i="3"/>
  <c r="EE110" i="3"/>
  <c r="EF110" i="3"/>
  <c r="EG110" i="3"/>
  <c r="EH110" i="3"/>
  <c r="EI110" i="3"/>
  <c r="EJ110" i="3"/>
  <c r="EK110" i="3"/>
  <c r="EL110" i="3"/>
  <c r="EM110" i="3"/>
  <c r="EN110" i="3"/>
  <c r="EO110" i="3"/>
  <c r="EP110" i="3"/>
  <c r="EQ110" i="3"/>
  <c r="ER110" i="3"/>
  <c r="ES110" i="3"/>
  <c r="ET110" i="3"/>
  <c r="EU110" i="3"/>
  <c r="EV110" i="3"/>
  <c r="EW110" i="3"/>
  <c r="EX110" i="3"/>
  <c r="EY110" i="3"/>
  <c r="EZ110" i="3"/>
  <c r="FA110" i="3"/>
  <c r="FB110" i="3"/>
  <c r="FC110" i="3"/>
  <c r="FD110" i="3"/>
  <c r="FE110" i="3"/>
  <c r="FF110" i="3"/>
  <c r="FG110" i="3"/>
  <c r="FH110" i="3"/>
  <c r="FI110" i="3"/>
  <c r="FJ110" i="3"/>
  <c r="FK110" i="3"/>
  <c r="FL110" i="3"/>
  <c r="FM110" i="3"/>
  <c r="FN110" i="3"/>
  <c r="FO110" i="3"/>
  <c r="FP110" i="3"/>
  <c r="FQ110" i="3"/>
  <c r="FR110" i="3"/>
  <c r="FS110" i="3"/>
  <c r="FT110" i="3"/>
  <c r="FU110" i="3"/>
  <c r="FV110" i="3"/>
  <c r="FW110" i="3"/>
  <c r="FX110" i="3"/>
  <c r="FY110" i="3"/>
  <c r="FZ110" i="3"/>
  <c r="GA110" i="3"/>
  <c r="GB110" i="3"/>
  <c r="GC110" i="3"/>
  <c r="GD110" i="3"/>
  <c r="GE110" i="3"/>
  <c r="GF110" i="3"/>
  <c r="GG110" i="3"/>
  <c r="GH110" i="3"/>
  <c r="GI110" i="3"/>
  <c r="GJ110" i="3"/>
  <c r="GK110" i="3"/>
  <c r="GL110" i="3"/>
  <c r="GM110" i="3"/>
  <c r="GN110" i="3"/>
  <c r="GO110" i="3"/>
  <c r="GP110" i="3"/>
  <c r="GQ110" i="3"/>
  <c r="GR110" i="3"/>
  <c r="GS110" i="3"/>
  <c r="GT110" i="3"/>
  <c r="GU110" i="3"/>
  <c r="GV110" i="3"/>
  <c r="GW110" i="3"/>
  <c r="GX110" i="3"/>
  <c r="GY110" i="3"/>
  <c r="GZ110" i="3"/>
  <c r="HA110" i="3"/>
  <c r="HB110" i="3"/>
  <c r="HC110" i="3"/>
  <c r="HD110" i="3"/>
  <c r="HE110" i="3"/>
  <c r="HF110" i="3"/>
  <c r="HG110" i="3"/>
  <c r="HH110" i="3"/>
  <c r="HI110" i="3"/>
  <c r="HJ110" i="3"/>
  <c r="HK110" i="3"/>
  <c r="HL110" i="3"/>
  <c r="HM110" i="3"/>
  <c r="HN110" i="3"/>
  <c r="HO110" i="3"/>
  <c r="HP110" i="3"/>
  <c r="HQ110" i="3"/>
  <c r="HR110" i="3"/>
  <c r="HS110" i="3"/>
  <c r="HT110" i="3"/>
  <c r="HU110" i="3"/>
  <c r="HV110" i="3"/>
  <c r="HW110" i="3"/>
  <c r="HX110" i="3"/>
  <c r="HY110" i="3"/>
  <c r="HZ110" i="3"/>
  <c r="IA110" i="3"/>
  <c r="IB110" i="3"/>
  <c r="IC110" i="3"/>
  <c r="ID110" i="3"/>
  <c r="IE110" i="3"/>
  <c r="IF110" i="3"/>
  <c r="IG110" i="3"/>
  <c r="IH110" i="3"/>
  <c r="II110" i="3"/>
  <c r="IJ110" i="3"/>
  <c r="IK110" i="3"/>
  <c r="IL110" i="3"/>
  <c r="IM110" i="3"/>
  <c r="IN110" i="3"/>
  <c r="IO110" i="3"/>
  <c r="IP110" i="3"/>
  <c r="IQ110" i="3"/>
  <c r="IR110" i="3"/>
  <c r="IS110" i="3"/>
  <c r="IT110" i="3"/>
  <c r="IU110" i="3"/>
  <c r="IV110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DC109" i="3"/>
  <c r="DD109" i="3"/>
  <c r="DE109" i="3"/>
  <c r="DF109" i="3"/>
  <c r="DG109" i="3"/>
  <c r="DH109" i="3"/>
  <c r="DI109" i="3"/>
  <c r="DJ109" i="3"/>
  <c r="DK109" i="3"/>
  <c r="DL109" i="3"/>
  <c r="DM109" i="3"/>
  <c r="DN109" i="3"/>
  <c r="DO109" i="3"/>
  <c r="DP109" i="3"/>
  <c r="DQ109" i="3"/>
  <c r="DR109" i="3"/>
  <c r="DS109" i="3"/>
  <c r="DT109" i="3"/>
  <c r="DU109" i="3"/>
  <c r="DV109" i="3"/>
  <c r="DW109" i="3"/>
  <c r="DX109" i="3"/>
  <c r="DY109" i="3"/>
  <c r="DZ109" i="3"/>
  <c r="EA109" i="3"/>
  <c r="EB109" i="3"/>
  <c r="EC109" i="3"/>
  <c r="ED109" i="3"/>
  <c r="EE109" i="3"/>
  <c r="EF109" i="3"/>
  <c r="EG109" i="3"/>
  <c r="EH109" i="3"/>
  <c r="EI109" i="3"/>
  <c r="EJ109" i="3"/>
  <c r="EK109" i="3"/>
  <c r="EL109" i="3"/>
  <c r="EM109" i="3"/>
  <c r="EN109" i="3"/>
  <c r="EO109" i="3"/>
  <c r="EP109" i="3"/>
  <c r="EQ109" i="3"/>
  <c r="ER109" i="3"/>
  <c r="ES109" i="3"/>
  <c r="ET109" i="3"/>
  <c r="EU109" i="3"/>
  <c r="EV109" i="3"/>
  <c r="EW109" i="3"/>
  <c r="EX109" i="3"/>
  <c r="EY109" i="3"/>
  <c r="EZ109" i="3"/>
  <c r="FA109" i="3"/>
  <c r="FB109" i="3"/>
  <c r="FC109" i="3"/>
  <c r="FD109" i="3"/>
  <c r="FE109" i="3"/>
  <c r="FF109" i="3"/>
  <c r="FG109" i="3"/>
  <c r="FH109" i="3"/>
  <c r="FI109" i="3"/>
  <c r="FJ109" i="3"/>
  <c r="FK109" i="3"/>
  <c r="FL109" i="3"/>
  <c r="FM109" i="3"/>
  <c r="FN109" i="3"/>
  <c r="FO109" i="3"/>
  <c r="FP109" i="3"/>
  <c r="FQ109" i="3"/>
  <c r="FR109" i="3"/>
  <c r="FS109" i="3"/>
  <c r="FT109" i="3"/>
  <c r="FU109" i="3"/>
  <c r="FV109" i="3"/>
  <c r="FW109" i="3"/>
  <c r="FX109" i="3"/>
  <c r="FY109" i="3"/>
  <c r="FZ109" i="3"/>
  <c r="GA109" i="3"/>
  <c r="GB109" i="3"/>
  <c r="GC109" i="3"/>
  <c r="GD109" i="3"/>
  <c r="GE109" i="3"/>
  <c r="GF109" i="3"/>
  <c r="GG109" i="3"/>
  <c r="GH109" i="3"/>
  <c r="GI109" i="3"/>
  <c r="GJ109" i="3"/>
  <c r="GK109" i="3"/>
  <c r="GL109" i="3"/>
  <c r="GM109" i="3"/>
  <c r="GN109" i="3"/>
  <c r="GO109" i="3"/>
  <c r="GP109" i="3"/>
  <c r="GQ109" i="3"/>
  <c r="GR109" i="3"/>
  <c r="GS109" i="3"/>
  <c r="GT109" i="3"/>
  <c r="GU109" i="3"/>
  <c r="GV109" i="3"/>
  <c r="GW109" i="3"/>
  <c r="GX109" i="3"/>
  <c r="GY109" i="3"/>
  <c r="GZ109" i="3"/>
  <c r="HA109" i="3"/>
  <c r="HB109" i="3"/>
  <c r="HC109" i="3"/>
  <c r="HD109" i="3"/>
  <c r="HE109" i="3"/>
  <c r="HF109" i="3"/>
  <c r="HG109" i="3"/>
  <c r="HH109" i="3"/>
  <c r="HI109" i="3"/>
  <c r="HJ109" i="3"/>
  <c r="HK109" i="3"/>
  <c r="HL109" i="3"/>
  <c r="HM109" i="3"/>
  <c r="HN109" i="3"/>
  <c r="HO109" i="3"/>
  <c r="HP109" i="3"/>
  <c r="HQ109" i="3"/>
  <c r="HR109" i="3"/>
  <c r="HS109" i="3"/>
  <c r="HT109" i="3"/>
  <c r="HU109" i="3"/>
  <c r="HV109" i="3"/>
  <c r="HW109" i="3"/>
  <c r="HX109" i="3"/>
  <c r="HY109" i="3"/>
  <c r="HZ109" i="3"/>
  <c r="IA109" i="3"/>
  <c r="IB109" i="3"/>
  <c r="IC109" i="3"/>
  <c r="ID109" i="3"/>
  <c r="IE109" i="3"/>
  <c r="IF109" i="3"/>
  <c r="IG109" i="3"/>
  <c r="IH109" i="3"/>
  <c r="II109" i="3"/>
  <c r="IJ109" i="3"/>
  <c r="IK109" i="3"/>
  <c r="IL109" i="3"/>
  <c r="IM109" i="3"/>
  <c r="IN109" i="3"/>
  <c r="IO109" i="3"/>
  <c r="IP109" i="3"/>
  <c r="IQ109" i="3"/>
  <c r="IR109" i="3"/>
  <c r="IS109" i="3"/>
  <c r="IT109" i="3"/>
  <c r="IU109" i="3"/>
  <c r="IV109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DC108" i="3"/>
  <c r="DD108" i="3"/>
  <c r="DE108" i="3"/>
  <c r="DF108" i="3"/>
  <c r="DG108" i="3"/>
  <c r="DH108" i="3"/>
  <c r="DI108" i="3"/>
  <c r="DJ108" i="3"/>
  <c r="DK108" i="3"/>
  <c r="DL108" i="3"/>
  <c r="DM108" i="3"/>
  <c r="DN108" i="3"/>
  <c r="DO108" i="3"/>
  <c r="DP108" i="3"/>
  <c r="DQ108" i="3"/>
  <c r="DR108" i="3"/>
  <c r="DS108" i="3"/>
  <c r="DT108" i="3"/>
  <c r="DU108" i="3"/>
  <c r="DV108" i="3"/>
  <c r="DW108" i="3"/>
  <c r="DX108" i="3"/>
  <c r="DY108" i="3"/>
  <c r="DZ108" i="3"/>
  <c r="EA108" i="3"/>
  <c r="EB108" i="3"/>
  <c r="EC108" i="3"/>
  <c r="ED108" i="3"/>
  <c r="EE108" i="3"/>
  <c r="EF108" i="3"/>
  <c r="EG108" i="3"/>
  <c r="EH108" i="3"/>
  <c r="EI108" i="3"/>
  <c r="EJ108" i="3"/>
  <c r="EK108" i="3"/>
  <c r="EL108" i="3"/>
  <c r="EM108" i="3"/>
  <c r="EN108" i="3"/>
  <c r="EO108" i="3"/>
  <c r="EP108" i="3"/>
  <c r="EQ108" i="3"/>
  <c r="ER108" i="3"/>
  <c r="ES108" i="3"/>
  <c r="ET108" i="3"/>
  <c r="EU108" i="3"/>
  <c r="EV108" i="3"/>
  <c r="EW108" i="3"/>
  <c r="EX108" i="3"/>
  <c r="EY108" i="3"/>
  <c r="EZ108" i="3"/>
  <c r="FA108" i="3"/>
  <c r="FB108" i="3"/>
  <c r="FC108" i="3"/>
  <c r="FD108" i="3"/>
  <c r="FE108" i="3"/>
  <c r="FF108" i="3"/>
  <c r="FG108" i="3"/>
  <c r="FH108" i="3"/>
  <c r="FI108" i="3"/>
  <c r="FJ108" i="3"/>
  <c r="FK108" i="3"/>
  <c r="FL108" i="3"/>
  <c r="FM108" i="3"/>
  <c r="FN108" i="3"/>
  <c r="FO108" i="3"/>
  <c r="FP108" i="3"/>
  <c r="FQ108" i="3"/>
  <c r="FR108" i="3"/>
  <c r="FS108" i="3"/>
  <c r="FT108" i="3"/>
  <c r="FU108" i="3"/>
  <c r="FV108" i="3"/>
  <c r="FW108" i="3"/>
  <c r="FX108" i="3"/>
  <c r="FY108" i="3"/>
  <c r="FZ108" i="3"/>
  <c r="GA108" i="3"/>
  <c r="GB108" i="3"/>
  <c r="GC108" i="3"/>
  <c r="GD108" i="3"/>
  <c r="GE108" i="3"/>
  <c r="GF108" i="3"/>
  <c r="GG108" i="3"/>
  <c r="GH108" i="3"/>
  <c r="GI108" i="3"/>
  <c r="GJ108" i="3"/>
  <c r="GK108" i="3"/>
  <c r="GL108" i="3"/>
  <c r="GM108" i="3"/>
  <c r="GN108" i="3"/>
  <c r="GO108" i="3"/>
  <c r="GP108" i="3"/>
  <c r="GQ108" i="3"/>
  <c r="GR108" i="3"/>
  <c r="GS108" i="3"/>
  <c r="GT108" i="3"/>
  <c r="GU108" i="3"/>
  <c r="GV108" i="3"/>
  <c r="GW108" i="3"/>
  <c r="GX108" i="3"/>
  <c r="GY108" i="3"/>
  <c r="GZ108" i="3"/>
  <c r="HA108" i="3"/>
  <c r="HB108" i="3"/>
  <c r="HC108" i="3"/>
  <c r="HD108" i="3"/>
  <c r="HE108" i="3"/>
  <c r="HF108" i="3"/>
  <c r="HG108" i="3"/>
  <c r="HH108" i="3"/>
  <c r="HI108" i="3"/>
  <c r="HJ108" i="3"/>
  <c r="HK108" i="3"/>
  <c r="HL108" i="3"/>
  <c r="HM108" i="3"/>
  <c r="HN108" i="3"/>
  <c r="HO108" i="3"/>
  <c r="HP108" i="3"/>
  <c r="HQ108" i="3"/>
  <c r="HR108" i="3"/>
  <c r="HS108" i="3"/>
  <c r="HT108" i="3"/>
  <c r="HU108" i="3"/>
  <c r="HV108" i="3"/>
  <c r="HW108" i="3"/>
  <c r="HX108" i="3"/>
  <c r="HY108" i="3"/>
  <c r="HZ108" i="3"/>
  <c r="IA108" i="3"/>
  <c r="IB108" i="3"/>
  <c r="IC108" i="3"/>
  <c r="ID108" i="3"/>
  <c r="IE108" i="3"/>
  <c r="IF108" i="3"/>
  <c r="IG108" i="3"/>
  <c r="IH108" i="3"/>
  <c r="II108" i="3"/>
  <c r="IJ108" i="3"/>
  <c r="IK108" i="3"/>
  <c r="IL108" i="3"/>
  <c r="IM108" i="3"/>
  <c r="IN108" i="3"/>
  <c r="IO108" i="3"/>
  <c r="IP108" i="3"/>
  <c r="IQ108" i="3"/>
  <c r="IR108" i="3"/>
  <c r="IS108" i="3"/>
  <c r="IT108" i="3"/>
  <c r="IU108" i="3"/>
  <c r="IV108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DC107" i="3"/>
  <c r="DD107" i="3"/>
  <c r="DE107" i="3"/>
  <c r="DF107" i="3"/>
  <c r="DG107" i="3"/>
  <c r="DH107" i="3"/>
  <c r="DI107" i="3"/>
  <c r="DJ107" i="3"/>
  <c r="DK107" i="3"/>
  <c r="DL107" i="3"/>
  <c r="DM107" i="3"/>
  <c r="DN107" i="3"/>
  <c r="DO107" i="3"/>
  <c r="DP107" i="3"/>
  <c r="DQ107" i="3"/>
  <c r="DR107" i="3"/>
  <c r="DS107" i="3"/>
  <c r="DT107" i="3"/>
  <c r="DU107" i="3"/>
  <c r="DV107" i="3"/>
  <c r="DW107" i="3"/>
  <c r="DX107" i="3"/>
  <c r="DY107" i="3"/>
  <c r="DZ107" i="3"/>
  <c r="EA107" i="3"/>
  <c r="EB107" i="3"/>
  <c r="EC107" i="3"/>
  <c r="ED107" i="3"/>
  <c r="EE107" i="3"/>
  <c r="EF107" i="3"/>
  <c r="EG107" i="3"/>
  <c r="EH107" i="3"/>
  <c r="EI107" i="3"/>
  <c r="EJ107" i="3"/>
  <c r="EK107" i="3"/>
  <c r="EL107" i="3"/>
  <c r="EM107" i="3"/>
  <c r="EN107" i="3"/>
  <c r="EO107" i="3"/>
  <c r="EP107" i="3"/>
  <c r="EQ107" i="3"/>
  <c r="ER107" i="3"/>
  <c r="ES107" i="3"/>
  <c r="ET107" i="3"/>
  <c r="EU107" i="3"/>
  <c r="EV107" i="3"/>
  <c r="EW107" i="3"/>
  <c r="EX107" i="3"/>
  <c r="EY107" i="3"/>
  <c r="EZ107" i="3"/>
  <c r="FA107" i="3"/>
  <c r="FB107" i="3"/>
  <c r="FC107" i="3"/>
  <c r="FD107" i="3"/>
  <c r="FE107" i="3"/>
  <c r="FF107" i="3"/>
  <c r="FG107" i="3"/>
  <c r="FH107" i="3"/>
  <c r="FI107" i="3"/>
  <c r="FJ107" i="3"/>
  <c r="FK107" i="3"/>
  <c r="FL107" i="3"/>
  <c r="FM107" i="3"/>
  <c r="FN107" i="3"/>
  <c r="FO107" i="3"/>
  <c r="FP107" i="3"/>
  <c r="FQ107" i="3"/>
  <c r="FR107" i="3"/>
  <c r="FS107" i="3"/>
  <c r="FT107" i="3"/>
  <c r="FU107" i="3"/>
  <c r="FV107" i="3"/>
  <c r="FW107" i="3"/>
  <c r="FX107" i="3"/>
  <c r="FY107" i="3"/>
  <c r="FZ107" i="3"/>
  <c r="GA107" i="3"/>
  <c r="GB107" i="3"/>
  <c r="GC107" i="3"/>
  <c r="GD107" i="3"/>
  <c r="GE107" i="3"/>
  <c r="GF107" i="3"/>
  <c r="GG107" i="3"/>
  <c r="GH107" i="3"/>
  <c r="GI107" i="3"/>
  <c r="GJ107" i="3"/>
  <c r="GK107" i="3"/>
  <c r="GL107" i="3"/>
  <c r="GM107" i="3"/>
  <c r="GN107" i="3"/>
  <c r="GO107" i="3"/>
  <c r="GP107" i="3"/>
  <c r="GQ107" i="3"/>
  <c r="GR107" i="3"/>
  <c r="GS107" i="3"/>
  <c r="GT107" i="3"/>
  <c r="GU107" i="3"/>
  <c r="GV107" i="3"/>
  <c r="GW107" i="3"/>
  <c r="GX107" i="3"/>
  <c r="GY107" i="3"/>
  <c r="GZ107" i="3"/>
  <c r="HA107" i="3"/>
  <c r="HB107" i="3"/>
  <c r="HC107" i="3"/>
  <c r="HD107" i="3"/>
  <c r="HE107" i="3"/>
  <c r="HF107" i="3"/>
  <c r="HG107" i="3"/>
  <c r="HH107" i="3"/>
  <c r="HI107" i="3"/>
  <c r="HJ107" i="3"/>
  <c r="HK107" i="3"/>
  <c r="HL107" i="3"/>
  <c r="HM107" i="3"/>
  <c r="HN107" i="3"/>
  <c r="HO107" i="3"/>
  <c r="HP107" i="3"/>
  <c r="HQ107" i="3"/>
  <c r="HR107" i="3"/>
  <c r="HS107" i="3"/>
  <c r="HT107" i="3"/>
  <c r="HU107" i="3"/>
  <c r="HV107" i="3"/>
  <c r="HW107" i="3"/>
  <c r="HX107" i="3"/>
  <c r="HY107" i="3"/>
  <c r="HZ107" i="3"/>
  <c r="IA107" i="3"/>
  <c r="IB107" i="3"/>
  <c r="IC107" i="3"/>
  <c r="ID107" i="3"/>
  <c r="IE107" i="3"/>
  <c r="IF107" i="3"/>
  <c r="IG107" i="3"/>
  <c r="IH107" i="3"/>
  <c r="II107" i="3"/>
  <c r="IJ107" i="3"/>
  <c r="IK107" i="3"/>
  <c r="IL107" i="3"/>
  <c r="IM107" i="3"/>
  <c r="IN107" i="3"/>
  <c r="IO107" i="3"/>
  <c r="IP107" i="3"/>
  <c r="IQ107" i="3"/>
  <c r="IR107" i="3"/>
  <c r="IS107" i="3"/>
  <c r="IT107" i="3"/>
  <c r="IU107" i="3"/>
  <c r="IV107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DC106" i="3"/>
  <c r="DD106" i="3"/>
  <c r="DE106" i="3"/>
  <c r="DF106" i="3"/>
  <c r="DG106" i="3"/>
  <c r="DH106" i="3"/>
  <c r="DI106" i="3"/>
  <c r="DJ106" i="3"/>
  <c r="DK106" i="3"/>
  <c r="DL106" i="3"/>
  <c r="DM106" i="3"/>
  <c r="DN106" i="3"/>
  <c r="DO106" i="3"/>
  <c r="DP106" i="3"/>
  <c r="DQ106" i="3"/>
  <c r="DR106" i="3"/>
  <c r="DS106" i="3"/>
  <c r="DT106" i="3"/>
  <c r="DU106" i="3"/>
  <c r="DV106" i="3"/>
  <c r="DW106" i="3"/>
  <c r="DX106" i="3"/>
  <c r="DY106" i="3"/>
  <c r="DZ106" i="3"/>
  <c r="EA106" i="3"/>
  <c r="EB106" i="3"/>
  <c r="EC106" i="3"/>
  <c r="ED106" i="3"/>
  <c r="EE106" i="3"/>
  <c r="EF106" i="3"/>
  <c r="EG106" i="3"/>
  <c r="EH106" i="3"/>
  <c r="EI106" i="3"/>
  <c r="EJ106" i="3"/>
  <c r="EK106" i="3"/>
  <c r="EL106" i="3"/>
  <c r="EM106" i="3"/>
  <c r="EN106" i="3"/>
  <c r="EO106" i="3"/>
  <c r="EP106" i="3"/>
  <c r="EQ106" i="3"/>
  <c r="ER106" i="3"/>
  <c r="ES106" i="3"/>
  <c r="ET106" i="3"/>
  <c r="EU106" i="3"/>
  <c r="EV106" i="3"/>
  <c r="EW106" i="3"/>
  <c r="EX106" i="3"/>
  <c r="EY106" i="3"/>
  <c r="EZ106" i="3"/>
  <c r="FA106" i="3"/>
  <c r="FB106" i="3"/>
  <c r="FC106" i="3"/>
  <c r="FD106" i="3"/>
  <c r="FE106" i="3"/>
  <c r="FF106" i="3"/>
  <c r="FG106" i="3"/>
  <c r="FH106" i="3"/>
  <c r="FI106" i="3"/>
  <c r="FJ106" i="3"/>
  <c r="FK106" i="3"/>
  <c r="FL106" i="3"/>
  <c r="FM106" i="3"/>
  <c r="FN106" i="3"/>
  <c r="FO106" i="3"/>
  <c r="FP106" i="3"/>
  <c r="FQ106" i="3"/>
  <c r="FR106" i="3"/>
  <c r="FS106" i="3"/>
  <c r="FT106" i="3"/>
  <c r="FU106" i="3"/>
  <c r="FV106" i="3"/>
  <c r="FW106" i="3"/>
  <c r="FX106" i="3"/>
  <c r="FY106" i="3"/>
  <c r="FZ106" i="3"/>
  <c r="GA106" i="3"/>
  <c r="GB106" i="3"/>
  <c r="GC106" i="3"/>
  <c r="GD106" i="3"/>
  <c r="GE106" i="3"/>
  <c r="GF106" i="3"/>
  <c r="GG106" i="3"/>
  <c r="GH106" i="3"/>
  <c r="GI106" i="3"/>
  <c r="GJ106" i="3"/>
  <c r="GK106" i="3"/>
  <c r="GL106" i="3"/>
  <c r="GM106" i="3"/>
  <c r="GN106" i="3"/>
  <c r="GO106" i="3"/>
  <c r="GP106" i="3"/>
  <c r="GQ106" i="3"/>
  <c r="GR106" i="3"/>
  <c r="GS106" i="3"/>
  <c r="GT106" i="3"/>
  <c r="GU106" i="3"/>
  <c r="GV106" i="3"/>
  <c r="GW106" i="3"/>
  <c r="GX106" i="3"/>
  <c r="GY106" i="3"/>
  <c r="GZ106" i="3"/>
  <c r="HA106" i="3"/>
  <c r="HB106" i="3"/>
  <c r="HC106" i="3"/>
  <c r="HD106" i="3"/>
  <c r="HE106" i="3"/>
  <c r="HF106" i="3"/>
  <c r="HG106" i="3"/>
  <c r="HH106" i="3"/>
  <c r="HI106" i="3"/>
  <c r="HJ106" i="3"/>
  <c r="HK106" i="3"/>
  <c r="HL106" i="3"/>
  <c r="HM106" i="3"/>
  <c r="HN106" i="3"/>
  <c r="HO106" i="3"/>
  <c r="HP106" i="3"/>
  <c r="HQ106" i="3"/>
  <c r="HR106" i="3"/>
  <c r="HS106" i="3"/>
  <c r="HT106" i="3"/>
  <c r="HU106" i="3"/>
  <c r="HV106" i="3"/>
  <c r="HW106" i="3"/>
  <c r="HX106" i="3"/>
  <c r="HY106" i="3"/>
  <c r="HZ106" i="3"/>
  <c r="IA106" i="3"/>
  <c r="IB106" i="3"/>
  <c r="IC106" i="3"/>
  <c r="ID106" i="3"/>
  <c r="IE106" i="3"/>
  <c r="IF106" i="3"/>
  <c r="IG106" i="3"/>
  <c r="IH106" i="3"/>
  <c r="II106" i="3"/>
  <c r="IJ106" i="3"/>
  <c r="IK106" i="3"/>
  <c r="IL106" i="3"/>
  <c r="IM106" i="3"/>
  <c r="IN106" i="3"/>
  <c r="IO106" i="3"/>
  <c r="IP106" i="3"/>
  <c r="IQ106" i="3"/>
  <c r="IR106" i="3"/>
  <c r="IS106" i="3"/>
  <c r="IT106" i="3"/>
  <c r="IU106" i="3"/>
  <c r="IV106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DC105" i="3"/>
  <c r="DD105" i="3"/>
  <c r="DE105" i="3"/>
  <c r="DF105" i="3"/>
  <c r="DG105" i="3"/>
  <c r="DH105" i="3"/>
  <c r="DI105" i="3"/>
  <c r="DJ105" i="3"/>
  <c r="DK105" i="3"/>
  <c r="DL105" i="3"/>
  <c r="DM105" i="3"/>
  <c r="DN105" i="3"/>
  <c r="DO105" i="3"/>
  <c r="DP105" i="3"/>
  <c r="DQ105" i="3"/>
  <c r="DR105" i="3"/>
  <c r="DS105" i="3"/>
  <c r="DT105" i="3"/>
  <c r="DU105" i="3"/>
  <c r="DV105" i="3"/>
  <c r="DW105" i="3"/>
  <c r="DX105" i="3"/>
  <c r="DY105" i="3"/>
  <c r="DZ105" i="3"/>
  <c r="EA105" i="3"/>
  <c r="EB105" i="3"/>
  <c r="EC105" i="3"/>
  <c r="ED105" i="3"/>
  <c r="EE105" i="3"/>
  <c r="EF105" i="3"/>
  <c r="EG105" i="3"/>
  <c r="EH105" i="3"/>
  <c r="EI105" i="3"/>
  <c r="EJ105" i="3"/>
  <c r="EK105" i="3"/>
  <c r="EL105" i="3"/>
  <c r="EM105" i="3"/>
  <c r="EN105" i="3"/>
  <c r="EO105" i="3"/>
  <c r="EP105" i="3"/>
  <c r="EQ105" i="3"/>
  <c r="ER105" i="3"/>
  <c r="ES105" i="3"/>
  <c r="ET105" i="3"/>
  <c r="EU105" i="3"/>
  <c r="EV105" i="3"/>
  <c r="EW105" i="3"/>
  <c r="EX105" i="3"/>
  <c r="EY105" i="3"/>
  <c r="EZ105" i="3"/>
  <c r="FA105" i="3"/>
  <c r="FB105" i="3"/>
  <c r="FC105" i="3"/>
  <c r="FD105" i="3"/>
  <c r="FE105" i="3"/>
  <c r="FF105" i="3"/>
  <c r="FG105" i="3"/>
  <c r="FH105" i="3"/>
  <c r="FI105" i="3"/>
  <c r="FJ105" i="3"/>
  <c r="FK105" i="3"/>
  <c r="FL105" i="3"/>
  <c r="FM105" i="3"/>
  <c r="FN105" i="3"/>
  <c r="FO105" i="3"/>
  <c r="FP105" i="3"/>
  <c r="FQ105" i="3"/>
  <c r="FR105" i="3"/>
  <c r="FS105" i="3"/>
  <c r="FT105" i="3"/>
  <c r="FU105" i="3"/>
  <c r="FV105" i="3"/>
  <c r="FW105" i="3"/>
  <c r="FX105" i="3"/>
  <c r="FY105" i="3"/>
  <c r="FZ105" i="3"/>
  <c r="GA105" i="3"/>
  <c r="GB105" i="3"/>
  <c r="GC105" i="3"/>
  <c r="GD105" i="3"/>
  <c r="GE105" i="3"/>
  <c r="GF105" i="3"/>
  <c r="GG105" i="3"/>
  <c r="GH105" i="3"/>
  <c r="GI105" i="3"/>
  <c r="GJ105" i="3"/>
  <c r="GK105" i="3"/>
  <c r="GL105" i="3"/>
  <c r="GM105" i="3"/>
  <c r="GN105" i="3"/>
  <c r="GO105" i="3"/>
  <c r="GP105" i="3"/>
  <c r="GQ105" i="3"/>
  <c r="GR105" i="3"/>
  <c r="GS105" i="3"/>
  <c r="GT105" i="3"/>
  <c r="GU105" i="3"/>
  <c r="GV105" i="3"/>
  <c r="GW105" i="3"/>
  <c r="GX105" i="3"/>
  <c r="GY105" i="3"/>
  <c r="GZ105" i="3"/>
  <c r="HA105" i="3"/>
  <c r="HB105" i="3"/>
  <c r="HC105" i="3"/>
  <c r="HD105" i="3"/>
  <c r="HE105" i="3"/>
  <c r="HF105" i="3"/>
  <c r="HG105" i="3"/>
  <c r="HH105" i="3"/>
  <c r="HI105" i="3"/>
  <c r="HJ105" i="3"/>
  <c r="HK105" i="3"/>
  <c r="HL105" i="3"/>
  <c r="HM105" i="3"/>
  <c r="HN105" i="3"/>
  <c r="HO105" i="3"/>
  <c r="HP105" i="3"/>
  <c r="HQ105" i="3"/>
  <c r="HR105" i="3"/>
  <c r="HS105" i="3"/>
  <c r="HT105" i="3"/>
  <c r="HU105" i="3"/>
  <c r="HV105" i="3"/>
  <c r="HW105" i="3"/>
  <c r="HX105" i="3"/>
  <c r="HY105" i="3"/>
  <c r="HZ105" i="3"/>
  <c r="IA105" i="3"/>
  <c r="IB105" i="3"/>
  <c r="IC105" i="3"/>
  <c r="ID105" i="3"/>
  <c r="IE105" i="3"/>
  <c r="IF105" i="3"/>
  <c r="IG105" i="3"/>
  <c r="IH105" i="3"/>
  <c r="II105" i="3"/>
  <c r="IJ105" i="3"/>
  <c r="IK105" i="3"/>
  <c r="IL105" i="3"/>
  <c r="IM105" i="3"/>
  <c r="IN105" i="3"/>
  <c r="IO105" i="3"/>
  <c r="IP105" i="3"/>
  <c r="IQ105" i="3"/>
  <c r="IR105" i="3"/>
  <c r="IS105" i="3"/>
  <c r="IT105" i="3"/>
  <c r="IU105" i="3"/>
  <c r="IV105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DC104" i="3"/>
  <c r="DD104" i="3"/>
  <c r="DE104" i="3"/>
  <c r="DF104" i="3"/>
  <c r="DG104" i="3"/>
  <c r="DH104" i="3"/>
  <c r="DI104" i="3"/>
  <c r="DJ104" i="3"/>
  <c r="DK104" i="3"/>
  <c r="DL104" i="3"/>
  <c r="DM104" i="3"/>
  <c r="DN104" i="3"/>
  <c r="DO104" i="3"/>
  <c r="DP104" i="3"/>
  <c r="DQ104" i="3"/>
  <c r="DR104" i="3"/>
  <c r="DS104" i="3"/>
  <c r="DT104" i="3"/>
  <c r="DU104" i="3"/>
  <c r="DV104" i="3"/>
  <c r="DW104" i="3"/>
  <c r="DX104" i="3"/>
  <c r="DY104" i="3"/>
  <c r="DZ104" i="3"/>
  <c r="EA104" i="3"/>
  <c r="EB104" i="3"/>
  <c r="EC104" i="3"/>
  <c r="ED104" i="3"/>
  <c r="EE104" i="3"/>
  <c r="EF104" i="3"/>
  <c r="EG104" i="3"/>
  <c r="EH104" i="3"/>
  <c r="EI104" i="3"/>
  <c r="EJ104" i="3"/>
  <c r="EK104" i="3"/>
  <c r="EL104" i="3"/>
  <c r="EM104" i="3"/>
  <c r="EN104" i="3"/>
  <c r="EO104" i="3"/>
  <c r="EP104" i="3"/>
  <c r="EQ104" i="3"/>
  <c r="ER104" i="3"/>
  <c r="ES104" i="3"/>
  <c r="ET104" i="3"/>
  <c r="EU104" i="3"/>
  <c r="EV104" i="3"/>
  <c r="EW104" i="3"/>
  <c r="EX104" i="3"/>
  <c r="EY104" i="3"/>
  <c r="EZ104" i="3"/>
  <c r="FA104" i="3"/>
  <c r="FB104" i="3"/>
  <c r="FC104" i="3"/>
  <c r="FD104" i="3"/>
  <c r="FE104" i="3"/>
  <c r="FF104" i="3"/>
  <c r="FG104" i="3"/>
  <c r="FH104" i="3"/>
  <c r="FI104" i="3"/>
  <c r="FJ104" i="3"/>
  <c r="FK104" i="3"/>
  <c r="FL104" i="3"/>
  <c r="FM104" i="3"/>
  <c r="FN104" i="3"/>
  <c r="FO104" i="3"/>
  <c r="FP104" i="3"/>
  <c r="FQ104" i="3"/>
  <c r="FR104" i="3"/>
  <c r="FS104" i="3"/>
  <c r="FT104" i="3"/>
  <c r="FU104" i="3"/>
  <c r="FV104" i="3"/>
  <c r="FW104" i="3"/>
  <c r="FX104" i="3"/>
  <c r="FY104" i="3"/>
  <c r="FZ104" i="3"/>
  <c r="GA104" i="3"/>
  <c r="GB104" i="3"/>
  <c r="GC104" i="3"/>
  <c r="GD104" i="3"/>
  <c r="GE104" i="3"/>
  <c r="GF104" i="3"/>
  <c r="GG104" i="3"/>
  <c r="GH104" i="3"/>
  <c r="GI104" i="3"/>
  <c r="GJ104" i="3"/>
  <c r="GK104" i="3"/>
  <c r="GL104" i="3"/>
  <c r="GM104" i="3"/>
  <c r="GN104" i="3"/>
  <c r="GO104" i="3"/>
  <c r="GP104" i="3"/>
  <c r="GQ104" i="3"/>
  <c r="GR104" i="3"/>
  <c r="GS104" i="3"/>
  <c r="GT104" i="3"/>
  <c r="GU104" i="3"/>
  <c r="GV104" i="3"/>
  <c r="GW104" i="3"/>
  <c r="GX104" i="3"/>
  <c r="GY104" i="3"/>
  <c r="GZ104" i="3"/>
  <c r="HA104" i="3"/>
  <c r="HB104" i="3"/>
  <c r="HC104" i="3"/>
  <c r="HD104" i="3"/>
  <c r="HE104" i="3"/>
  <c r="HF104" i="3"/>
  <c r="HG104" i="3"/>
  <c r="HH104" i="3"/>
  <c r="HI104" i="3"/>
  <c r="HJ104" i="3"/>
  <c r="HK104" i="3"/>
  <c r="HL104" i="3"/>
  <c r="HM104" i="3"/>
  <c r="HN104" i="3"/>
  <c r="HO104" i="3"/>
  <c r="HP104" i="3"/>
  <c r="HQ104" i="3"/>
  <c r="HR104" i="3"/>
  <c r="HS104" i="3"/>
  <c r="HT104" i="3"/>
  <c r="HU104" i="3"/>
  <c r="HV104" i="3"/>
  <c r="HW104" i="3"/>
  <c r="HX104" i="3"/>
  <c r="HY104" i="3"/>
  <c r="HZ104" i="3"/>
  <c r="IA104" i="3"/>
  <c r="IB104" i="3"/>
  <c r="IC104" i="3"/>
  <c r="ID104" i="3"/>
  <c r="IE104" i="3"/>
  <c r="IF104" i="3"/>
  <c r="IG104" i="3"/>
  <c r="IH104" i="3"/>
  <c r="II104" i="3"/>
  <c r="IJ104" i="3"/>
  <c r="IK104" i="3"/>
  <c r="IL104" i="3"/>
  <c r="IM104" i="3"/>
  <c r="IN104" i="3"/>
  <c r="IO104" i="3"/>
  <c r="IP104" i="3"/>
  <c r="IQ104" i="3"/>
  <c r="IR104" i="3"/>
  <c r="IS104" i="3"/>
  <c r="IT104" i="3"/>
  <c r="IU104" i="3"/>
  <c r="IV104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DC103" i="3"/>
  <c r="DD103" i="3"/>
  <c r="DE103" i="3"/>
  <c r="DF103" i="3"/>
  <c r="DG103" i="3"/>
  <c r="DH103" i="3"/>
  <c r="DI103" i="3"/>
  <c r="DJ103" i="3"/>
  <c r="DK103" i="3"/>
  <c r="DL103" i="3"/>
  <c r="DM103" i="3"/>
  <c r="DN103" i="3"/>
  <c r="DO103" i="3"/>
  <c r="DP103" i="3"/>
  <c r="DQ103" i="3"/>
  <c r="DR103" i="3"/>
  <c r="DS103" i="3"/>
  <c r="DT103" i="3"/>
  <c r="DU103" i="3"/>
  <c r="DV103" i="3"/>
  <c r="DW103" i="3"/>
  <c r="DX103" i="3"/>
  <c r="DY103" i="3"/>
  <c r="DZ103" i="3"/>
  <c r="EA103" i="3"/>
  <c r="EB103" i="3"/>
  <c r="EC103" i="3"/>
  <c r="ED103" i="3"/>
  <c r="EE103" i="3"/>
  <c r="EF103" i="3"/>
  <c r="EG103" i="3"/>
  <c r="EH103" i="3"/>
  <c r="EI103" i="3"/>
  <c r="EJ103" i="3"/>
  <c r="EK103" i="3"/>
  <c r="EL103" i="3"/>
  <c r="EM103" i="3"/>
  <c r="EN103" i="3"/>
  <c r="EO103" i="3"/>
  <c r="EP103" i="3"/>
  <c r="EQ103" i="3"/>
  <c r="ER103" i="3"/>
  <c r="ES103" i="3"/>
  <c r="ET103" i="3"/>
  <c r="EU103" i="3"/>
  <c r="EV103" i="3"/>
  <c r="EW103" i="3"/>
  <c r="EX103" i="3"/>
  <c r="EY103" i="3"/>
  <c r="EZ103" i="3"/>
  <c r="FA103" i="3"/>
  <c r="FB103" i="3"/>
  <c r="FC103" i="3"/>
  <c r="FD103" i="3"/>
  <c r="FE103" i="3"/>
  <c r="FF103" i="3"/>
  <c r="FG103" i="3"/>
  <c r="FH103" i="3"/>
  <c r="FI103" i="3"/>
  <c r="FJ103" i="3"/>
  <c r="FK103" i="3"/>
  <c r="FL103" i="3"/>
  <c r="FM103" i="3"/>
  <c r="FN103" i="3"/>
  <c r="FO103" i="3"/>
  <c r="FP103" i="3"/>
  <c r="FQ103" i="3"/>
  <c r="FR103" i="3"/>
  <c r="FS103" i="3"/>
  <c r="FT103" i="3"/>
  <c r="FU103" i="3"/>
  <c r="FV103" i="3"/>
  <c r="FW103" i="3"/>
  <c r="FX103" i="3"/>
  <c r="FY103" i="3"/>
  <c r="FZ103" i="3"/>
  <c r="GA103" i="3"/>
  <c r="GB103" i="3"/>
  <c r="GC103" i="3"/>
  <c r="GD103" i="3"/>
  <c r="GE103" i="3"/>
  <c r="GF103" i="3"/>
  <c r="GG103" i="3"/>
  <c r="GH103" i="3"/>
  <c r="GI103" i="3"/>
  <c r="GJ103" i="3"/>
  <c r="GK103" i="3"/>
  <c r="GL103" i="3"/>
  <c r="GM103" i="3"/>
  <c r="GN103" i="3"/>
  <c r="GO103" i="3"/>
  <c r="GP103" i="3"/>
  <c r="GQ103" i="3"/>
  <c r="GR103" i="3"/>
  <c r="GS103" i="3"/>
  <c r="GT103" i="3"/>
  <c r="GU103" i="3"/>
  <c r="GV103" i="3"/>
  <c r="GW103" i="3"/>
  <c r="GX103" i="3"/>
  <c r="GY103" i="3"/>
  <c r="GZ103" i="3"/>
  <c r="HA103" i="3"/>
  <c r="HB103" i="3"/>
  <c r="HC103" i="3"/>
  <c r="HD103" i="3"/>
  <c r="HE103" i="3"/>
  <c r="HF103" i="3"/>
  <c r="HG103" i="3"/>
  <c r="HH103" i="3"/>
  <c r="HI103" i="3"/>
  <c r="HJ103" i="3"/>
  <c r="HK103" i="3"/>
  <c r="HL103" i="3"/>
  <c r="HM103" i="3"/>
  <c r="HN103" i="3"/>
  <c r="HO103" i="3"/>
  <c r="HP103" i="3"/>
  <c r="HQ103" i="3"/>
  <c r="HR103" i="3"/>
  <c r="HS103" i="3"/>
  <c r="HT103" i="3"/>
  <c r="HU103" i="3"/>
  <c r="HV103" i="3"/>
  <c r="HW103" i="3"/>
  <c r="HX103" i="3"/>
  <c r="HY103" i="3"/>
  <c r="HZ103" i="3"/>
  <c r="IA103" i="3"/>
  <c r="IB103" i="3"/>
  <c r="IC103" i="3"/>
  <c r="ID103" i="3"/>
  <c r="IE103" i="3"/>
  <c r="IF103" i="3"/>
  <c r="IG103" i="3"/>
  <c r="IH103" i="3"/>
  <c r="II103" i="3"/>
  <c r="IJ103" i="3"/>
  <c r="IK103" i="3"/>
  <c r="IL103" i="3"/>
  <c r="IM103" i="3"/>
  <c r="IN103" i="3"/>
  <c r="IO103" i="3"/>
  <c r="IP103" i="3"/>
  <c r="IQ103" i="3"/>
  <c r="IR103" i="3"/>
  <c r="IS103" i="3"/>
  <c r="IT103" i="3"/>
  <c r="IU103" i="3"/>
  <c r="IV103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DC102" i="3"/>
  <c r="DD102" i="3"/>
  <c r="DE102" i="3"/>
  <c r="DF102" i="3"/>
  <c r="DG102" i="3"/>
  <c r="DH102" i="3"/>
  <c r="DI102" i="3"/>
  <c r="DJ102" i="3"/>
  <c r="DK102" i="3"/>
  <c r="DL102" i="3"/>
  <c r="DM102" i="3"/>
  <c r="DN102" i="3"/>
  <c r="DO102" i="3"/>
  <c r="DP102" i="3"/>
  <c r="DQ102" i="3"/>
  <c r="DR102" i="3"/>
  <c r="DS102" i="3"/>
  <c r="DT102" i="3"/>
  <c r="DU102" i="3"/>
  <c r="DV102" i="3"/>
  <c r="DW102" i="3"/>
  <c r="DX102" i="3"/>
  <c r="DY102" i="3"/>
  <c r="DZ102" i="3"/>
  <c r="EA102" i="3"/>
  <c r="EB102" i="3"/>
  <c r="EC102" i="3"/>
  <c r="ED102" i="3"/>
  <c r="EE102" i="3"/>
  <c r="EF102" i="3"/>
  <c r="EG102" i="3"/>
  <c r="EH102" i="3"/>
  <c r="EI102" i="3"/>
  <c r="EJ102" i="3"/>
  <c r="EK102" i="3"/>
  <c r="EL102" i="3"/>
  <c r="EM102" i="3"/>
  <c r="EN102" i="3"/>
  <c r="EO102" i="3"/>
  <c r="EP102" i="3"/>
  <c r="EQ102" i="3"/>
  <c r="ER102" i="3"/>
  <c r="ES102" i="3"/>
  <c r="ET102" i="3"/>
  <c r="EU102" i="3"/>
  <c r="EV102" i="3"/>
  <c r="EW102" i="3"/>
  <c r="EX102" i="3"/>
  <c r="EY102" i="3"/>
  <c r="EZ102" i="3"/>
  <c r="FA102" i="3"/>
  <c r="FB102" i="3"/>
  <c r="FC102" i="3"/>
  <c r="FD102" i="3"/>
  <c r="FE102" i="3"/>
  <c r="FF102" i="3"/>
  <c r="FG102" i="3"/>
  <c r="FH102" i="3"/>
  <c r="FI102" i="3"/>
  <c r="FJ102" i="3"/>
  <c r="FK102" i="3"/>
  <c r="FL102" i="3"/>
  <c r="FM102" i="3"/>
  <c r="FN102" i="3"/>
  <c r="FO102" i="3"/>
  <c r="FP102" i="3"/>
  <c r="FQ102" i="3"/>
  <c r="FR102" i="3"/>
  <c r="FS102" i="3"/>
  <c r="FT102" i="3"/>
  <c r="FU102" i="3"/>
  <c r="FV102" i="3"/>
  <c r="FW102" i="3"/>
  <c r="FX102" i="3"/>
  <c r="FY102" i="3"/>
  <c r="FZ102" i="3"/>
  <c r="GA102" i="3"/>
  <c r="GB102" i="3"/>
  <c r="GC102" i="3"/>
  <c r="GD102" i="3"/>
  <c r="GE102" i="3"/>
  <c r="GF102" i="3"/>
  <c r="GG102" i="3"/>
  <c r="GH102" i="3"/>
  <c r="GI102" i="3"/>
  <c r="GJ102" i="3"/>
  <c r="GK102" i="3"/>
  <c r="GL102" i="3"/>
  <c r="GM102" i="3"/>
  <c r="GN102" i="3"/>
  <c r="GO102" i="3"/>
  <c r="GP102" i="3"/>
  <c r="GQ102" i="3"/>
  <c r="GR102" i="3"/>
  <c r="GS102" i="3"/>
  <c r="GT102" i="3"/>
  <c r="GU102" i="3"/>
  <c r="GV102" i="3"/>
  <c r="GW102" i="3"/>
  <c r="GX102" i="3"/>
  <c r="GY102" i="3"/>
  <c r="GZ102" i="3"/>
  <c r="HA102" i="3"/>
  <c r="HB102" i="3"/>
  <c r="HC102" i="3"/>
  <c r="HD102" i="3"/>
  <c r="HE102" i="3"/>
  <c r="HF102" i="3"/>
  <c r="HG102" i="3"/>
  <c r="HH102" i="3"/>
  <c r="HI102" i="3"/>
  <c r="HJ102" i="3"/>
  <c r="HK102" i="3"/>
  <c r="HL102" i="3"/>
  <c r="HM102" i="3"/>
  <c r="HN102" i="3"/>
  <c r="HO102" i="3"/>
  <c r="HP102" i="3"/>
  <c r="HQ102" i="3"/>
  <c r="HR102" i="3"/>
  <c r="HS102" i="3"/>
  <c r="HT102" i="3"/>
  <c r="HU102" i="3"/>
  <c r="HV102" i="3"/>
  <c r="HW102" i="3"/>
  <c r="HX102" i="3"/>
  <c r="HY102" i="3"/>
  <c r="HZ102" i="3"/>
  <c r="IA102" i="3"/>
  <c r="IB102" i="3"/>
  <c r="IC102" i="3"/>
  <c r="ID102" i="3"/>
  <c r="IE102" i="3"/>
  <c r="IF102" i="3"/>
  <c r="IG102" i="3"/>
  <c r="IH102" i="3"/>
  <c r="II102" i="3"/>
  <c r="IJ102" i="3"/>
  <c r="IK102" i="3"/>
  <c r="IL102" i="3"/>
  <c r="IM102" i="3"/>
  <c r="IN102" i="3"/>
  <c r="IO102" i="3"/>
  <c r="IP102" i="3"/>
  <c r="IQ102" i="3"/>
  <c r="IR102" i="3"/>
  <c r="IS102" i="3"/>
  <c r="IT102" i="3"/>
  <c r="IU102" i="3"/>
  <c r="IV102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DC101" i="3"/>
  <c r="DD101" i="3"/>
  <c r="DE101" i="3"/>
  <c r="DF101" i="3"/>
  <c r="DG101" i="3"/>
  <c r="DH101" i="3"/>
  <c r="DI101" i="3"/>
  <c r="DJ101" i="3"/>
  <c r="DK101" i="3"/>
  <c r="DL101" i="3"/>
  <c r="DM101" i="3"/>
  <c r="DN101" i="3"/>
  <c r="DO101" i="3"/>
  <c r="DP101" i="3"/>
  <c r="DQ101" i="3"/>
  <c r="DR101" i="3"/>
  <c r="DS101" i="3"/>
  <c r="DT101" i="3"/>
  <c r="DU101" i="3"/>
  <c r="DV101" i="3"/>
  <c r="DW101" i="3"/>
  <c r="DX101" i="3"/>
  <c r="DY101" i="3"/>
  <c r="DZ101" i="3"/>
  <c r="EA101" i="3"/>
  <c r="EB101" i="3"/>
  <c r="EC101" i="3"/>
  <c r="ED101" i="3"/>
  <c r="EE101" i="3"/>
  <c r="EF101" i="3"/>
  <c r="EG101" i="3"/>
  <c r="EH101" i="3"/>
  <c r="EI101" i="3"/>
  <c r="EJ101" i="3"/>
  <c r="EK101" i="3"/>
  <c r="EL101" i="3"/>
  <c r="EM101" i="3"/>
  <c r="EN101" i="3"/>
  <c r="EO101" i="3"/>
  <c r="EP101" i="3"/>
  <c r="EQ101" i="3"/>
  <c r="ER101" i="3"/>
  <c r="ES101" i="3"/>
  <c r="ET101" i="3"/>
  <c r="EU101" i="3"/>
  <c r="EV101" i="3"/>
  <c r="EW101" i="3"/>
  <c r="EX101" i="3"/>
  <c r="EY101" i="3"/>
  <c r="EZ101" i="3"/>
  <c r="FA101" i="3"/>
  <c r="FB101" i="3"/>
  <c r="FC101" i="3"/>
  <c r="FD101" i="3"/>
  <c r="FE101" i="3"/>
  <c r="FF101" i="3"/>
  <c r="FG101" i="3"/>
  <c r="FH101" i="3"/>
  <c r="FI101" i="3"/>
  <c r="FJ101" i="3"/>
  <c r="FK101" i="3"/>
  <c r="FL101" i="3"/>
  <c r="FM101" i="3"/>
  <c r="FN101" i="3"/>
  <c r="FO101" i="3"/>
  <c r="FP101" i="3"/>
  <c r="FQ101" i="3"/>
  <c r="FR101" i="3"/>
  <c r="FS101" i="3"/>
  <c r="FT101" i="3"/>
  <c r="FU101" i="3"/>
  <c r="FV101" i="3"/>
  <c r="FW101" i="3"/>
  <c r="FX101" i="3"/>
  <c r="FY101" i="3"/>
  <c r="FZ101" i="3"/>
  <c r="GA101" i="3"/>
  <c r="GB101" i="3"/>
  <c r="GC101" i="3"/>
  <c r="GD101" i="3"/>
  <c r="GE101" i="3"/>
  <c r="GF101" i="3"/>
  <c r="GG101" i="3"/>
  <c r="GH101" i="3"/>
  <c r="GI101" i="3"/>
  <c r="GJ101" i="3"/>
  <c r="GK101" i="3"/>
  <c r="GL101" i="3"/>
  <c r="GM101" i="3"/>
  <c r="GN101" i="3"/>
  <c r="GO101" i="3"/>
  <c r="GP101" i="3"/>
  <c r="GQ101" i="3"/>
  <c r="GR101" i="3"/>
  <c r="GS101" i="3"/>
  <c r="GT101" i="3"/>
  <c r="GU101" i="3"/>
  <c r="GV101" i="3"/>
  <c r="GW101" i="3"/>
  <c r="GX101" i="3"/>
  <c r="GY101" i="3"/>
  <c r="GZ101" i="3"/>
  <c r="HA101" i="3"/>
  <c r="HB101" i="3"/>
  <c r="HC101" i="3"/>
  <c r="HD101" i="3"/>
  <c r="HE101" i="3"/>
  <c r="HF101" i="3"/>
  <c r="HG101" i="3"/>
  <c r="HH101" i="3"/>
  <c r="HI101" i="3"/>
  <c r="HJ101" i="3"/>
  <c r="HK101" i="3"/>
  <c r="HL101" i="3"/>
  <c r="HM101" i="3"/>
  <c r="HN101" i="3"/>
  <c r="HO101" i="3"/>
  <c r="HP101" i="3"/>
  <c r="HQ101" i="3"/>
  <c r="HR101" i="3"/>
  <c r="HS101" i="3"/>
  <c r="HT101" i="3"/>
  <c r="HU101" i="3"/>
  <c r="HV101" i="3"/>
  <c r="HW101" i="3"/>
  <c r="HX101" i="3"/>
  <c r="HY101" i="3"/>
  <c r="HZ101" i="3"/>
  <c r="IA101" i="3"/>
  <c r="IB101" i="3"/>
  <c r="IC101" i="3"/>
  <c r="ID101" i="3"/>
  <c r="IE101" i="3"/>
  <c r="IF101" i="3"/>
  <c r="IG101" i="3"/>
  <c r="IH101" i="3"/>
  <c r="II101" i="3"/>
  <c r="IJ101" i="3"/>
  <c r="IK101" i="3"/>
  <c r="IL101" i="3"/>
  <c r="IM101" i="3"/>
  <c r="IN101" i="3"/>
  <c r="IO101" i="3"/>
  <c r="IP101" i="3"/>
  <c r="IQ101" i="3"/>
  <c r="IR101" i="3"/>
  <c r="IS101" i="3"/>
  <c r="IT101" i="3"/>
  <c r="IU101" i="3"/>
  <c r="IV101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DC100" i="3"/>
  <c r="DD100" i="3"/>
  <c r="DE100" i="3"/>
  <c r="DF100" i="3"/>
  <c r="DG100" i="3"/>
  <c r="DH100" i="3"/>
  <c r="DI100" i="3"/>
  <c r="DJ100" i="3"/>
  <c r="DK100" i="3"/>
  <c r="DL100" i="3"/>
  <c r="DM100" i="3"/>
  <c r="DN100" i="3"/>
  <c r="DO100" i="3"/>
  <c r="DP100" i="3"/>
  <c r="DQ100" i="3"/>
  <c r="DR100" i="3"/>
  <c r="DS100" i="3"/>
  <c r="DT100" i="3"/>
  <c r="DU100" i="3"/>
  <c r="DV100" i="3"/>
  <c r="DW100" i="3"/>
  <c r="DX100" i="3"/>
  <c r="DY100" i="3"/>
  <c r="DZ100" i="3"/>
  <c r="EA100" i="3"/>
  <c r="EB100" i="3"/>
  <c r="EC100" i="3"/>
  <c r="ED100" i="3"/>
  <c r="EE100" i="3"/>
  <c r="EF100" i="3"/>
  <c r="EG100" i="3"/>
  <c r="EH100" i="3"/>
  <c r="EI100" i="3"/>
  <c r="EJ100" i="3"/>
  <c r="EK100" i="3"/>
  <c r="EL100" i="3"/>
  <c r="EM100" i="3"/>
  <c r="EN100" i="3"/>
  <c r="EO100" i="3"/>
  <c r="EP100" i="3"/>
  <c r="EQ100" i="3"/>
  <c r="ER100" i="3"/>
  <c r="ES100" i="3"/>
  <c r="ET100" i="3"/>
  <c r="EU100" i="3"/>
  <c r="EV100" i="3"/>
  <c r="EW100" i="3"/>
  <c r="EX100" i="3"/>
  <c r="EY100" i="3"/>
  <c r="EZ100" i="3"/>
  <c r="FA100" i="3"/>
  <c r="FB100" i="3"/>
  <c r="FC100" i="3"/>
  <c r="FD100" i="3"/>
  <c r="FE100" i="3"/>
  <c r="FF100" i="3"/>
  <c r="FG100" i="3"/>
  <c r="FH100" i="3"/>
  <c r="FI100" i="3"/>
  <c r="FJ100" i="3"/>
  <c r="FK100" i="3"/>
  <c r="FL100" i="3"/>
  <c r="FM100" i="3"/>
  <c r="FN100" i="3"/>
  <c r="FO100" i="3"/>
  <c r="FP100" i="3"/>
  <c r="FQ100" i="3"/>
  <c r="FR100" i="3"/>
  <c r="FS100" i="3"/>
  <c r="FT100" i="3"/>
  <c r="FU100" i="3"/>
  <c r="FV100" i="3"/>
  <c r="FW100" i="3"/>
  <c r="FX100" i="3"/>
  <c r="FY100" i="3"/>
  <c r="FZ100" i="3"/>
  <c r="GA100" i="3"/>
  <c r="GB100" i="3"/>
  <c r="GC100" i="3"/>
  <c r="GD100" i="3"/>
  <c r="GE100" i="3"/>
  <c r="GF100" i="3"/>
  <c r="GG100" i="3"/>
  <c r="GH100" i="3"/>
  <c r="GI100" i="3"/>
  <c r="GJ100" i="3"/>
  <c r="GK100" i="3"/>
  <c r="GL100" i="3"/>
  <c r="GM100" i="3"/>
  <c r="GN100" i="3"/>
  <c r="GO100" i="3"/>
  <c r="GP100" i="3"/>
  <c r="GQ100" i="3"/>
  <c r="GR100" i="3"/>
  <c r="GS100" i="3"/>
  <c r="GT100" i="3"/>
  <c r="GU100" i="3"/>
  <c r="GV100" i="3"/>
  <c r="GW100" i="3"/>
  <c r="GX100" i="3"/>
  <c r="GY100" i="3"/>
  <c r="GZ100" i="3"/>
  <c r="HA100" i="3"/>
  <c r="HB100" i="3"/>
  <c r="HC100" i="3"/>
  <c r="HD100" i="3"/>
  <c r="HE100" i="3"/>
  <c r="HF100" i="3"/>
  <c r="HG100" i="3"/>
  <c r="HH100" i="3"/>
  <c r="HI100" i="3"/>
  <c r="HJ100" i="3"/>
  <c r="HK100" i="3"/>
  <c r="HL100" i="3"/>
  <c r="HM100" i="3"/>
  <c r="HN100" i="3"/>
  <c r="HO100" i="3"/>
  <c r="HP100" i="3"/>
  <c r="HQ100" i="3"/>
  <c r="HR100" i="3"/>
  <c r="HS100" i="3"/>
  <c r="HT100" i="3"/>
  <c r="HU100" i="3"/>
  <c r="HV100" i="3"/>
  <c r="HW100" i="3"/>
  <c r="HX100" i="3"/>
  <c r="HY100" i="3"/>
  <c r="HZ100" i="3"/>
  <c r="IA100" i="3"/>
  <c r="IB100" i="3"/>
  <c r="IC100" i="3"/>
  <c r="ID100" i="3"/>
  <c r="IE100" i="3"/>
  <c r="IF100" i="3"/>
  <c r="IG100" i="3"/>
  <c r="IH100" i="3"/>
  <c r="II100" i="3"/>
  <c r="IJ100" i="3"/>
  <c r="IK100" i="3"/>
  <c r="IL100" i="3"/>
  <c r="IM100" i="3"/>
  <c r="IN100" i="3"/>
  <c r="IO100" i="3"/>
  <c r="IP100" i="3"/>
  <c r="IQ100" i="3"/>
  <c r="IR100" i="3"/>
  <c r="IS100" i="3"/>
  <c r="IT100" i="3"/>
  <c r="IU100" i="3"/>
  <c r="IV100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DC99" i="3"/>
  <c r="DD99" i="3"/>
  <c r="DE99" i="3"/>
  <c r="DF99" i="3"/>
  <c r="DG99" i="3"/>
  <c r="DH99" i="3"/>
  <c r="DI99" i="3"/>
  <c r="DJ99" i="3"/>
  <c r="DK99" i="3"/>
  <c r="DL99" i="3"/>
  <c r="DM99" i="3"/>
  <c r="DN99" i="3"/>
  <c r="DO99" i="3"/>
  <c r="DP99" i="3"/>
  <c r="DQ99" i="3"/>
  <c r="DR99" i="3"/>
  <c r="DS99" i="3"/>
  <c r="DT99" i="3"/>
  <c r="DU99" i="3"/>
  <c r="DV99" i="3"/>
  <c r="DW99" i="3"/>
  <c r="DX99" i="3"/>
  <c r="DY99" i="3"/>
  <c r="DZ99" i="3"/>
  <c r="EA99" i="3"/>
  <c r="EB99" i="3"/>
  <c r="EC99" i="3"/>
  <c r="ED99" i="3"/>
  <c r="EE99" i="3"/>
  <c r="EF99" i="3"/>
  <c r="EG99" i="3"/>
  <c r="EH99" i="3"/>
  <c r="EI99" i="3"/>
  <c r="EJ99" i="3"/>
  <c r="EK99" i="3"/>
  <c r="EL99" i="3"/>
  <c r="EM99" i="3"/>
  <c r="EN99" i="3"/>
  <c r="EO99" i="3"/>
  <c r="EP99" i="3"/>
  <c r="EQ99" i="3"/>
  <c r="ER99" i="3"/>
  <c r="ES99" i="3"/>
  <c r="ET99" i="3"/>
  <c r="EU99" i="3"/>
  <c r="EV99" i="3"/>
  <c r="EW99" i="3"/>
  <c r="EX99" i="3"/>
  <c r="EY99" i="3"/>
  <c r="EZ99" i="3"/>
  <c r="FA99" i="3"/>
  <c r="FB99" i="3"/>
  <c r="FC99" i="3"/>
  <c r="FD99" i="3"/>
  <c r="FE99" i="3"/>
  <c r="FF99" i="3"/>
  <c r="FG99" i="3"/>
  <c r="FH99" i="3"/>
  <c r="FI99" i="3"/>
  <c r="FJ99" i="3"/>
  <c r="FK99" i="3"/>
  <c r="FL99" i="3"/>
  <c r="FM99" i="3"/>
  <c r="FN99" i="3"/>
  <c r="FO99" i="3"/>
  <c r="FP99" i="3"/>
  <c r="FQ99" i="3"/>
  <c r="FR99" i="3"/>
  <c r="FS99" i="3"/>
  <c r="FT99" i="3"/>
  <c r="FU99" i="3"/>
  <c r="FV99" i="3"/>
  <c r="FW99" i="3"/>
  <c r="FX99" i="3"/>
  <c r="FY99" i="3"/>
  <c r="FZ99" i="3"/>
  <c r="GA99" i="3"/>
  <c r="GB99" i="3"/>
  <c r="GC99" i="3"/>
  <c r="GD99" i="3"/>
  <c r="GE99" i="3"/>
  <c r="GF99" i="3"/>
  <c r="GG99" i="3"/>
  <c r="GH99" i="3"/>
  <c r="GI99" i="3"/>
  <c r="GJ99" i="3"/>
  <c r="GK99" i="3"/>
  <c r="GL99" i="3"/>
  <c r="GM99" i="3"/>
  <c r="GN99" i="3"/>
  <c r="GO99" i="3"/>
  <c r="GP99" i="3"/>
  <c r="GQ99" i="3"/>
  <c r="GR99" i="3"/>
  <c r="GS99" i="3"/>
  <c r="GT99" i="3"/>
  <c r="GU99" i="3"/>
  <c r="GV99" i="3"/>
  <c r="GW99" i="3"/>
  <c r="GX99" i="3"/>
  <c r="GY99" i="3"/>
  <c r="GZ99" i="3"/>
  <c r="HA99" i="3"/>
  <c r="HB99" i="3"/>
  <c r="HC99" i="3"/>
  <c r="HD99" i="3"/>
  <c r="HE99" i="3"/>
  <c r="HF99" i="3"/>
  <c r="HG99" i="3"/>
  <c r="HH99" i="3"/>
  <c r="HI99" i="3"/>
  <c r="HJ99" i="3"/>
  <c r="HK99" i="3"/>
  <c r="HL99" i="3"/>
  <c r="HM99" i="3"/>
  <c r="HN99" i="3"/>
  <c r="HO99" i="3"/>
  <c r="HP99" i="3"/>
  <c r="HQ99" i="3"/>
  <c r="HR99" i="3"/>
  <c r="HS99" i="3"/>
  <c r="HT99" i="3"/>
  <c r="HU99" i="3"/>
  <c r="HV99" i="3"/>
  <c r="HW99" i="3"/>
  <c r="HX99" i="3"/>
  <c r="HY99" i="3"/>
  <c r="HZ99" i="3"/>
  <c r="IA99" i="3"/>
  <c r="IB99" i="3"/>
  <c r="IC99" i="3"/>
  <c r="ID99" i="3"/>
  <c r="IE99" i="3"/>
  <c r="IF99" i="3"/>
  <c r="IG99" i="3"/>
  <c r="IH99" i="3"/>
  <c r="II99" i="3"/>
  <c r="IJ99" i="3"/>
  <c r="IK99" i="3"/>
  <c r="IL99" i="3"/>
  <c r="IM99" i="3"/>
  <c r="IN99" i="3"/>
  <c r="IO99" i="3"/>
  <c r="IP99" i="3"/>
  <c r="IQ99" i="3"/>
  <c r="IR99" i="3"/>
  <c r="IS99" i="3"/>
  <c r="IT99" i="3"/>
  <c r="IU99" i="3"/>
  <c r="IV99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DC98" i="3"/>
  <c r="DD98" i="3"/>
  <c r="DE98" i="3"/>
  <c r="DF98" i="3"/>
  <c r="DG98" i="3"/>
  <c r="DH98" i="3"/>
  <c r="DI98" i="3"/>
  <c r="DJ98" i="3"/>
  <c r="DK98" i="3"/>
  <c r="DL98" i="3"/>
  <c r="DM98" i="3"/>
  <c r="DN98" i="3"/>
  <c r="DO98" i="3"/>
  <c r="DP98" i="3"/>
  <c r="DQ98" i="3"/>
  <c r="DR98" i="3"/>
  <c r="DS98" i="3"/>
  <c r="DT98" i="3"/>
  <c r="DU98" i="3"/>
  <c r="DV98" i="3"/>
  <c r="DW98" i="3"/>
  <c r="DX98" i="3"/>
  <c r="DY98" i="3"/>
  <c r="DZ98" i="3"/>
  <c r="EA98" i="3"/>
  <c r="EB98" i="3"/>
  <c r="EC98" i="3"/>
  <c r="ED98" i="3"/>
  <c r="EE98" i="3"/>
  <c r="EF98" i="3"/>
  <c r="EG98" i="3"/>
  <c r="EH98" i="3"/>
  <c r="EI98" i="3"/>
  <c r="EJ98" i="3"/>
  <c r="EK98" i="3"/>
  <c r="EL98" i="3"/>
  <c r="EM98" i="3"/>
  <c r="EN98" i="3"/>
  <c r="EO98" i="3"/>
  <c r="EP98" i="3"/>
  <c r="EQ98" i="3"/>
  <c r="ER98" i="3"/>
  <c r="ES98" i="3"/>
  <c r="ET98" i="3"/>
  <c r="EU98" i="3"/>
  <c r="EV98" i="3"/>
  <c r="EW98" i="3"/>
  <c r="EX98" i="3"/>
  <c r="EY98" i="3"/>
  <c r="EZ98" i="3"/>
  <c r="FA98" i="3"/>
  <c r="FB98" i="3"/>
  <c r="FC98" i="3"/>
  <c r="FD98" i="3"/>
  <c r="FE98" i="3"/>
  <c r="FF98" i="3"/>
  <c r="FG98" i="3"/>
  <c r="FH98" i="3"/>
  <c r="FI98" i="3"/>
  <c r="FJ98" i="3"/>
  <c r="FK98" i="3"/>
  <c r="FL98" i="3"/>
  <c r="FM98" i="3"/>
  <c r="FN98" i="3"/>
  <c r="FO98" i="3"/>
  <c r="FP98" i="3"/>
  <c r="FQ98" i="3"/>
  <c r="FR98" i="3"/>
  <c r="FS98" i="3"/>
  <c r="FT98" i="3"/>
  <c r="FU98" i="3"/>
  <c r="FV98" i="3"/>
  <c r="FW98" i="3"/>
  <c r="FX98" i="3"/>
  <c r="FY98" i="3"/>
  <c r="FZ98" i="3"/>
  <c r="GA98" i="3"/>
  <c r="GB98" i="3"/>
  <c r="GC98" i="3"/>
  <c r="GD98" i="3"/>
  <c r="GE98" i="3"/>
  <c r="GF98" i="3"/>
  <c r="GG98" i="3"/>
  <c r="GH98" i="3"/>
  <c r="GI98" i="3"/>
  <c r="GJ98" i="3"/>
  <c r="GK98" i="3"/>
  <c r="GL98" i="3"/>
  <c r="GM98" i="3"/>
  <c r="GN98" i="3"/>
  <c r="GO98" i="3"/>
  <c r="GP98" i="3"/>
  <c r="GQ98" i="3"/>
  <c r="GR98" i="3"/>
  <c r="GS98" i="3"/>
  <c r="GT98" i="3"/>
  <c r="GU98" i="3"/>
  <c r="GV98" i="3"/>
  <c r="GW98" i="3"/>
  <c r="GX98" i="3"/>
  <c r="GY98" i="3"/>
  <c r="GZ98" i="3"/>
  <c r="HA98" i="3"/>
  <c r="HB98" i="3"/>
  <c r="HC98" i="3"/>
  <c r="HD98" i="3"/>
  <c r="HE98" i="3"/>
  <c r="HF98" i="3"/>
  <c r="HG98" i="3"/>
  <c r="HH98" i="3"/>
  <c r="HI98" i="3"/>
  <c r="HJ98" i="3"/>
  <c r="HK98" i="3"/>
  <c r="HL98" i="3"/>
  <c r="HM98" i="3"/>
  <c r="HN98" i="3"/>
  <c r="HO98" i="3"/>
  <c r="HP98" i="3"/>
  <c r="HQ98" i="3"/>
  <c r="HR98" i="3"/>
  <c r="HS98" i="3"/>
  <c r="HT98" i="3"/>
  <c r="HU98" i="3"/>
  <c r="HV98" i="3"/>
  <c r="HW98" i="3"/>
  <c r="HX98" i="3"/>
  <c r="HY98" i="3"/>
  <c r="HZ98" i="3"/>
  <c r="IA98" i="3"/>
  <c r="IB98" i="3"/>
  <c r="IC98" i="3"/>
  <c r="ID98" i="3"/>
  <c r="IE98" i="3"/>
  <c r="IF98" i="3"/>
  <c r="IG98" i="3"/>
  <c r="IH98" i="3"/>
  <c r="II98" i="3"/>
  <c r="IJ98" i="3"/>
  <c r="IK98" i="3"/>
  <c r="IL98" i="3"/>
  <c r="IM98" i="3"/>
  <c r="IN98" i="3"/>
  <c r="IO98" i="3"/>
  <c r="IP98" i="3"/>
  <c r="IQ98" i="3"/>
  <c r="IR98" i="3"/>
  <c r="IS98" i="3"/>
  <c r="IT98" i="3"/>
  <c r="IU98" i="3"/>
  <c r="IV98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DC97" i="3"/>
  <c r="DD97" i="3"/>
  <c r="DE97" i="3"/>
  <c r="DF97" i="3"/>
  <c r="DG97" i="3"/>
  <c r="DH97" i="3"/>
  <c r="DI97" i="3"/>
  <c r="DJ97" i="3"/>
  <c r="DK97" i="3"/>
  <c r="DL97" i="3"/>
  <c r="DM97" i="3"/>
  <c r="DN97" i="3"/>
  <c r="DO97" i="3"/>
  <c r="DP97" i="3"/>
  <c r="DQ97" i="3"/>
  <c r="DR97" i="3"/>
  <c r="DS97" i="3"/>
  <c r="DT97" i="3"/>
  <c r="DU97" i="3"/>
  <c r="DV97" i="3"/>
  <c r="DW97" i="3"/>
  <c r="DX97" i="3"/>
  <c r="DY97" i="3"/>
  <c r="DZ97" i="3"/>
  <c r="EA97" i="3"/>
  <c r="EB97" i="3"/>
  <c r="EC97" i="3"/>
  <c r="ED97" i="3"/>
  <c r="EE97" i="3"/>
  <c r="EF97" i="3"/>
  <c r="EG97" i="3"/>
  <c r="EH97" i="3"/>
  <c r="EI97" i="3"/>
  <c r="EJ97" i="3"/>
  <c r="EK97" i="3"/>
  <c r="EL97" i="3"/>
  <c r="EM97" i="3"/>
  <c r="EN97" i="3"/>
  <c r="EO97" i="3"/>
  <c r="EP97" i="3"/>
  <c r="EQ97" i="3"/>
  <c r="ER97" i="3"/>
  <c r="ES97" i="3"/>
  <c r="ET97" i="3"/>
  <c r="EU97" i="3"/>
  <c r="EV97" i="3"/>
  <c r="EW97" i="3"/>
  <c r="EX97" i="3"/>
  <c r="EY97" i="3"/>
  <c r="EZ97" i="3"/>
  <c r="FA97" i="3"/>
  <c r="FB97" i="3"/>
  <c r="FC97" i="3"/>
  <c r="FD97" i="3"/>
  <c r="FE97" i="3"/>
  <c r="FF97" i="3"/>
  <c r="FG97" i="3"/>
  <c r="FH97" i="3"/>
  <c r="FI97" i="3"/>
  <c r="FJ97" i="3"/>
  <c r="FK97" i="3"/>
  <c r="FL97" i="3"/>
  <c r="FM97" i="3"/>
  <c r="FN97" i="3"/>
  <c r="FO97" i="3"/>
  <c r="FP97" i="3"/>
  <c r="FQ97" i="3"/>
  <c r="FR97" i="3"/>
  <c r="FS97" i="3"/>
  <c r="FT97" i="3"/>
  <c r="FU97" i="3"/>
  <c r="FV97" i="3"/>
  <c r="FW97" i="3"/>
  <c r="FX97" i="3"/>
  <c r="FY97" i="3"/>
  <c r="FZ97" i="3"/>
  <c r="GA97" i="3"/>
  <c r="GB97" i="3"/>
  <c r="GC97" i="3"/>
  <c r="GD97" i="3"/>
  <c r="GE97" i="3"/>
  <c r="GF97" i="3"/>
  <c r="GG97" i="3"/>
  <c r="GH97" i="3"/>
  <c r="GI97" i="3"/>
  <c r="GJ97" i="3"/>
  <c r="GK97" i="3"/>
  <c r="GL97" i="3"/>
  <c r="GM97" i="3"/>
  <c r="GN97" i="3"/>
  <c r="GO97" i="3"/>
  <c r="GP97" i="3"/>
  <c r="GQ97" i="3"/>
  <c r="GR97" i="3"/>
  <c r="GS97" i="3"/>
  <c r="GT97" i="3"/>
  <c r="GU97" i="3"/>
  <c r="GV97" i="3"/>
  <c r="GW97" i="3"/>
  <c r="GX97" i="3"/>
  <c r="GY97" i="3"/>
  <c r="GZ97" i="3"/>
  <c r="HA97" i="3"/>
  <c r="HB97" i="3"/>
  <c r="HC97" i="3"/>
  <c r="HD97" i="3"/>
  <c r="HE97" i="3"/>
  <c r="HF97" i="3"/>
  <c r="HG97" i="3"/>
  <c r="HH97" i="3"/>
  <c r="HI97" i="3"/>
  <c r="HJ97" i="3"/>
  <c r="HK97" i="3"/>
  <c r="HL97" i="3"/>
  <c r="HM97" i="3"/>
  <c r="HN97" i="3"/>
  <c r="HO97" i="3"/>
  <c r="HP97" i="3"/>
  <c r="HQ97" i="3"/>
  <c r="HR97" i="3"/>
  <c r="HS97" i="3"/>
  <c r="HT97" i="3"/>
  <c r="HU97" i="3"/>
  <c r="HV97" i="3"/>
  <c r="HW97" i="3"/>
  <c r="HX97" i="3"/>
  <c r="HY97" i="3"/>
  <c r="HZ97" i="3"/>
  <c r="IA97" i="3"/>
  <c r="IB97" i="3"/>
  <c r="IC97" i="3"/>
  <c r="ID97" i="3"/>
  <c r="IE97" i="3"/>
  <c r="IF97" i="3"/>
  <c r="IG97" i="3"/>
  <c r="IH97" i="3"/>
  <c r="II97" i="3"/>
  <c r="IJ97" i="3"/>
  <c r="IK97" i="3"/>
  <c r="IL97" i="3"/>
  <c r="IM97" i="3"/>
  <c r="IN97" i="3"/>
  <c r="IO97" i="3"/>
  <c r="IP97" i="3"/>
  <c r="IQ97" i="3"/>
  <c r="IR97" i="3"/>
  <c r="IS97" i="3"/>
  <c r="IT97" i="3"/>
  <c r="IU97" i="3"/>
  <c r="IV97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DC96" i="3"/>
  <c r="DD96" i="3"/>
  <c r="DE96" i="3"/>
  <c r="DF96" i="3"/>
  <c r="DG96" i="3"/>
  <c r="DH96" i="3"/>
  <c r="DI96" i="3"/>
  <c r="DJ96" i="3"/>
  <c r="DK96" i="3"/>
  <c r="DL96" i="3"/>
  <c r="DM96" i="3"/>
  <c r="DN96" i="3"/>
  <c r="DO96" i="3"/>
  <c r="DP96" i="3"/>
  <c r="DQ96" i="3"/>
  <c r="DR96" i="3"/>
  <c r="DS96" i="3"/>
  <c r="DT96" i="3"/>
  <c r="DU96" i="3"/>
  <c r="DV96" i="3"/>
  <c r="DW96" i="3"/>
  <c r="DX96" i="3"/>
  <c r="DY96" i="3"/>
  <c r="DZ96" i="3"/>
  <c r="EA96" i="3"/>
  <c r="EB96" i="3"/>
  <c r="EC96" i="3"/>
  <c r="ED96" i="3"/>
  <c r="EE96" i="3"/>
  <c r="EF96" i="3"/>
  <c r="EG96" i="3"/>
  <c r="EH96" i="3"/>
  <c r="EI96" i="3"/>
  <c r="EJ96" i="3"/>
  <c r="EK96" i="3"/>
  <c r="EL96" i="3"/>
  <c r="EM96" i="3"/>
  <c r="EN96" i="3"/>
  <c r="EO96" i="3"/>
  <c r="EP96" i="3"/>
  <c r="EQ96" i="3"/>
  <c r="ER96" i="3"/>
  <c r="ES96" i="3"/>
  <c r="ET96" i="3"/>
  <c r="EU96" i="3"/>
  <c r="EV96" i="3"/>
  <c r="EW96" i="3"/>
  <c r="EX96" i="3"/>
  <c r="EY96" i="3"/>
  <c r="EZ96" i="3"/>
  <c r="FA96" i="3"/>
  <c r="FB96" i="3"/>
  <c r="FC96" i="3"/>
  <c r="FD96" i="3"/>
  <c r="FE96" i="3"/>
  <c r="FF96" i="3"/>
  <c r="FG96" i="3"/>
  <c r="FH96" i="3"/>
  <c r="FI96" i="3"/>
  <c r="FJ96" i="3"/>
  <c r="FK96" i="3"/>
  <c r="FL96" i="3"/>
  <c r="FM96" i="3"/>
  <c r="FN96" i="3"/>
  <c r="FO96" i="3"/>
  <c r="FP96" i="3"/>
  <c r="FQ96" i="3"/>
  <c r="FR96" i="3"/>
  <c r="FS96" i="3"/>
  <c r="FT96" i="3"/>
  <c r="FU96" i="3"/>
  <c r="FV96" i="3"/>
  <c r="FW96" i="3"/>
  <c r="FX96" i="3"/>
  <c r="FY96" i="3"/>
  <c r="FZ96" i="3"/>
  <c r="GA96" i="3"/>
  <c r="GB96" i="3"/>
  <c r="GC96" i="3"/>
  <c r="GD96" i="3"/>
  <c r="GE96" i="3"/>
  <c r="GF96" i="3"/>
  <c r="GG96" i="3"/>
  <c r="GH96" i="3"/>
  <c r="GI96" i="3"/>
  <c r="GJ96" i="3"/>
  <c r="GK96" i="3"/>
  <c r="GL96" i="3"/>
  <c r="GM96" i="3"/>
  <c r="GN96" i="3"/>
  <c r="GO96" i="3"/>
  <c r="GP96" i="3"/>
  <c r="GQ96" i="3"/>
  <c r="GR96" i="3"/>
  <c r="GS96" i="3"/>
  <c r="GT96" i="3"/>
  <c r="GU96" i="3"/>
  <c r="GV96" i="3"/>
  <c r="GW96" i="3"/>
  <c r="GX96" i="3"/>
  <c r="GY96" i="3"/>
  <c r="GZ96" i="3"/>
  <c r="HA96" i="3"/>
  <c r="HB96" i="3"/>
  <c r="HC96" i="3"/>
  <c r="HD96" i="3"/>
  <c r="HE96" i="3"/>
  <c r="HF96" i="3"/>
  <c r="HG96" i="3"/>
  <c r="HH96" i="3"/>
  <c r="HI96" i="3"/>
  <c r="HJ96" i="3"/>
  <c r="HK96" i="3"/>
  <c r="HL96" i="3"/>
  <c r="HM96" i="3"/>
  <c r="HN96" i="3"/>
  <c r="HO96" i="3"/>
  <c r="HP96" i="3"/>
  <c r="HQ96" i="3"/>
  <c r="HR96" i="3"/>
  <c r="HS96" i="3"/>
  <c r="HT96" i="3"/>
  <c r="HU96" i="3"/>
  <c r="HV96" i="3"/>
  <c r="HW96" i="3"/>
  <c r="HX96" i="3"/>
  <c r="HY96" i="3"/>
  <c r="HZ96" i="3"/>
  <c r="IA96" i="3"/>
  <c r="IB96" i="3"/>
  <c r="IC96" i="3"/>
  <c r="ID96" i="3"/>
  <c r="IE96" i="3"/>
  <c r="IF96" i="3"/>
  <c r="IG96" i="3"/>
  <c r="IH96" i="3"/>
  <c r="II96" i="3"/>
  <c r="IJ96" i="3"/>
  <c r="IK96" i="3"/>
  <c r="IL96" i="3"/>
  <c r="IM96" i="3"/>
  <c r="IN96" i="3"/>
  <c r="IO96" i="3"/>
  <c r="IP96" i="3"/>
  <c r="IQ96" i="3"/>
  <c r="IR96" i="3"/>
  <c r="IS96" i="3"/>
  <c r="IT96" i="3"/>
  <c r="IU96" i="3"/>
  <c r="IV96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DC95" i="3"/>
  <c r="DD95" i="3"/>
  <c r="DE95" i="3"/>
  <c r="DF95" i="3"/>
  <c r="DG95" i="3"/>
  <c r="DH95" i="3"/>
  <c r="DI95" i="3"/>
  <c r="DJ95" i="3"/>
  <c r="DK95" i="3"/>
  <c r="DL95" i="3"/>
  <c r="DM95" i="3"/>
  <c r="DN95" i="3"/>
  <c r="DO95" i="3"/>
  <c r="DP95" i="3"/>
  <c r="DQ95" i="3"/>
  <c r="DR95" i="3"/>
  <c r="DS95" i="3"/>
  <c r="DT95" i="3"/>
  <c r="DU95" i="3"/>
  <c r="DV95" i="3"/>
  <c r="DW95" i="3"/>
  <c r="DX95" i="3"/>
  <c r="DY95" i="3"/>
  <c r="DZ95" i="3"/>
  <c r="EA95" i="3"/>
  <c r="EB95" i="3"/>
  <c r="EC95" i="3"/>
  <c r="ED95" i="3"/>
  <c r="EE95" i="3"/>
  <c r="EF95" i="3"/>
  <c r="EG95" i="3"/>
  <c r="EH95" i="3"/>
  <c r="EI95" i="3"/>
  <c r="EJ95" i="3"/>
  <c r="EK95" i="3"/>
  <c r="EL95" i="3"/>
  <c r="EM95" i="3"/>
  <c r="EN95" i="3"/>
  <c r="EO95" i="3"/>
  <c r="EP95" i="3"/>
  <c r="EQ95" i="3"/>
  <c r="ER95" i="3"/>
  <c r="ES95" i="3"/>
  <c r="ET95" i="3"/>
  <c r="EU95" i="3"/>
  <c r="EV95" i="3"/>
  <c r="EW95" i="3"/>
  <c r="EX95" i="3"/>
  <c r="EY95" i="3"/>
  <c r="EZ95" i="3"/>
  <c r="FA95" i="3"/>
  <c r="FB95" i="3"/>
  <c r="FC95" i="3"/>
  <c r="FD95" i="3"/>
  <c r="FE95" i="3"/>
  <c r="FF95" i="3"/>
  <c r="FG95" i="3"/>
  <c r="FH95" i="3"/>
  <c r="FI95" i="3"/>
  <c r="FJ95" i="3"/>
  <c r="FK95" i="3"/>
  <c r="FL95" i="3"/>
  <c r="FM95" i="3"/>
  <c r="FN95" i="3"/>
  <c r="FO95" i="3"/>
  <c r="FP95" i="3"/>
  <c r="FQ95" i="3"/>
  <c r="FR95" i="3"/>
  <c r="FS95" i="3"/>
  <c r="FT95" i="3"/>
  <c r="FU95" i="3"/>
  <c r="FV95" i="3"/>
  <c r="FW95" i="3"/>
  <c r="FX95" i="3"/>
  <c r="FY95" i="3"/>
  <c r="FZ95" i="3"/>
  <c r="GA95" i="3"/>
  <c r="GB95" i="3"/>
  <c r="GC95" i="3"/>
  <c r="GD95" i="3"/>
  <c r="GE95" i="3"/>
  <c r="GF95" i="3"/>
  <c r="GG95" i="3"/>
  <c r="GH95" i="3"/>
  <c r="GI95" i="3"/>
  <c r="GJ95" i="3"/>
  <c r="GK95" i="3"/>
  <c r="GL95" i="3"/>
  <c r="GM95" i="3"/>
  <c r="GN95" i="3"/>
  <c r="GO95" i="3"/>
  <c r="GP95" i="3"/>
  <c r="GQ95" i="3"/>
  <c r="GR95" i="3"/>
  <c r="GS95" i="3"/>
  <c r="GT95" i="3"/>
  <c r="GU95" i="3"/>
  <c r="GV95" i="3"/>
  <c r="GW95" i="3"/>
  <c r="GX95" i="3"/>
  <c r="GY95" i="3"/>
  <c r="GZ95" i="3"/>
  <c r="HA95" i="3"/>
  <c r="HB95" i="3"/>
  <c r="HC95" i="3"/>
  <c r="HD95" i="3"/>
  <c r="HE95" i="3"/>
  <c r="HF95" i="3"/>
  <c r="HG95" i="3"/>
  <c r="HH95" i="3"/>
  <c r="HI95" i="3"/>
  <c r="HJ95" i="3"/>
  <c r="HK95" i="3"/>
  <c r="HL95" i="3"/>
  <c r="HM95" i="3"/>
  <c r="HN95" i="3"/>
  <c r="HO95" i="3"/>
  <c r="HP95" i="3"/>
  <c r="HQ95" i="3"/>
  <c r="HR95" i="3"/>
  <c r="HS95" i="3"/>
  <c r="HT95" i="3"/>
  <c r="HU95" i="3"/>
  <c r="HV95" i="3"/>
  <c r="HW95" i="3"/>
  <c r="HX95" i="3"/>
  <c r="HY95" i="3"/>
  <c r="HZ95" i="3"/>
  <c r="IA95" i="3"/>
  <c r="IB95" i="3"/>
  <c r="IC95" i="3"/>
  <c r="ID95" i="3"/>
  <c r="IE95" i="3"/>
  <c r="IF95" i="3"/>
  <c r="IG95" i="3"/>
  <c r="IH95" i="3"/>
  <c r="II95" i="3"/>
  <c r="IJ95" i="3"/>
  <c r="IK95" i="3"/>
  <c r="IL95" i="3"/>
  <c r="IM95" i="3"/>
  <c r="IN95" i="3"/>
  <c r="IO95" i="3"/>
  <c r="IP95" i="3"/>
  <c r="IQ95" i="3"/>
  <c r="IR95" i="3"/>
  <c r="IS95" i="3"/>
  <c r="IT95" i="3"/>
  <c r="IU95" i="3"/>
  <c r="IV95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DC94" i="3"/>
  <c r="DD94" i="3"/>
  <c r="DE94" i="3"/>
  <c r="DF94" i="3"/>
  <c r="DG94" i="3"/>
  <c r="DH94" i="3"/>
  <c r="DI94" i="3"/>
  <c r="DJ94" i="3"/>
  <c r="DK94" i="3"/>
  <c r="DL94" i="3"/>
  <c r="DM94" i="3"/>
  <c r="DN94" i="3"/>
  <c r="DO94" i="3"/>
  <c r="DP94" i="3"/>
  <c r="DQ94" i="3"/>
  <c r="DR94" i="3"/>
  <c r="DS94" i="3"/>
  <c r="DT94" i="3"/>
  <c r="DU94" i="3"/>
  <c r="DV94" i="3"/>
  <c r="DW94" i="3"/>
  <c r="DX94" i="3"/>
  <c r="DY94" i="3"/>
  <c r="DZ94" i="3"/>
  <c r="EA94" i="3"/>
  <c r="EB94" i="3"/>
  <c r="EC94" i="3"/>
  <c r="ED94" i="3"/>
  <c r="EE94" i="3"/>
  <c r="EF94" i="3"/>
  <c r="EG94" i="3"/>
  <c r="EH94" i="3"/>
  <c r="EI94" i="3"/>
  <c r="EJ94" i="3"/>
  <c r="EK94" i="3"/>
  <c r="EL94" i="3"/>
  <c r="EM94" i="3"/>
  <c r="EN94" i="3"/>
  <c r="EO94" i="3"/>
  <c r="EP94" i="3"/>
  <c r="EQ94" i="3"/>
  <c r="ER94" i="3"/>
  <c r="ES94" i="3"/>
  <c r="ET94" i="3"/>
  <c r="EU94" i="3"/>
  <c r="EV94" i="3"/>
  <c r="EW94" i="3"/>
  <c r="EX94" i="3"/>
  <c r="EY94" i="3"/>
  <c r="EZ94" i="3"/>
  <c r="FA94" i="3"/>
  <c r="FB94" i="3"/>
  <c r="FC94" i="3"/>
  <c r="FD94" i="3"/>
  <c r="FE94" i="3"/>
  <c r="FF94" i="3"/>
  <c r="FG94" i="3"/>
  <c r="FH94" i="3"/>
  <c r="FI94" i="3"/>
  <c r="FJ94" i="3"/>
  <c r="FK94" i="3"/>
  <c r="FL94" i="3"/>
  <c r="FM94" i="3"/>
  <c r="FN94" i="3"/>
  <c r="FO94" i="3"/>
  <c r="FP94" i="3"/>
  <c r="FQ94" i="3"/>
  <c r="FR94" i="3"/>
  <c r="FS94" i="3"/>
  <c r="FT94" i="3"/>
  <c r="FU94" i="3"/>
  <c r="FV94" i="3"/>
  <c r="FW94" i="3"/>
  <c r="FX94" i="3"/>
  <c r="FY94" i="3"/>
  <c r="FZ94" i="3"/>
  <c r="GA94" i="3"/>
  <c r="GB94" i="3"/>
  <c r="GC94" i="3"/>
  <c r="GD94" i="3"/>
  <c r="GE94" i="3"/>
  <c r="GF94" i="3"/>
  <c r="GG94" i="3"/>
  <c r="GH94" i="3"/>
  <c r="GI94" i="3"/>
  <c r="GJ94" i="3"/>
  <c r="GK94" i="3"/>
  <c r="GL94" i="3"/>
  <c r="GM94" i="3"/>
  <c r="GN94" i="3"/>
  <c r="GO94" i="3"/>
  <c r="GP94" i="3"/>
  <c r="GQ94" i="3"/>
  <c r="GR94" i="3"/>
  <c r="GS94" i="3"/>
  <c r="GT94" i="3"/>
  <c r="GU94" i="3"/>
  <c r="GV94" i="3"/>
  <c r="GW94" i="3"/>
  <c r="GX94" i="3"/>
  <c r="GY94" i="3"/>
  <c r="GZ94" i="3"/>
  <c r="HA94" i="3"/>
  <c r="HB94" i="3"/>
  <c r="HC94" i="3"/>
  <c r="HD94" i="3"/>
  <c r="HE94" i="3"/>
  <c r="HF94" i="3"/>
  <c r="HG94" i="3"/>
  <c r="HH94" i="3"/>
  <c r="HI94" i="3"/>
  <c r="HJ94" i="3"/>
  <c r="HK94" i="3"/>
  <c r="HL94" i="3"/>
  <c r="HM94" i="3"/>
  <c r="HN94" i="3"/>
  <c r="HO94" i="3"/>
  <c r="HP94" i="3"/>
  <c r="HQ94" i="3"/>
  <c r="HR94" i="3"/>
  <c r="HS94" i="3"/>
  <c r="HT94" i="3"/>
  <c r="HU94" i="3"/>
  <c r="HV94" i="3"/>
  <c r="HW94" i="3"/>
  <c r="HX94" i="3"/>
  <c r="HY94" i="3"/>
  <c r="HZ94" i="3"/>
  <c r="IA94" i="3"/>
  <c r="IB94" i="3"/>
  <c r="IC94" i="3"/>
  <c r="ID94" i="3"/>
  <c r="IE94" i="3"/>
  <c r="IF94" i="3"/>
  <c r="IG94" i="3"/>
  <c r="IH94" i="3"/>
  <c r="II94" i="3"/>
  <c r="IJ94" i="3"/>
  <c r="IK94" i="3"/>
  <c r="IL94" i="3"/>
  <c r="IM94" i="3"/>
  <c r="IN94" i="3"/>
  <c r="IO94" i="3"/>
  <c r="IP94" i="3"/>
  <c r="IQ94" i="3"/>
  <c r="IR94" i="3"/>
  <c r="IS94" i="3"/>
  <c r="IT94" i="3"/>
  <c r="IU94" i="3"/>
  <c r="IV94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DC93" i="3"/>
  <c r="DD93" i="3"/>
  <c r="DE93" i="3"/>
  <c r="DF93" i="3"/>
  <c r="DG93" i="3"/>
  <c r="DH93" i="3"/>
  <c r="DI93" i="3"/>
  <c r="DJ93" i="3"/>
  <c r="DK93" i="3"/>
  <c r="DL93" i="3"/>
  <c r="DM93" i="3"/>
  <c r="DN93" i="3"/>
  <c r="DO93" i="3"/>
  <c r="DP93" i="3"/>
  <c r="DQ93" i="3"/>
  <c r="DR93" i="3"/>
  <c r="DS93" i="3"/>
  <c r="DT93" i="3"/>
  <c r="DU93" i="3"/>
  <c r="DV93" i="3"/>
  <c r="DW93" i="3"/>
  <c r="DX93" i="3"/>
  <c r="DY93" i="3"/>
  <c r="DZ93" i="3"/>
  <c r="EA93" i="3"/>
  <c r="EB93" i="3"/>
  <c r="EC93" i="3"/>
  <c r="ED93" i="3"/>
  <c r="EE93" i="3"/>
  <c r="EF93" i="3"/>
  <c r="EG93" i="3"/>
  <c r="EH93" i="3"/>
  <c r="EI93" i="3"/>
  <c r="EJ93" i="3"/>
  <c r="EK93" i="3"/>
  <c r="EL93" i="3"/>
  <c r="EM93" i="3"/>
  <c r="EN93" i="3"/>
  <c r="EO93" i="3"/>
  <c r="EP93" i="3"/>
  <c r="EQ93" i="3"/>
  <c r="ER93" i="3"/>
  <c r="ES93" i="3"/>
  <c r="ET93" i="3"/>
  <c r="EU93" i="3"/>
  <c r="EV93" i="3"/>
  <c r="EW93" i="3"/>
  <c r="EX93" i="3"/>
  <c r="EY93" i="3"/>
  <c r="EZ93" i="3"/>
  <c r="FA93" i="3"/>
  <c r="FB93" i="3"/>
  <c r="FC93" i="3"/>
  <c r="FD93" i="3"/>
  <c r="FE93" i="3"/>
  <c r="FF93" i="3"/>
  <c r="FG93" i="3"/>
  <c r="FH93" i="3"/>
  <c r="FI93" i="3"/>
  <c r="FJ93" i="3"/>
  <c r="FK93" i="3"/>
  <c r="FL93" i="3"/>
  <c r="FM93" i="3"/>
  <c r="FN93" i="3"/>
  <c r="FO93" i="3"/>
  <c r="FP93" i="3"/>
  <c r="FQ93" i="3"/>
  <c r="FR93" i="3"/>
  <c r="FS93" i="3"/>
  <c r="FT93" i="3"/>
  <c r="FU93" i="3"/>
  <c r="FV93" i="3"/>
  <c r="FW93" i="3"/>
  <c r="FX93" i="3"/>
  <c r="FY93" i="3"/>
  <c r="FZ93" i="3"/>
  <c r="GA93" i="3"/>
  <c r="GB93" i="3"/>
  <c r="GC93" i="3"/>
  <c r="GD93" i="3"/>
  <c r="GE93" i="3"/>
  <c r="GF93" i="3"/>
  <c r="GG93" i="3"/>
  <c r="GH93" i="3"/>
  <c r="GI93" i="3"/>
  <c r="GJ93" i="3"/>
  <c r="GK93" i="3"/>
  <c r="GL93" i="3"/>
  <c r="GM93" i="3"/>
  <c r="GN93" i="3"/>
  <c r="GO93" i="3"/>
  <c r="GP93" i="3"/>
  <c r="GQ93" i="3"/>
  <c r="GR93" i="3"/>
  <c r="GS93" i="3"/>
  <c r="GT93" i="3"/>
  <c r="GU93" i="3"/>
  <c r="GV93" i="3"/>
  <c r="GW93" i="3"/>
  <c r="GX93" i="3"/>
  <c r="GY93" i="3"/>
  <c r="GZ93" i="3"/>
  <c r="HA93" i="3"/>
  <c r="HB93" i="3"/>
  <c r="HC93" i="3"/>
  <c r="HD93" i="3"/>
  <c r="HE93" i="3"/>
  <c r="HF93" i="3"/>
  <c r="HG93" i="3"/>
  <c r="HH93" i="3"/>
  <c r="HI93" i="3"/>
  <c r="HJ93" i="3"/>
  <c r="HK93" i="3"/>
  <c r="HL93" i="3"/>
  <c r="HM93" i="3"/>
  <c r="HN93" i="3"/>
  <c r="HO93" i="3"/>
  <c r="HP93" i="3"/>
  <c r="HQ93" i="3"/>
  <c r="HR93" i="3"/>
  <c r="HS93" i="3"/>
  <c r="HT93" i="3"/>
  <c r="HU93" i="3"/>
  <c r="HV93" i="3"/>
  <c r="HW93" i="3"/>
  <c r="HX93" i="3"/>
  <c r="HY93" i="3"/>
  <c r="HZ93" i="3"/>
  <c r="IA93" i="3"/>
  <c r="IB93" i="3"/>
  <c r="IC93" i="3"/>
  <c r="ID93" i="3"/>
  <c r="IE93" i="3"/>
  <c r="IF93" i="3"/>
  <c r="IG93" i="3"/>
  <c r="IH93" i="3"/>
  <c r="II93" i="3"/>
  <c r="IJ93" i="3"/>
  <c r="IK93" i="3"/>
  <c r="IL93" i="3"/>
  <c r="IM93" i="3"/>
  <c r="IN93" i="3"/>
  <c r="IO93" i="3"/>
  <c r="IP93" i="3"/>
  <c r="IQ93" i="3"/>
  <c r="IR93" i="3"/>
  <c r="IS93" i="3"/>
  <c r="IT93" i="3"/>
  <c r="IU93" i="3"/>
  <c r="IV93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DC92" i="3"/>
  <c r="DD92" i="3"/>
  <c r="DE92" i="3"/>
  <c r="DF92" i="3"/>
  <c r="DG92" i="3"/>
  <c r="DH92" i="3"/>
  <c r="DI92" i="3"/>
  <c r="DJ92" i="3"/>
  <c r="DK92" i="3"/>
  <c r="DL92" i="3"/>
  <c r="DM92" i="3"/>
  <c r="DN92" i="3"/>
  <c r="DO92" i="3"/>
  <c r="DP92" i="3"/>
  <c r="DQ92" i="3"/>
  <c r="DR92" i="3"/>
  <c r="DS92" i="3"/>
  <c r="DT92" i="3"/>
  <c r="DU92" i="3"/>
  <c r="DV92" i="3"/>
  <c r="DW92" i="3"/>
  <c r="DX92" i="3"/>
  <c r="DY92" i="3"/>
  <c r="DZ92" i="3"/>
  <c r="EA92" i="3"/>
  <c r="EB92" i="3"/>
  <c r="EC92" i="3"/>
  <c r="ED92" i="3"/>
  <c r="EE92" i="3"/>
  <c r="EF92" i="3"/>
  <c r="EG92" i="3"/>
  <c r="EH92" i="3"/>
  <c r="EI92" i="3"/>
  <c r="EJ92" i="3"/>
  <c r="EK92" i="3"/>
  <c r="EL92" i="3"/>
  <c r="EM92" i="3"/>
  <c r="EN92" i="3"/>
  <c r="EO92" i="3"/>
  <c r="EP92" i="3"/>
  <c r="EQ92" i="3"/>
  <c r="ER92" i="3"/>
  <c r="ES92" i="3"/>
  <c r="ET92" i="3"/>
  <c r="EU92" i="3"/>
  <c r="EV92" i="3"/>
  <c r="EW92" i="3"/>
  <c r="EX92" i="3"/>
  <c r="EY92" i="3"/>
  <c r="EZ92" i="3"/>
  <c r="FA92" i="3"/>
  <c r="FB92" i="3"/>
  <c r="FC92" i="3"/>
  <c r="FD92" i="3"/>
  <c r="FE92" i="3"/>
  <c r="FF92" i="3"/>
  <c r="FG92" i="3"/>
  <c r="FH92" i="3"/>
  <c r="FI92" i="3"/>
  <c r="FJ92" i="3"/>
  <c r="FK92" i="3"/>
  <c r="FL92" i="3"/>
  <c r="FM92" i="3"/>
  <c r="FN92" i="3"/>
  <c r="FO92" i="3"/>
  <c r="FP92" i="3"/>
  <c r="FQ92" i="3"/>
  <c r="FR92" i="3"/>
  <c r="FS92" i="3"/>
  <c r="FT92" i="3"/>
  <c r="FU92" i="3"/>
  <c r="FV92" i="3"/>
  <c r="FW92" i="3"/>
  <c r="FX92" i="3"/>
  <c r="FY92" i="3"/>
  <c r="FZ92" i="3"/>
  <c r="GA92" i="3"/>
  <c r="GB92" i="3"/>
  <c r="GC92" i="3"/>
  <c r="GD92" i="3"/>
  <c r="GE92" i="3"/>
  <c r="GF92" i="3"/>
  <c r="GG92" i="3"/>
  <c r="GH92" i="3"/>
  <c r="GI92" i="3"/>
  <c r="GJ92" i="3"/>
  <c r="GK92" i="3"/>
  <c r="GL92" i="3"/>
  <c r="GM92" i="3"/>
  <c r="GN92" i="3"/>
  <c r="GO92" i="3"/>
  <c r="GP92" i="3"/>
  <c r="GQ92" i="3"/>
  <c r="GR92" i="3"/>
  <c r="GS92" i="3"/>
  <c r="GT92" i="3"/>
  <c r="GU92" i="3"/>
  <c r="GV92" i="3"/>
  <c r="GW92" i="3"/>
  <c r="GX92" i="3"/>
  <c r="GY92" i="3"/>
  <c r="GZ92" i="3"/>
  <c r="HA92" i="3"/>
  <c r="HB92" i="3"/>
  <c r="HC92" i="3"/>
  <c r="HD92" i="3"/>
  <c r="HE92" i="3"/>
  <c r="HF92" i="3"/>
  <c r="HG92" i="3"/>
  <c r="HH92" i="3"/>
  <c r="HI92" i="3"/>
  <c r="HJ92" i="3"/>
  <c r="HK92" i="3"/>
  <c r="HL92" i="3"/>
  <c r="HM92" i="3"/>
  <c r="HN92" i="3"/>
  <c r="HO92" i="3"/>
  <c r="HP92" i="3"/>
  <c r="HQ92" i="3"/>
  <c r="HR92" i="3"/>
  <c r="HS92" i="3"/>
  <c r="HT92" i="3"/>
  <c r="HU92" i="3"/>
  <c r="HV92" i="3"/>
  <c r="HW92" i="3"/>
  <c r="HX92" i="3"/>
  <c r="HY92" i="3"/>
  <c r="HZ92" i="3"/>
  <c r="IA92" i="3"/>
  <c r="IB92" i="3"/>
  <c r="IC92" i="3"/>
  <c r="ID92" i="3"/>
  <c r="IE92" i="3"/>
  <c r="IF92" i="3"/>
  <c r="IG92" i="3"/>
  <c r="IH92" i="3"/>
  <c r="II92" i="3"/>
  <c r="IJ92" i="3"/>
  <c r="IK92" i="3"/>
  <c r="IL92" i="3"/>
  <c r="IM92" i="3"/>
  <c r="IN92" i="3"/>
  <c r="IO92" i="3"/>
  <c r="IP92" i="3"/>
  <c r="IQ92" i="3"/>
  <c r="IR92" i="3"/>
  <c r="IS92" i="3"/>
  <c r="IT92" i="3"/>
  <c r="IU92" i="3"/>
  <c r="IV92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DC91" i="3"/>
  <c r="DD91" i="3"/>
  <c r="DE91" i="3"/>
  <c r="DF91" i="3"/>
  <c r="DG91" i="3"/>
  <c r="DH91" i="3"/>
  <c r="DI91" i="3"/>
  <c r="DJ91" i="3"/>
  <c r="DK91" i="3"/>
  <c r="DL91" i="3"/>
  <c r="DM91" i="3"/>
  <c r="DN91" i="3"/>
  <c r="DO91" i="3"/>
  <c r="DP91" i="3"/>
  <c r="DQ91" i="3"/>
  <c r="DR91" i="3"/>
  <c r="DS91" i="3"/>
  <c r="DT91" i="3"/>
  <c r="DU91" i="3"/>
  <c r="DV91" i="3"/>
  <c r="DW91" i="3"/>
  <c r="DX91" i="3"/>
  <c r="DY91" i="3"/>
  <c r="DZ91" i="3"/>
  <c r="EA91" i="3"/>
  <c r="EB91" i="3"/>
  <c r="EC91" i="3"/>
  <c r="ED91" i="3"/>
  <c r="EE91" i="3"/>
  <c r="EF91" i="3"/>
  <c r="EG91" i="3"/>
  <c r="EH91" i="3"/>
  <c r="EI91" i="3"/>
  <c r="EJ91" i="3"/>
  <c r="EK91" i="3"/>
  <c r="EL91" i="3"/>
  <c r="EM91" i="3"/>
  <c r="EN91" i="3"/>
  <c r="EO91" i="3"/>
  <c r="EP91" i="3"/>
  <c r="EQ91" i="3"/>
  <c r="ER91" i="3"/>
  <c r="ES91" i="3"/>
  <c r="ET91" i="3"/>
  <c r="EU91" i="3"/>
  <c r="EV91" i="3"/>
  <c r="EW91" i="3"/>
  <c r="EX91" i="3"/>
  <c r="EY91" i="3"/>
  <c r="EZ91" i="3"/>
  <c r="FA91" i="3"/>
  <c r="FB91" i="3"/>
  <c r="FC91" i="3"/>
  <c r="FD91" i="3"/>
  <c r="FE91" i="3"/>
  <c r="FF91" i="3"/>
  <c r="FG91" i="3"/>
  <c r="FH91" i="3"/>
  <c r="FI91" i="3"/>
  <c r="FJ91" i="3"/>
  <c r="FK91" i="3"/>
  <c r="FL91" i="3"/>
  <c r="FM91" i="3"/>
  <c r="FN91" i="3"/>
  <c r="FO91" i="3"/>
  <c r="FP91" i="3"/>
  <c r="FQ91" i="3"/>
  <c r="FR91" i="3"/>
  <c r="FS91" i="3"/>
  <c r="FT91" i="3"/>
  <c r="FU91" i="3"/>
  <c r="FV91" i="3"/>
  <c r="FW91" i="3"/>
  <c r="FX91" i="3"/>
  <c r="FY91" i="3"/>
  <c r="FZ91" i="3"/>
  <c r="GA91" i="3"/>
  <c r="GB91" i="3"/>
  <c r="GC91" i="3"/>
  <c r="GD91" i="3"/>
  <c r="GE91" i="3"/>
  <c r="GF91" i="3"/>
  <c r="GG91" i="3"/>
  <c r="GH91" i="3"/>
  <c r="GI91" i="3"/>
  <c r="GJ91" i="3"/>
  <c r="GK91" i="3"/>
  <c r="GL91" i="3"/>
  <c r="GM91" i="3"/>
  <c r="GN91" i="3"/>
  <c r="GO91" i="3"/>
  <c r="GP91" i="3"/>
  <c r="GQ91" i="3"/>
  <c r="GR91" i="3"/>
  <c r="GS91" i="3"/>
  <c r="GT91" i="3"/>
  <c r="GU91" i="3"/>
  <c r="GV91" i="3"/>
  <c r="GW91" i="3"/>
  <c r="GX91" i="3"/>
  <c r="GY91" i="3"/>
  <c r="GZ91" i="3"/>
  <c r="HA91" i="3"/>
  <c r="HB91" i="3"/>
  <c r="HC91" i="3"/>
  <c r="HD91" i="3"/>
  <c r="HE91" i="3"/>
  <c r="HF91" i="3"/>
  <c r="HG91" i="3"/>
  <c r="HH91" i="3"/>
  <c r="HI91" i="3"/>
  <c r="HJ91" i="3"/>
  <c r="HK91" i="3"/>
  <c r="HL91" i="3"/>
  <c r="HM91" i="3"/>
  <c r="HN91" i="3"/>
  <c r="HO91" i="3"/>
  <c r="HP91" i="3"/>
  <c r="HQ91" i="3"/>
  <c r="HR91" i="3"/>
  <c r="HS91" i="3"/>
  <c r="HT91" i="3"/>
  <c r="HU91" i="3"/>
  <c r="HV91" i="3"/>
  <c r="HW91" i="3"/>
  <c r="HX91" i="3"/>
  <c r="HY91" i="3"/>
  <c r="HZ91" i="3"/>
  <c r="IA91" i="3"/>
  <c r="IB91" i="3"/>
  <c r="IC91" i="3"/>
  <c r="ID91" i="3"/>
  <c r="IE91" i="3"/>
  <c r="IF91" i="3"/>
  <c r="IG91" i="3"/>
  <c r="IH91" i="3"/>
  <c r="II91" i="3"/>
  <c r="IJ91" i="3"/>
  <c r="IK91" i="3"/>
  <c r="IL91" i="3"/>
  <c r="IM91" i="3"/>
  <c r="IN91" i="3"/>
  <c r="IO91" i="3"/>
  <c r="IP91" i="3"/>
  <c r="IQ91" i="3"/>
  <c r="IR91" i="3"/>
  <c r="IS91" i="3"/>
  <c r="IT91" i="3"/>
  <c r="IU91" i="3"/>
  <c r="IV91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DC90" i="3"/>
  <c r="DD90" i="3"/>
  <c r="DE90" i="3"/>
  <c r="DF90" i="3"/>
  <c r="DG90" i="3"/>
  <c r="DH90" i="3"/>
  <c r="DI90" i="3"/>
  <c r="DJ90" i="3"/>
  <c r="DK90" i="3"/>
  <c r="DL90" i="3"/>
  <c r="DM90" i="3"/>
  <c r="DN90" i="3"/>
  <c r="DO90" i="3"/>
  <c r="DP90" i="3"/>
  <c r="DQ90" i="3"/>
  <c r="DR90" i="3"/>
  <c r="DS90" i="3"/>
  <c r="DT90" i="3"/>
  <c r="DU90" i="3"/>
  <c r="DV90" i="3"/>
  <c r="DW90" i="3"/>
  <c r="DX90" i="3"/>
  <c r="DY90" i="3"/>
  <c r="DZ90" i="3"/>
  <c r="EA90" i="3"/>
  <c r="EB90" i="3"/>
  <c r="EC90" i="3"/>
  <c r="ED90" i="3"/>
  <c r="EE90" i="3"/>
  <c r="EF90" i="3"/>
  <c r="EG90" i="3"/>
  <c r="EH90" i="3"/>
  <c r="EI90" i="3"/>
  <c r="EJ90" i="3"/>
  <c r="EK90" i="3"/>
  <c r="EL90" i="3"/>
  <c r="EM90" i="3"/>
  <c r="EN90" i="3"/>
  <c r="EO90" i="3"/>
  <c r="EP90" i="3"/>
  <c r="EQ90" i="3"/>
  <c r="ER90" i="3"/>
  <c r="ES90" i="3"/>
  <c r="ET90" i="3"/>
  <c r="EU90" i="3"/>
  <c r="EV90" i="3"/>
  <c r="EW90" i="3"/>
  <c r="EX90" i="3"/>
  <c r="EY90" i="3"/>
  <c r="EZ90" i="3"/>
  <c r="FA90" i="3"/>
  <c r="FB90" i="3"/>
  <c r="FC90" i="3"/>
  <c r="FD90" i="3"/>
  <c r="FE90" i="3"/>
  <c r="FF90" i="3"/>
  <c r="FG90" i="3"/>
  <c r="FH90" i="3"/>
  <c r="FI90" i="3"/>
  <c r="FJ90" i="3"/>
  <c r="FK90" i="3"/>
  <c r="FL90" i="3"/>
  <c r="FM90" i="3"/>
  <c r="FN90" i="3"/>
  <c r="FO90" i="3"/>
  <c r="FP90" i="3"/>
  <c r="FQ90" i="3"/>
  <c r="FR90" i="3"/>
  <c r="FS90" i="3"/>
  <c r="FT90" i="3"/>
  <c r="FU90" i="3"/>
  <c r="FV90" i="3"/>
  <c r="FW90" i="3"/>
  <c r="FX90" i="3"/>
  <c r="FY90" i="3"/>
  <c r="FZ90" i="3"/>
  <c r="GA90" i="3"/>
  <c r="GB90" i="3"/>
  <c r="GC90" i="3"/>
  <c r="GD90" i="3"/>
  <c r="GE90" i="3"/>
  <c r="GF90" i="3"/>
  <c r="GG90" i="3"/>
  <c r="GH90" i="3"/>
  <c r="GI90" i="3"/>
  <c r="GJ90" i="3"/>
  <c r="GK90" i="3"/>
  <c r="GL90" i="3"/>
  <c r="GM90" i="3"/>
  <c r="GN90" i="3"/>
  <c r="GO90" i="3"/>
  <c r="GP90" i="3"/>
  <c r="GQ90" i="3"/>
  <c r="GR90" i="3"/>
  <c r="GS90" i="3"/>
  <c r="GT90" i="3"/>
  <c r="GU90" i="3"/>
  <c r="GV90" i="3"/>
  <c r="GW90" i="3"/>
  <c r="GX90" i="3"/>
  <c r="GY90" i="3"/>
  <c r="GZ90" i="3"/>
  <c r="HA90" i="3"/>
  <c r="HB90" i="3"/>
  <c r="HC90" i="3"/>
  <c r="HD90" i="3"/>
  <c r="HE90" i="3"/>
  <c r="HF90" i="3"/>
  <c r="HG90" i="3"/>
  <c r="HH90" i="3"/>
  <c r="HI90" i="3"/>
  <c r="HJ90" i="3"/>
  <c r="HK90" i="3"/>
  <c r="HL90" i="3"/>
  <c r="HM90" i="3"/>
  <c r="HN90" i="3"/>
  <c r="HO90" i="3"/>
  <c r="HP90" i="3"/>
  <c r="HQ90" i="3"/>
  <c r="HR90" i="3"/>
  <c r="HS90" i="3"/>
  <c r="HT90" i="3"/>
  <c r="HU90" i="3"/>
  <c r="HV90" i="3"/>
  <c r="HW90" i="3"/>
  <c r="HX90" i="3"/>
  <c r="HY90" i="3"/>
  <c r="HZ90" i="3"/>
  <c r="IA90" i="3"/>
  <c r="IB90" i="3"/>
  <c r="IC90" i="3"/>
  <c r="ID90" i="3"/>
  <c r="IE90" i="3"/>
  <c r="IF90" i="3"/>
  <c r="IG90" i="3"/>
  <c r="IH90" i="3"/>
  <c r="II90" i="3"/>
  <c r="IJ90" i="3"/>
  <c r="IK90" i="3"/>
  <c r="IL90" i="3"/>
  <c r="IM90" i="3"/>
  <c r="IN90" i="3"/>
  <c r="IO90" i="3"/>
  <c r="IP90" i="3"/>
  <c r="IQ90" i="3"/>
  <c r="IR90" i="3"/>
  <c r="IS90" i="3"/>
  <c r="IT90" i="3"/>
  <c r="IU90" i="3"/>
  <c r="IV90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DC89" i="3"/>
  <c r="DD89" i="3"/>
  <c r="DE89" i="3"/>
  <c r="DF89" i="3"/>
  <c r="DG89" i="3"/>
  <c r="DH89" i="3"/>
  <c r="DI89" i="3"/>
  <c r="DJ89" i="3"/>
  <c r="DK89" i="3"/>
  <c r="DL89" i="3"/>
  <c r="DM89" i="3"/>
  <c r="DN89" i="3"/>
  <c r="DO89" i="3"/>
  <c r="DP89" i="3"/>
  <c r="DQ89" i="3"/>
  <c r="DR89" i="3"/>
  <c r="DS89" i="3"/>
  <c r="DT89" i="3"/>
  <c r="DU89" i="3"/>
  <c r="DV89" i="3"/>
  <c r="DW89" i="3"/>
  <c r="DX89" i="3"/>
  <c r="DY89" i="3"/>
  <c r="DZ89" i="3"/>
  <c r="EA89" i="3"/>
  <c r="EB89" i="3"/>
  <c r="EC89" i="3"/>
  <c r="ED89" i="3"/>
  <c r="EE89" i="3"/>
  <c r="EF89" i="3"/>
  <c r="EG89" i="3"/>
  <c r="EH89" i="3"/>
  <c r="EI89" i="3"/>
  <c r="EJ89" i="3"/>
  <c r="EK89" i="3"/>
  <c r="EL89" i="3"/>
  <c r="EM89" i="3"/>
  <c r="EN89" i="3"/>
  <c r="EO89" i="3"/>
  <c r="EP89" i="3"/>
  <c r="EQ89" i="3"/>
  <c r="ER89" i="3"/>
  <c r="ES89" i="3"/>
  <c r="ET89" i="3"/>
  <c r="EU89" i="3"/>
  <c r="EV89" i="3"/>
  <c r="EW89" i="3"/>
  <c r="EX89" i="3"/>
  <c r="EY89" i="3"/>
  <c r="EZ89" i="3"/>
  <c r="FA89" i="3"/>
  <c r="FB89" i="3"/>
  <c r="FC89" i="3"/>
  <c r="FD89" i="3"/>
  <c r="FE89" i="3"/>
  <c r="FF89" i="3"/>
  <c r="FG89" i="3"/>
  <c r="FH89" i="3"/>
  <c r="FI89" i="3"/>
  <c r="FJ89" i="3"/>
  <c r="FK89" i="3"/>
  <c r="FL89" i="3"/>
  <c r="FM89" i="3"/>
  <c r="FN89" i="3"/>
  <c r="FO89" i="3"/>
  <c r="FP89" i="3"/>
  <c r="FQ89" i="3"/>
  <c r="FR89" i="3"/>
  <c r="FS89" i="3"/>
  <c r="FT89" i="3"/>
  <c r="FU89" i="3"/>
  <c r="FV89" i="3"/>
  <c r="FW89" i="3"/>
  <c r="FX89" i="3"/>
  <c r="FY89" i="3"/>
  <c r="FZ89" i="3"/>
  <c r="GA89" i="3"/>
  <c r="GB89" i="3"/>
  <c r="GC89" i="3"/>
  <c r="GD89" i="3"/>
  <c r="GE89" i="3"/>
  <c r="GF89" i="3"/>
  <c r="GG89" i="3"/>
  <c r="GH89" i="3"/>
  <c r="GI89" i="3"/>
  <c r="GJ89" i="3"/>
  <c r="GK89" i="3"/>
  <c r="GL89" i="3"/>
  <c r="GM89" i="3"/>
  <c r="GN89" i="3"/>
  <c r="GO89" i="3"/>
  <c r="GP89" i="3"/>
  <c r="GQ89" i="3"/>
  <c r="GR89" i="3"/>
  <c r="GS89" i="3"/>
  <c r="GT89" i="3"/>
  <c r="GU89" i="3"/>
  <c r="GV89" i="3"/>
  <c r="GW89" i="3"/>
  <c r="GX89" i="3"/>
  <c r="GY89" i="3"/>
  <c r="GZ89" i="3"/>
  <c r="HA89" i="3"/>
  <c r="HB89" i="3"/>
  <c r="HC89" i="3"/>
  <c r="HD89" i="3"/>
  <c r="HE89" i="3"/>
  <c r="HF89" i="3"/>
  <c r="HG89" i="3"/>
  <c r="HH89" i="3"/>
  <c r="HI89" i="3"/>
  <c r="HJ89" i="3"/>
  <c r="HK89" i="3"/>
  <c r="HL89" i="3"/>
  <c r="HM89" i="3"/>
  <c r="HN89" i="3"/>
  <c r="HO89" i="3"/>
  <c r="HP89" i="3"/>
  <c r="HQ89" i="3"/>
  <c r="HR89" i="3"/>
  <c r="HS89" i="3"/>
  <c r="HT89" i="3"/>
  <c r="HU89" i="3"/>
  <c r="HV89" i="3"/>
  <c r="HW89" i="3"/>
  <c r="HX89" i="3"/>
  <c r="HY89" i="3"/>
  <c r="HZ89" i="3"/>
  <c r="IA89" i="3"/>
  <c r="IB89" i="3"/>
  <c r="IC89" i="3"/>
  <c r="ID89" i="3"/>
  <c r="IE89" i="3"/>
  <c r="IF89" i="3"/>
  <c r="IG89" i="3"/>
  <c r="IH89" i="3"/>
  <c r="II89" i="3"/>
  <c r="IJ89" i="3"/>
  <c r="IK89" i="3"/>
  <c r="IL89" i="3"/>
  <c r="IM89" i="3"/>
  <c r="IN89" i="3"/>
  <c r="IO89" i="3"/>
  <c r="IP89" i="3"/>
  <c r="IQ89" i="3"/>
  <c r="IR89" i="3"/>
  <c r="IS89" i="3"/>
  <c r="IT89" i="3"/>
  <c r="IU89" i="3"/>
  <c r="IV89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DC88" i="3"/>
  <c r="DD88" i="3"/>
  <c r="DE88" i="3"/>
  <c r="DF88" i="3"/>
  <c r="DG88" i="3"/>
  <c r="DH88" i="3"/>
  <c r="DI88" i="3"/>
  <c r="DJ88" i="3"/>
  <c r="DK88" i="3"/>
  <c r="DL88" i="3"/>
  <c r="DM88" i="3"/>
  <c r="DN88" i="3"/>
  <c r="DO88" i="3"/>
  <c r="DP88" i="3"/>
  <c r="DQ88" i="3"/>
  <c r="DR88" i="3"/>
  <c r="DS88" i="3"/>
  <c r="DT88" i="3"/>
  <c r="DU88" i="3"/>
  <c r="DV88" i="3"/>
  <c r="DW88" i="3"/>
  <c r="DX88" i="3"/>
  <c r="DY88" i="3"/>
  <c r="DZ88" i="3"/>
  <c r="EA88" i="3"/>
  <c r="EB88" i="3"/>
  <c r="EC88" i="3"/>
  <c r="ED88" i="3"/>
  <c r="EE88" i="3"/>
  <c r="EF88" i="3"/>
  <c r="EG88" i="3"/>
  <c r="EH88" i="3"/>
  <c r="EI88" i="3"/>
  <c r="EJ88" i="3"/>
  <c r="EK88" i="3"/>
  <c r="EL88" i="3"/>
  <c r="EM88" i="3"/>
  <c r="EN88" i="3"/>
  <c r="EO88" i="3"/>
  <c r="EP88" i="3"/>
  <c r="EQ88" i="3"/>
  <c r="ER88" i="3"/>
  <c r="ES88" i="3"/>
  <c r="ET88" i="3"/>
  <c r="EU88" i="3"/>
  <c r="EV88" i="3"/>
  <c r="EW88" i="3"/>
  <c r="EX88" i="3"/>
  <c r="EY88" i="3"/>
  <c r="EZ88" i="3"/>
  <c r="FA88" i="3"/>
  <c r="FB88" i="3"/>
  <c r="FC88" i="3"/>
  <c r="FD88" i="3"/>
  <c r="FE88" i="3"/>
  <c r="FF88" i="3"/>
  <c r="FG88" i="3"/>
  <c r="FH88" i="3"/>
  <c r="FI88" i="3"/>
  <c r="FJ88" i="3"/>
  <c r="FK88" i="3"/>
  <c r="FL88" i="3"/>
  <c r="FM88" i="3"/>
  <c r="FN88" i="3"/>
  <c r="FO88" i="3"/>
  <c r="FP88" i="3"/>
  <c r="FQ88" i="3"/>
  <c r="FR88" i="3"/>
  <c r="FS88" i="3"/>
  <c r="FT88" i="3"/>
  <c r="FU88" i="3"/>
  <c r="FV88" i="3"/>
  <c r="FW88" i="3"/>
  <c r="FX88" i="3"/>
  <c r="FY88" i="3"/>
  <c r="FZ88" i="3"/>
  <c r="GA88" i="3"/>
  <c r="GB88" i="3"/>
  <c r="GC88" i="3"/>
  <c r="GD88" i="3"/>
  <c r="GE88" i="3"/>
  <c r="GF88" i="3"/>
  <c r="GG88" i="3"/>
  <c r="GH88" i="3"/>
  <c r="GI88" i="3"/>
  <c r="GJ88" i="3"/>
  <c r="GK88" i="3"/>
  <c r="GL88" i="3"/>
  <c r="GM88" i="3"/>
  <c r="GN88" i="3"/>
  <c r="GO88" i="3"/>
  <c r="GP88" i="3"/>
  <c r="GQ88" i="3"/>
  <c r="GR88" i="3"/>
  <c r="GS88" i="3"/>
  <c r="GT88" i="3"/>
  <c r="GU88" i="3"/>
  <c r="GV88" i="3"/>
  <c r="GW88" i="3"/>
  <c r="GX88" i="3"/>
  <c r="GY88" i="3"/>
  <c r="GZ88" i="3"/>
  <c r="HA88" i="3"/>
  <c r="HB88" i="3"/>
  <c r="HC88" i="3"/>
  <c r="HD88" i="3"/>
  <c r="HE88" i="3"/>
  <c r="HF88" i="3"/>
  <c r="HG88" i="3"/>
  <c r="HH88" i="3"/>
  <c r="HI88" i="3"/>
  <c r="HJ88" i="3"/>
  <c r="HK88" i="3"/>
  <c r="HL88" i="3"/>
  <c r="HM88" i="3"/>
  <c r="HN88" i="3"/>
  <c r="HO88" i="3"/>
  <c r="HP88" i="3"/>
  <c r="HQ88" i="3"/>
  <c r="HR88" i="3"/>
  <c r="HS88" i="3"/>
  <c r="HT88" i="3"/>
  <c r="HU88" i="3"/>
  <c r="HV88" i="3"/>
  <c r="HW88" i="3"/>
  <c r="HX88" i="3"/>
  <c r="HY88" i="3"/>
  <c r="HZ88" i="3"/>
  <c r="IA88" i="3"/>
  <c r="IB88" i="3"/>
  <c r="IC88" i="3"/>
  <c r="ID88" i="3"/>
  <c r="IE88" i="3"/>
  <c r="IF88" i="3"/>
  <c r="IG88" i="3"/>
  <c r="IH88" i="3"/>
  <c r="II88" i="3"/>
  <c r="IJ88" i="3"/>
  <c r="IK88" i="3"/>
  <c r="IL88" i="3"/>
  <c r="IM88" i="3"/>
  <c r="IN88" i="3"/>
  <c r="IO88" i="3"/>
  <c r="IP88" i="3"/>
  <c r="IQ88" i="3"/>
  <c r="IR88" i="3"/>
  <c r="IS88" i="3"/>
  <c r="IT88" i="3"/>
  <c r="IU88" i="3"/>
  <c r="IV88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DC87" i="3"/>
  <c r="DD87" i="3"/>
  <c r="DE87" i="3"/>
  <c r="DF87" i="3"/>
  <c r="DG87" i="3"/>
  <c r="DH87" i="3"/>
  <c r="DI87" i="3"/>
  <c r="DJ87" i="3"/>
  <c r="DK87" i="3"/>
  <c r="DL87" i="3"/>
  <c r="DM87" i="3"/>
  <c r="DN87" i="3"/>
  <c r="DO87" i="3"/>
  <c r="DP87" i="3"/>
  <c r="DQ87" i="3"/>
  <c r="DR87" i="3"/>
  <c r="DS87" i="3"/>
  <c r="DT87" i="3"/>
  <c r="DU87" i="3"/>
  <c r="DV87" i="3"/>
  <c r="DW87" i="3"/>
  <c r="DX87" i="3"/>
  <c r="DY87" i="3"/>
  <c r="DZ87" i="3"/>
  <c r="EA87" i="3"/>
  <c r="EB87" i="3"/>
  <c r="EC87" i="3"/>
  <c r="ED87" i="3"/>
  <c r="EE87" i="3"/>
  <c r="EF87" i="3"/>
  <c r="EG87" i="3"/>
  <c r="EH87" i="3"/>
  <c r="EI87" i="3"/>
  <c r="EJ87" i="3"/>
  <c r="EK87" i="3"/>
  <c r="EL87" i="3"/>
  <c r="EM87" i="3"/>
  <c r="EN87" i="3"/>
  <c r="EO87" i="3"/>
  <c r="EP87" i="3"/>
  <c r="EQ87" i="3"/>
  <c r="ER87" i="3"/>
  <c r="ES87" i="3"/>
  <c r="ET87" i="3"/>
  <c r="EU87" i="3"/>
  <c r="EV87" i="3"/>
  <c r="EW87" i="3"/>
  <c r="EX87" i="3"/>
  <c r="EY87" i="3"/>
  <c r="EZ87" i="3"/>
  <c r="FA87" i="3"/>
  <c r="FB87" i="3"/>
  <c r="FC87" i="3"/>
  <c r="FD87" i="3"/>
  <c r="FE87" i="3"/>
  <c r="FF87" i="3"/>
  <c r="FG87" i="3"/>
  <c r="FH87" i="3"/>
  <c r="FI87" i="3"/>
  <c r="FJ87" i="3"/>
  <c r="FK87" i="3"/>
  <c r="FL87" i="3"/>
  <c r="FM87" i="3"/>
  <c r="FN87" i="3"/>
  <c r="FO87" i="3"/>
  <c r="FP87" i="3"/>
  <c r="FQ87" i="3"/>
  <c r="FR87" i="3"/>
  <c r="FS87" i="3"/>
  <c r="FT87" i="3"/>
  <c r="FU87" i="3"/>
  <c r="FV87" i="3"/>
  <c r="FW87" i="3"/>
  <c r="FX87" i="3"/>
  <c r="FY87" i="3"/>
  <c r="FZ87" i="3"/>
  <c r="GA87" i="3"/>
  <c r="GB87" i="3"/>
  <c r="GC87" i="3"/>
  <c r="GD87" i="3"/>
  <c r="GE87" i="3"/>
  <c r="GF87" i="3"/>
  <c r="GG87" i="3"/>
  <c r="GH87" i="3"/>
  <c r="GI87" i="3"/>
  <c r="GJ87" i="3"/>
  <c r="GK87" i="3"/>
  <c r="GL87" i="3"/>
  <c r="GM87" i="3"/>
  <c r="GN87" i="3"/>
  <c r="GO87" i="3"/>
  <c r="GP87" i="3"/>
  <c r="GQ87" i="3"/>
  <c r="GR87" i="3"/>
  <c r="GS87" i="3"/>
  <c r="GT87" i="3"/>
  <c r="GU87" i="3"/>
  <c r="GV87" i="3"/>
  <c r="GW87" i="3"/>
  <c r="GX87" i="3"/>
  <c r="GY87" i="3"/>
  <c r="GZ87" i="3"/>
  <c r="HA87" i="3"/>
  <c r="HB87" i="3"/>
  <c r="HC87" i="3"/>
  <c r="HD87" i="3"/>
  <c r="HE87" i="3"/>
  <c r="HF87" i="3"/>
  <c r="HG87" i="3"/>
  <c r="HH87" i="3"/>
  <c r="HI87" i="3"/>
  <c r="HJ87" i="3"/>
  <c r="HK87" i="3"/>
  <c r="HL87" i="3"/>
  <c r="HM87" i="3"/>
  <c r="HN87" i="3"/>
  <c r="HO87" i="3"/>
  <c r="HP87" i="3"/>
  <c r="HQ87" i="3"/>
  <c r="HR87" i="3"/>
  <c r="HS87" i="3"/>
  <c r="HT87" i="3"/>
  <c r="HU87" i="3"/>
  <c r="HV87" i="3"/>
  <c r="HW87" i="3"/>
  <c r="HX87" i="3"/>
  <c r="HY87" i="3"/>
  <c r="HZ87" i="3"/>
  <c r="IA87" i="3"/>
  <c r="IB87" i="3"/>
  <c r="IC87" i="3"/>
  <c r="ID87" i="3"/>
  <c r="IE87" i="3"/>
  <c r="IF87" i="3"/>
  <c r="IG87" i="3"/>
  <c r="IH87" i="3"/>
  <c r="II87" i="3"/>
  <c r="IJ87" i="3"/>
  <c r="IK87" i="3"/>
  <c r="IL87" i="3"/>
  <c r="IM87" i="3"/>
  <c r="IN87" i="3"/>
  <c r="IO87" i="3"/>
  <c r="IP87" i="3"/>
  <c r="IQ87" i="3"/>
  <c r="IR87" i="3"/>
  <c r="IS87" i="3"/>
  <c r="IT87" i="3"/>
  <c r="IU87" i="3"/>
  <c r="IV87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DC86" i="3"/>
  <c r="DD86" i="3"/>
  <c r="DE86" i="3"/>
  <c r="DF86" i="3"/>
  <c r="DG86" i="3"/>
  <c r="DH86" i="3"/>
  <c r="DI86" i="3"/>
  <c r="DJ86" i="3"/>
  <c r="DK86" i="3"/>
  <c r="DL86" i="3"/>
  <c r="DM86" i="3"/>
  <c r="DN86" i="3"/>
  <c r="DO86" i="3"/>
  <c r="DP86" i="3"/>
  <c r="DQ86" i="3"/>
  <c r="DR86" i="3"/>
  <c r="DS86" i="3"/>
  <c r="DT86" i="3"/>
  <c r="DU86" i="3"/>
  <c r="DV86" i="3"/>
  <c r="DW86" i="3"/>
  <c r="DX86" i="3"/>
  <c r="DY86" i="3"/>
  <c r="DZ86" i="3"/>
  <c r="EA86" i="3"/>
  <c r="EB86" i="3"/>
  <c r="EC86" i="3"/>
  <c r="ED86" i="3"/>
  <c r="EE86" i="3"/>
  <c r="EF86" i="3"/>
  <c r="EG86" i="3"/>
  <c r="EH86" i="3"/>
  <c r="EI86" i="3"/>
  <c r="EJ86" i="3"/>
  <c r="EK86" i="3"/>
  <c r="EL86" i="3"/>
  <c r="EM86" i="3"/>
  <c r="EN86" i="3"/>
  <c r="EO86" i="3"/>
  <c r="EP86" i="3"/>
  <c r="EQ86" i="3"/>
  <c r="ER86" i="3"/>
  <c r="ES86" i="3"/>
  <c r="ET86" i="3"/>
  <c r="EU86" i="3"/>
  <c r="EV86" i="3"/>
  <c r="EW86" i="3"/>
  <c r="EX86" i="3"/>
  <c r="EY86" i="3"/>
  <c r="EZ86" i="3"/>
  <c r="FA86" i="3"/>
  <c r="FB86" i="3"/>
  <c r="FC86" i="3"/>
  <c r="FD86" i="3"/>
  <c r="FE86" i="3"/>
  <c r="FF86" i="3"/>
  <c r="FG86" i="3"/>
  <c r="FH86" i="3"/>
  <c r="FI86" i="3"/>
  <c r="FJ86" i="3"/>
  <c r="FK86" i="3"/>
  <c r="FL86" i="3"/>
  <c r="FM86" i="3"/>
  <c r="FN86" i="3"/>
  <c r="FO86" i="3"/>
  <c r="FP86" i="3"/>
  <c r="FQ86" i="3"/>
  <c r="FR86" i="3"/>
  <c r="FS86" i="3"/>
  <c r="FT86" i="3"/>
  <c r="FU86" i="3"/>
  <c r="FV86" i="3"/>
  <c r="FW86" i="3"/>
  <c r="FX86" i="3"/>
  <c r="FY86" i="3"/>
  <c r="FZ86" i="3"/>
  <c r="GA86" i="3"/>
  <c r="GB86" i="3"/>
  <c r="GC86" i="3"/>
  <c r="GD86" i="3"/>
  <c r="GE86" i="3"/>
  <c r="GF86" i="3"/>
  <c r="GG86" i="3"/>
  <c r="GH86" i="3"/>
  <c r="GI86" i="3"/>
  <c r="GJ86" i="3"/>
  <c r="GK86" i="3"/>
  <c r="GL86" i="3"/>
  <c r="GM86" i="3"/>
  <c r="GN86" i="3"/>
  <c r="GO86" i="3"/>
  <c r="GP86" i="3"/>
  <c r="GQ86" i="3"/>
  <c r="GR86" i="3"/>
  <c r="GS86" i="3"/>
  <c r="GT86" i="3"/>
  <c r="GU86" i="3"/>
  <c r="GV86" i="3"/>
  <c r="GW86" i="3"/>
  <c r="GX86" i="3"/>
  <c r="GY86" i="3"/>
  <c r="GZ86" i="3"/>
  <c r="HA86" i="3"/>
  <c r="HB86" i="3"/>
  <c r="HC86" i="3"/>
  <c r="HD86" i="3"/>
  <c r="HE86" i="3"/>
  <c r="HF86" i="3"/>
  <c r="HG86" i="3"/>
  <c r="HH86" i="3"/>
  <c r="HI86" i="3"/>
  <c r="HJ86" i="3"/>
  <c r="HK86" i="3"/>
  <c r="HL86" i="3"/>
  <c r="HM86" i="3"/>
  <c r="HN86" i="3"/>
  <c r="HO86" i="3"/>
  <c r="HP86" i="3"/>
  <c r="HQ86" i="3"/>
  <c r="HR86" i="3"/>
  <c r="HS86" i="3"/>
  <c r="HT86" i="3"/>
  <c r="HU86" i="3"/>
  <c r="HV86" i="3"/>
  <c r="HW86" i="3"/>
  <c r="HX86" i="3"/>
  <c r="HY86" i="3"/>
  <c r="HZ86" i="3"/>
  <c r="IA86" i="3"/>
  <c r="IB86" i="3"/>
  <c r="IC86" i="3"/>
  <c r="ID86" i="3"/>
  <c r="IE86" i="3"/>
  <c r="IF86" i="3"/>
  <c r="IG86" i="3"/>
  <c r="IH86" i="3"/>
  <c r="II86" i="3"/>
  <c r="IJ86" i="3"/>
  <c r="IK86" i="3"/>
  <c r="IL86" i="3"/>
  <c r="IM86" i="3"/>
  <c r="IN86" i="3"/>
  <c r="IO86" i="3"/>
  <c r="IP86" i="3"/>
  <c r="IQ86" i="3"/>
  <c r="IR86" i="3"/>
  <c r="IS86" i="3"/>
  <c r="IT86" i="3"/>
  <c r="IU86" i="3"/>
  <c r="IV86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DC85" i="3"/>
  <c r="DD85" i="3"/>
  <c r="DE85" i="3"/>
  <c r="DF85" i="3"/>
  <c r="DG85" i="3"/>
  <c r="DH85" i="3"/>
  <c r="DI85" i="3"/>
  <c r="DJ85" i="3"/>
  <c r="DK85" i="3"/>
  <c r="DL85" i="3"/>
  <c r="DM85" i="3"/>
  <c r="DN85" i="3"/>
  <c r="DO85" i="3"/>
  <c r="DP85" i="3"/>
  <c r="DQ85" i="3"/>
  <c r="DR85" i="3"/>
  <c r="DS85" i="3"/>
  <c r="DT85" i="3"/>
  <c r="DU85" i="3"/>
  <c r="DV85" i="3"/>
  <c r="DW85" i="3"/>
  <c r="DX85" i="3"/>
  <c r="DY85" i="3"/>
  <c r="DZ85" i="3"/>
  <c r="EA85" i="3"/>
  <c r="EB85" i="3"/>
  <c r="EC85" i="3"/>
  <c r="ED85" i="3"/>
  <c r="EE85" i="3"/>
  <c r="EF85" i="3"/>
  <c r="EG85" i="3"/>
  <c r="EH85" i="3"/>
  <c r="EI85" i="3"/>
  <c r="EJ85" i="3"/>
  <c r="EK85" i="3"/>
  <c r="EL85" i="3"/>
  <c r="EM85" i="3"/>
  <c r="EN85" i="3"/>
  <c r="EO85" i="3"/>
  <c r="EP85" i="3"/>
  <c r="EQ85" i="3"/>
  <c r="ER85" i="3"/>
  <c r="ES85" i="3"/>
  <c r="ET85" i="3"/>
  <c r="EU85" i="3"/>
  <c r="EV85" i="3"/>
  <c r="EW85" i="3"/>
  <c r="EX85" i="3"/>
  <c r="EY85" i="3"/>
  <c r="EZ85" i="3"/>
  <c r="FA85" i="3"/>
  <c r="FB85" i="3"/>
  <c r="FC85" i="3"/>
  <c r="FD85" i="3"/>
  <c r="FE85" i="3"/>
  <c r="FF85" i="3"/>
  <c r="FG85" i="3"/>
  <c r="FH85" i="3"/>
  <c r="FI85" i="3"/>
  <c r="FJ85" i="3"/>
  <c r="FK85" i="3"/>
  <c r="FL85" i="3"/>
  <c r="FM85" i="3"/>
  <c r="FN85" i="3"/>
  <c r="FO85" i="3"/>
  <c r="FP85" i="3"/>
  <c r="FQ85" i="3"/>
  <c r="FR85" i="3"/>
  <c r="FS85" i="3"/>
  <c r="FT85" i="3"/>
  <c r="FU85" i="3"/>
  <c r="FV85" i="3"/>
  <c r="FW85" i="3"/>
  <c r="FX85" i="3"/>
  <c r="FY85" i="3"/>
  <c r="FZ85" i="3"/>
  <c r="GA85" i="3"/>
  <c r="GB85" i="3"/>
  <c r="GC85" i="3"/>
  <c r="GD85" i="3"/>
  <c r="GE85" i="3"/>
  <c r="GF85" i="3"/>
  <c r="GG85" i="3"/>
  <c r="GH85" i="3"/>
  <c r="GI85" i="3"/>
  <c r="GJ85" i="3"/>
  <c r="GK85" i="3"/>
  <c r="GL85" i="3"/>
  <c r="GM85" i="3"/>
  <c r="GN85" i="3"/>
  <c r="GO85" i="3"/>
  <c r="GP85" i="3"/>
  <c r="GQ85" i="3"/>
  <c r="GR85" i="3"/>
  <c r="GS85" i="3"/>
  <c r="GT85" i="3"/>
  <c r="GU85" i="3"/>
  <c r="GV85" i="3"/>
  <c r="GW85" i="3"/>
  <c r="GX85" i="3"/>
  <c r="GY85" i="3"/>
  <c r="GZ85" i="3"/>
  <c r="HA85" i="3"/>
  <c r="HB85" i="3"/>
  <c r="HC85" i="3"/>
  <c r="HD85" i="3"/>
  <c r="HE85" i="3"/>
  <c r="HF85" i="3"/>
  <c r="HG85" i="3"/>
  <c r="HH85" i="3"/>
  <c r="HI85" i="3"/>
  <c r="HJ85" i="3"/>
  <c r="HK85" i="3"/>
  <c r="HL85" i="3"/>
  <c r="HM85" i="3"/>
  <c r="HN85" i="3"/>
  <c r="HO85" i="3"/>
  <c r="HP85" i="3"/>
  <c r="HQ85" i="3"/>
  <c r="HR85" i="3"/>
  <c r="HS85" i="3"/>
  <c r="HT85" i="3"/>
  <c r="HU85" i="3"/>
  <c r="HV85" i="3"/>
  <c r="HW85" i="3"/>
  <c r="HX85" i="3"/>
  <c r="HY85" i="3"/>
  <c r="HZ85" i="3"/>
  <c r="IA85" i="3"/>
  <c r="IB85" i="3"/>
  <c r="IC85" i="3"/>
  <c r="ID85" i="3"/>
  <c r="IE85" i="3"/>
  <c r="IF85" i="3"/>
  <c r="IG85" i="3"/>
  <c r="IH85" i="3"/>
  <c r="II85" i="3"/>
  <c r="IJ85" i="3"/>
  <c r="IK85" i="3"/>
  <c r="IL85" i="3"/>
  <c r="IM85" i="3"/>
  <c r="IN85" i="3"/>
  <c r="IO85" i="3"/>
  <c r="IP85" i="3"/>
  <c r="IQ85" i="3"/>
  <c r="IR85" i="3"/>
  <c r="IS85" i="3"/>
  <c r="IT85" i="3"/>
  <c r="IU85" i="3"/>
  <c r="IV85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DC84" i="3"/>
  <c r="DD84" i="3"/>
  <c r="DE84" i="3"/>
  <c r="DF84" i="3"/>
  <c r="DG84" i="3"/>
  <c r="DH84" i="3"/>
  <c r="DI84" i="3"/>
  <c r="DJ84" i="3"/>
  <c r="DK84" i="3"/>
  <c r="DL84" i="3"/>
  <c r="DM84" i="3"/>
  <c r="DN84" i="3"/>
  <c r="DO84" i="3"/>
  <c r="DP84" i="3"/>
  <c r="DQ84" i="3"/>
  <c r="DR84" i="3"/>
  <c r="DS84" i="3"/>
  <c r="DT84" i="3"/>
  <c r="DU84" i="3"/>
  <c r="DV84" i="3"/>
  <c r="DW84" i="3"/>
  <c r="DX84" i="3"/>
  <c r="DY84" i="3"/>
  <c r="DZ84" i="3"/>
  <c r="EA84" i="3"/>
  <c r="EB84" i="3"/>
  <c r="EC84" i="3"/>
  <c r="ED84" i="3"/>
  <c r="EE84" i="3"/>
  <c r="EF84" i="3"/>
  <c r="EG84" i="3"/>
  <c r="EH84" i="3"/>
  <c r="EI84" i="3"/>
  <c r="EJ84" i="3"/>
  <c r="EK84" i="3"/>
  <c r="EL84" i="3"/>
  <c r="EM84" i="3"/>
  <c r="EN84" i="3"/>
  <c r="EO84" i="3"/>
  <c r="EP84" i="3"/>
  <c r="EQ84" i="3"/>
  <c r="ER84" i="3"/>
  <c r="ES84" i="3"/>
  <c r="ET84" i="3"/>
  <c r="EU84" i="3"/>
  <c r="EV84" i="3"/>
  <c r="EW84" i="3"/>
  <c r="EX84" i="3"/>
  <c r="EY84" i="3"/>
  <c r="EZ84" i="3"/>
  <c r="FA84" i="3"/>
  <c r="FB84" i="3"/>
  <c r="FC84" i="3"/>
  <c r="FD84" i="3"/>
  <c r="FE84" i="3"/>
  <c r="FF84" i="3"/>
  <c r="FG84" i="3"/>
  <c r="FH84" i="3"/>
  <c r="FI84" i="3"/>
  <c r="FJ84" i="3"/>
  <c r="FK84" i="3"/>
  <c r="FL84" i="3"/>
  <c r="FM84" i="3"/>
  <c r="FN84" i="3"/>
  <c r="FO84" i="3"/>
  <c r="FP84" i="3"/>
  <c r="FQ84" i="3"/>
  <c r="FR84" i="3"/>
  <c r="FS84" i="3"/>
  <c r="FT84" i="3"/>
  <c r="FU84" i="3"/>
  <c r="FV84" i="3"/>
  <c r="FW84" i="3"/>
  <c r="FX84" i="3"/>
  <c r="FY84" i="3"/>
  <c r="FZ84" i="3"/>
  <c r="GA84" i="3"/>
  <c r="GB84" i="3"/>
  <c r="GC84" i="3"/>
  <c r="GD84" i="3"/>
  <c r="GE84" i="3"/>
  <c r="GF84" i="3"/>
  <c r="GG84" i="3"/>
  <c r="GH84" i="3"/>
  <c r="GI84" i="3"/>
  <c r="GJ84" i="3"/>
  <c r="GK84" i="3"/>
  <c r="GL84" i="3"/>
  <c r="GM84" i="3"/>
  <c r="GN84" i="3"/>
  <c r="GO84" i="3"/>
  <c r="GP84" i="3"/>
  <c r="GQ84" i="3"/>
  <c r="GR84" i="3"/>
  <c r="GS84" i="3"/>
  <c r="GT84" i="3"/>
  <c r="GU84" i="3"/>
  <c r="GV84" i="3"/>
  <c r="GW84" i="3"/>
  <c r="GX84" i="3"/>
  <c r="GY84" i="3"/>
  <c r="GZ84" i="3"/>
  <c r="HA84" i="3"/>
  <c r="HB84" i="3"/>
  <c r="HC84" i="3"/>
  <c r="HD84" i="3"/>
  <c r="HE84" i="3"/>
  <c r="HF84" i="3"/>
  <c r="HG84" i="3"/>
  <c r="HH84" i="3"/>
  <c r="HI84" i="3"/>
  <c r="HJ84" i="3"/>
  <c r="HK84" i="3"/>
  <c r="HL84" i="3"/>
  <c r="HM84" i="3"/>
  <c r="HN84" i="3"/>
  <c r="HO84" i="3"/>
  <c r="HP84" i="3"/>
  <c r="HQ84" i="3"/>
  <c r="HR84" i="3"/>
  <c r="HS84" i="3"/>
  <c r="HT84" i="3"/>
  <c r="HU84" i="3"/>
  <c r="HV84" i="3"/>
  <c r="HW84" i="3"/>
  <c r="HX84" i="3"/>
  <c r="HY84" i="3"/>
  <c r="HZ84" i="3"/>
  <c r="IA84" i="3"/>
  <c r="IB84" i="3"/>
  <c r="IC84" i="3"/>
  <c r="ID84" i="3"/>
  <c r="IE84" i="3"/>
  <c r="IF84" i="3"/>
  <c r="IG84" i="3"/>
  <c r="IH84" i="3"/>
  <c r="II84" i="3"/>
  <c r="IJ84" i="3"/>
  <c r="IK84" i="3"/>
  <c r="IL84" i="3"/>
  <c r="IM84" i="3"/>
  <c r="IN84" i="3"/>
  <c r="IO84" i="3"/>
  <c r="IP84" i="3"/>
  <c r="IQ84" i="3"/>
  <c r="IR84" i="3"/>
  <c r="IS84" i="3"/>
  <c r="IT84" i="3"/>
  <c r="IU84" i="3"/>
  <c r="IV84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DC83" i="3"/>
  <c r="DD83" i="3"/>
  <c r="DE83" i="3"/>
  <c r="DF83" i="3"/>
  <c r="DG83" i="3"/>
  <c r="DH83" i="3"/>
  <c r="DI83" i="3"/>
  <c r="DJ83" i="3"/>
  <c r="DK83" i="3"/>
  <c r="DL83" i="3"/>
  <c r="DM83" i="3"/>
  <c r="DN83" i="3"/>
  <c r="DO83" i="3"/>
  <c r="DP83" i="3"/>
  <c r="DQ83" i="3"/>
  <c r="DR83" i="3"/>
  <c r="DS83" i="3"/>
  <c r="DT83" i="3"/>
  <c r="DU83" i="3"/>
  <c r="DV83" i="3"/>
  <c r="DW83" i="3"/>
  <c r="DX83" i="3"/>
  <c r="DY83" i="3"/>
  <c r="DZ83" i="3"/>
  <c r="EA83" i="3"/>
  <c r="EB83" i="3"/>
  <c r="EC83" i="3"/>
  <c r="ED83" i="3"/>
  <c r="EE83" i="3"/>
  <c r="EF83" i="3"/>
  <c r="EG83" i="3"/>
  <c r="EH83" i="3"/>
  <c r="EI83" i="3"/>
  <c r="EJ83" i="3"/>
  <c r="EK83" i="3"/>
  <c r="EL83" i="3"/>
  <c r="EM83" i="3"/>
  <c r="EN83" i="3"/>
  <c r="EO83" i="3"/>
  <c r="EP83" i="3"/>
  <c r="EQ83" i="3"/>
  <c r="ER83" i="3"/>
  <c r="ES83" i="3"/>
  <c r="ET83" i="3"/>
  <c r="EU83" i="3"/>
  <c r="EV83" i="3"/>
  <c r="EW83" i="3"/>
  <c r="EX83" i="3"/>
  <c r="EY83" i="3"/>
  <c r="EZ83" i="3"/>
  <c r="FA83" i="3"/>
  <c r="FB83" i="3"/>
  <c r="FC83" i="3"/>
  <c r="FD83" i="3"/>
  <c r="FE83" i="3"/>
  <c r="FF83" i="3"/>
  <c r="FG83" i="3"/>
  <c r="FH83" i="3"/>
  <c r="FI83" i="3"/>
  <c r="FJ83" i="3"/>
  <c r="FK83" i="3"/>
  <c r="FL83" i="3"/>
  <c r="FM83" i="3"/>
  <c r="FN83" i="3"/>
  <c r="FO83" i="3"/>
  <c r="FP83" i="3"/>
  <c r="FQ83" i="3"/>
  <c r="FR83" i="3"/>
  <c r="FS83" i="3"/>
  <c r="FT83" i="3"/>
  <c r="FU83" i="3"/>
  <c r="FV83" i="3"/>
  <c r="FW83" i="3"/>
  <c r="FX83" i="3"/>
  <c r="FY83" i="3"/>
  <c r="FZ83" i="3"/>
  <c r="GA83" i="3"/>
  <c r="GB83" i="3"/>
  <c r="GC83" i="3"/>
  <c r="GD83" i="3"/>
  <c r="GE83" i="3"/>
  <c r="GF83" i="3"/>
  <c r="GG83" i="3"/>
  <c r="GH83" i="3"/>
  <c r="GI83" i="3"/>
  <c r="GJ83" i="3"/>
  <c r="GK83" i="3"/>
  <c r="GL83" i="3"/>
  <c r="GM83" i="3"/>
  <c r="GN83" i="3"/>
  <c r="GO83" i="3"/>
  <c r="GP83" i="3"/>
  <c r="GQ83" i="3"/>
  <c r="GR83" i="3"/>
  <c r="GS83" i="3"/>
  <c r="GT83" i="3"/>
  <c r="GU83" i="3"/>
  <c r="GV83" i="3"/>
  <c r="GW83" i="3"/>
  <c r="GX83" i="3"/>
  <c r="GY83" i="3"/>
  <c r="GZ83" i="3"/>
  <c r="HA83" i="3"/>
  <c r="HB83" i="3"/>
  <c r="HC83" i="3"/>
  <c r="HD83" i="3"/>
  <c r="HE83" i="3"/>
  <c r="HF83" i="3"/>
  <c r="HG83" i="3"/>
  <c r="HH83" i="3"/>
  <c r="HI83" i="3"/>
  <c r="HJ83" i="3"/>
  <c r="HK83" i="3"/>
  <c r="HL83" i="3"/>
  <c r="HM83" i="3"/>
  <c r="HN83" i="3"/>
  <c r="HO83" i="3"/>
  <c r="HP83" i="3"/>
  <c r="HQ83" i="3"/>
  <c r="HR83" i="3"/>
  <c r="HS83" i="3"/>
  <c r="HT83" i="3"/>
  <c r="HU83" i="3"/>
  <c r="HV83" i="3"/>
  <c r="HW83" i="3"/>
  <c r="HX83" i="3"/>
  <c r="HY83" i="3"/>
  <c r="HZ83" i="3"/>
  <c r="IA83" i="3"/>
  <c r="IB83" i="3"/>
  <c r="IC83" i="3"/>
  <c r="ID83" i="3"/>
  <c r="IE83" i="3"/>
  <c r="IF83" i="3"/>
  <c r="IG83" i="3"/>
  <c r="IH83" i="3"/>
  <c r="II83" i="3"/>
  <c r="IJ83" i="3"/>
  <c r="IK83" i="3"/>
  <c r="IL83" i="3"/>
  <c r="IM83" i="3"/>
  <c r="IN83" i="3"/>
  <c r="IO83" i="3"/>
  <c r="IP83" i="3"/>
  <c r="IQ83" i="3"/>
  <c r="IR83" i="3"/>
  <c r="IS83" i="3"/>
  <c r="IT83" i="3"/>
  <c r="IU83" i="3"/>
  <c r="IV83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DC82" i="3"/>
  <c r="DD82" i="3"/>
  <c r="DE82" i="3"/>
  <c r="DF82" i="3"/>
  <c r="DG82" i="3"/>
  <c r="DH82" i="3"/>
  <c r="DI82" i="3"/>
  <c r="DJ82" i="3"/>
  <c r="DK82" i="3"/>
  <c r="DL82" i="3"/>
  <c r="DM82" i="3"/>
  <c r="DN82" i="3"/>
  <c r="DO82" i="3"/>
  <c r="DP82" i="3"/>
  <c r="DQ82" i="3"/>
  <c r="DR82" i="3"/>
  <c r="DS82" i="3"/>
  <c r="DT82" i="3"/>
  <c r="DU82" i="3"/>
  <c r="DV82" i="3"/>
  <c r="DW82" i="3"/>
  <c r="DX82" i="3"/>
  <c r="DY82" i="3"/>
  <c r="DZ82" i="3"/>
  <c r="EA82" i="3"/>
  <c r="EB82" i="3"/>
  <c r="EC82" i="3"/>
  <c r="ED82" i="3"/>
  <c r="EE82" i="3"/>
  <c r="EF82" i="3"/>
  <c r="EG82" i="3"/>
  <c r="EH82" i="3"/>
  <c r="EI82" i="3"/>
  <c r="EJ82" i="3"/>
  <c r="EK82" i="3"/>
  <c r="EL82" i="3"/>
  <c r="EM82" i="3"/>
  <c r="EN82" i="3"/>
  <c r="EO82" i="3"/>
  <c r="EP82" i="3"/>
  <c r="EQ82" i="3"/>
  <c r="ER82" i="3"/>
  <c r="ES82" i="3"/>
  <c r="ET82" i="3"/>
  <c r="EU82" i="3"/>
  <c r="EV82" i="3"/>
  <c r="EW82" i="3"/>
  <c r="EX82" i="3"/>
  <c r="EY82" i="3"/>
  <c r="EZ82" i="3"/>
  <c r="FA82" i="3"/>
  <c r="FB82" i="3"/>
  <c r="FC82" i="3"/>
  <c r="FD82" i="3"/>
  <c r="FE82" i="3"/>
  <c r="FF82" i="3"/>
  <c r="FG82" i="3"/>
  <c r="FH82" i="3"/>
  <c r="FI82" i="3"/>
  <c r="FJ82" i="3"/>
  <c r="FK82" i="3"/>
  <c r="FL82" i="3"/>
  <c r="FM82" i="3"/>
  <c r="FN82" i="3"/>
  <c r="FO82" i="3"/>
  <c r="FP82" i="3"/>
  <c r="FQ82" i="3"/>
  <c r="FR82" i="3"/>
  <c r="FS82" i="3"/>
  <c r="FT82" i="3"/>
  <c r="FU82" i="3"/>
  <c r="FV82" i="3"/>
  <c r="FW82" i="3"/>
  <c r="FX82" i="3"/>
  <c r="FY82" i="3"/>
  <c r="FZ82" i="3"/>
  <c r="GA82" i="3"/>
  <c r="GB82" i="3"/>
  <c r="GC82" i="3"/>
  <c r="GD82" i="3"/>
  <c r="GE82" i="3"/>
  <c r="GF82" i="3"/>
  <c r="GG82" i="3"/>
  <c r="GH82" i="3"/>
  <c r="GI82" i="3"/>
  <c r="GJ82" i="3"/>
  <c r="GK82" i="3"/>
  <c r="GL82" i="3"/>
  <c r="GM82" i="3"/>
  <c r="GN82" i="3"/>
  <c r="GO82" i="3"/>
  <c r="GP82" i="3"/>
  <c r="GQ82" i="3"/>
  <c r="GR82" i="3"/>
  <c r="GS82" i="3"/>
  <c r="GT82" i="3"/>
  <c r="GU82" i="3"/>
  <c r="GV82" i="3"/>
  <c r="GW82" i="3"/>
  <c r="GX82" i="3"/>
  <c r="GY82" i="3"/>
  <c r="GZ82" i="3"/>
  <c r="HA82" i="3"/>
  <c r="HB82" i="3"/>
  <c r="HC82" i="3"/>
  <c r="HD82" i="3"/>
  <c r="HE82" i="3"/>
  <c r="HF82" i="3"/>
  <c r="HG82" i="3"/>
  <c r="HH82" i="3"/>
  <c r="HI82" i="3"/>
  <c r="HJ82" i="3"/>
  <c r="HK82" i="3"/>
  <c r="HL82" i="3"/>
  <c r="HM82" i="3"/>
  <c r="HN82" i="3"/>
  <c r="HO82" i="3"/>
  <c r="HP82" i="3"/>
  <c r="HQ82" i="3"/>
  <c r="HR82" i="3"/>
  <c r="HS82" i="3"/>
  <c r="HT82" i="3"/>
  <c r="HU82" i="3"/>
  <c r="HV82" i="3"/>
  <c r="HW82" i="3"/>
  <c r="HX82" i="3"/>
  <c r="HY82" i="3"/>
  <c r="HZ82" i="3"/>
  <c r="IA82" i="3"/>
  <c r="IB82" i="3"/>
  <c r="IC82" i="3"/>
  <c r="ID82" i="3"/>
  <c r="IE82" i="3"/>
  <c r="IF82" i="3"/>
  <c r="IG82" i="3"/>
  <c r="IH82" i="3"/>
  <c r="II82" i="3"/>
  <c r="IJ82" i="3"/>
  <c r="IK82" i="3"/>
  <c r="IL82" i="3"/>
  <c r="IM82" i="3"/>
  <c r="IN82" i="3"/>
  <c r="IO82" i="3"/>
  <c r="IP82" i="3"/>
  <c r="IQ82" i="3"/>
  <c r="IR82" i="3"/>
  <c r="IS82" i="3"/>
  <c r="IT82" i="3"/>
  <c r="IU82" i="3"/>
  <c r="IV82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DC81" i="3"/>
  <c r="DD81" i="3"/>
  <c r="DE81" i="3"/>
  <c r="DF81" i="3"/>
  <c r="DG81" i="3"/>
  <c r="DH81" i="3"/>
  <c r="DI81" i="3"/>
  <c r="DJ81" i="3"/>
  <c r="DK81" i="3"/>
  <c r="DL81" i="3"/>
  <c r="DM81" i="3"/>
  <c r="DN81" i="3"/>
  <c r="DO81" i="3"/>
  <c r="DP81" i="3"/>
  <c r="DQ81" i="3"/>
  <c r="DR81" i="3"/>
  <c r="DS81" i="3"/>
  <c r="DT81" i="3"/>
  <c r="DU81" i="3"/>
  <c r="DV81" i="3"/>
  <c r="DW81" i="3"/>
  <c r="DX81" i="3"/>
  <c r="DY81" i="3"/>
  <c r="DZ81" i="3"/>
  <c r="EA81" i="3"/>
  <c r="EB81" i="3"/>
  <c r="EC81" i="3"/>
  <c r="ED81" i="3"/>
  <c r="EE81" i="3"/>
  <c r="EF81" i="3"/>
  <c r="EG81" i="3"/>
  <c r="EH81" i="3"/>
  <c r="EI81" i="3"/>
  <c r="EJ81" i="3"/>
  <c r="EK81" i="3"/>
  <c r="EL81" i="3"/>
  <c r="EM81" i="3"/>
  <c r="EN81" i="3"/>
  <c r="EO81" i="3"/>
  <c r="EP81" i="3"/>
  <c r="EQ81" i="3"/>
  <c r="ER81" i="3"/>
  <c r="ES81" i="3"/>
  <c r="ET81" i="3"/>
  <c r="EU81" i="3"/>
  <c r="EV81" i="3"/>
  <c r="EW81" i="3"/>
  <c r="EX81" i="3"/>
  <c r="EY81" i="3"/>
  <c r="EZ81" i="3"/>
  <c r="FA81" i="3"/>
  <c r="FB81" i="3"/>
  <c r="FC81" i="3"/>
  <c r="FD81" i="3"/>
  <c r="FE81" i="3"/>
  <c r="FF81" i="3"/>
  <c r="FG81" i="3"/>
  <c r="FH81" i="3"/>
  <c r="FI81" i="3"/>
  <c r="FJ81" i="3"/>
  <c r="FK81" i="3"/>
  <c r="FL81" i="3"/>
  <c r="FM81" i="3"/>
  <c r="FN81" i="3"/>
  <c r="FO81" i="3"/>
  <c r="FP81" i="3"/>
  <c r="FQ81" i="3"/>
  <c r="FR81" i="3"/>
  <c r="FS81" i="3"/>
  <c r="FT81" i="3"/>
  <c r="FU81" i="3"/>
  <c r="FV81" i="3"/>
  <c r="FW81" i="3"/>
  <c r="FX81" i="3"/>
  <c r="FY81" i="3"/>
  <c r="FZ81" i="3"/>
  <c r="GA81" i="3"/>
  <c r="GB81" i="3"/>
  <c r="GC81" i="3"/>
  <c r="GD81" i="3"/>
  <c r="GE81" i="3"/>
  <c r="GF81" i="3"/>
  <c r="GG81" i="3"/>
  <c r="GH81" i="3"/>
  <c r="GI81" i="3"/>
  <c r="GJ81" i="3"/>
  <c r="GK81" i="3"/>
  <c r="GL81" i="3"/>
  <c r="GM81" i="3"/>
  <c r="GN81" i="3"/>
  <c r="GO81" i="3"/>
  <c r="GP81" i="3"/>
  <c r="GQ81" i="3"/>
  <c r="GR81" i="3"/>
  <c r="GS81" i="3"/>
  <c r="GT81" i="3"/>
  <c r="GU81" i="3"/>
  <c r="GV81" i="3"/>
  <c r="GW81" i="3"/>
  <c r="GX81" i="3"/>
  <c r="GY81" i="3"/>
  <c r="GZ81" i="3"/>
  <c r="HA81" i="3"/>
  <c r="HB81" i="3"/>
  <c r="HC81" i="3"/>
  <c r="HD81" i="3"/>
  <c r="HE81" i="3"/>
  <c r="HF81" i="3"/>
  <c r="HG81" i="3"/>
  <c r="HH81" i="3"/>
  <c r="HI81" i="3"/>
  <c r="HJ81" i="3"/>
  <c r="HK81" i="3"/>
  <c r="HL81" i="3"/>
  <c r="HM81" i="3"/>
  <c r="HN81" i="3"/>
  <c r="HO81" i="3"/>
  <c r="HP81" i="3"/>
  <c r="HQ81" i="3"/>
  <c r="HR81" i="3"/>
  <c r="HS81" i="3"/>
  <c r="HT81" i="3"/>
  <c r="HU81" i="3"/>
  <c r="HV81" i="3"/>
  <c r="HW81" i="3"/>
  <c r="HX81" i="3"/>
  <c r="HY81" i="3"/>
  <c r="HZ81" i="3"/>
  <c r="IA81" i="3"/>
  <c r="IB81" i="3"/>
  <c r="IC81" i="3"/>
  <c r="ID81" i="3"/>
  <c r="IE81" i="3"/>
  <c r="IF81" i="3"/>
  <c r="IG81" i="3"/>
  <c r="IH81" i="3"/>
  <c r="II81" i="3"/>
  <c r="IJ81" i="3"/>
  <c r="IK81" i="3"/>
  <c r="IL81" i="3"/>
  <c r="IM81" i="3"/>
  <c r="IN81" i="3"/>
  <c r="IO81" i="3"/>
  <c r="IP81" i="3"/>
  <c r="IQ81" i="3"/>
  <c r="IR81" i="3"/>
  <c r="IS81" i="3"/>
  <c r="IT81" i="3"/>
  <c r="IU81" i="3"/>
  <c r="IV81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DC80" i="3"/>
  <c r="DD80" i="3"/>
  <c r="DE80" i="3"/>
  <c r="DF80" i="3"/>
  <c r="DG80" i="3"/>
  <c r="DH80" i="3"/>
  <c r="DI80" i="3"/>
  <c r="DJ80" i="3"/>
  <c r="DK80" i="3"/>
  <c r="DL80" i="3"/>
  <c r="DM80" i="3"/>
  <c r="DN80" i="3"/>
  <c r="DO80" i="3"/>
  <c r="DP80" i="3"/>
  <c r="DQ80" i="3"/>
  <c r="DR80" i="3"/>
  <c r="DS80" i="3"/>
  <c r="DT80" i="3"/>
  <c r="DU80" i="3"/>
  <c r="DV80" i="3"/>
  <c r="DW80" i="3"/>
  <c r="DX80" i="3"/>
  <c r="DY80" i="3"/>
  <c r="DZ80" i="3"/>
  <c r="EA80" i="3"/>
  <c r="EB80" i="3"/>
  <c r="EC80" i="3"/>
  <c r="ED80" i="3"/>
  <c r="EE80" i="3"/>
  <c r="EF80" i="3"/>
  <c r="EG80" i="3"/>
  <c r="EH80" i="3"/>
  <c r="EI80" i="3"/>
  <c r="EJ80" i="3"/>
  <c r="EK80" i="3"/>
  <c r="EL80" i="3"/>
  <c r="EM80" i="3"/>
  <c r="EN80" i="3"/>
  <c r="EO80" i="3"/>
  <c r="EP80" i="3"/>
  <c r="EQ80" i="3"/>
  <c r="ER80" i="3"/>
  <c r="ES80" i="3"/>
  <c r="ET80" i="3"/>
  <c r="EU80" i="3"/>
  <c r="EV80" i="3"/>
  <c r="EW80" i="3"/>
  <c r="EX80" i="3"/>
  <c r="EY80" i="3"/>
  <c r="EZ80" i="3"/>
  <c r="FA80" i="3"/>
  <c r="FB80" i="3"/>
  <c r="FC80" i="3"/>
  <c r="FD80" i="3"/>
  <c r="FE80" i="3"/>
  <c r="FF80" i="3"/>
  <c r="FG80" i="3"/>
  <c r="FH80" i="3"/>
  <c r="FI80" i="3"/>
  <c r="FJ80" i="3"/>
  <c r="FK80" i="3"/>
  <c r="FL80" i="3"/>
  <c r="FM80" i="3"/>
  <c r="FN80" i="3"/>
  <c r="FO80" i="3"/>
  <c r="FP80" i="3"/>
  <c r="FQ80" i="3"/>
  <c r="FR80" i="3"/>
  <c r="FS80" i="3"/>
  <c r="FT80" i="3"/>
  <c r="FU80" i="3"/>
  <c r="FV80" i="3"/>
  <c r="FW80" i="3"/>
  <c r="FX80" i="3"/>
  <c r="FY80" i="3"/>
  <c r="FZ80" i="3"/>
  <c r="GA80" i="3"/>
  <c r="GB80" i="3"/>
  <c r="GC80" i="3"/>
  <c r="GD80" i="3"/>
  <c r="GE80" i="3"/>
  <c r="GF80" i="3"/>
  <c r="GG80" i="3"/>
  <c r="GH80" i="3"/>
  <c r="GI80" i="3"/>
  <c r="GJ80" i="3"/>
  <c r="GK80" i="3"/>
  <c r="GL80" i="3"/>
  <c r="GM80" i="3"/>
  <c r="GN80" i="3"/>
  <c r="GO80" i="3"/>
  <c r="GP80" i="3"/>
  <c r="GQ80" i="3"/>
  <c r="GR80" i="3"/>
  <c r="GS80" i="3"/>
  <c r="GT80" i="3"/>
  <c r="GU80" i="3"/>
  <c r="GV80" i="3"/>
  <c r="GW80" i="3"/>
  <c r="GX80" i="3"/>
  <c r="GY80" i="3"/>
  <c r="GZ80" i="3"/>
  <c r="HA80" i="3"/>
  <c r="HB80" i="3"/>
  <c r="HC80" i="3"/>
  <c r="HD80" i="3"/>
  <c r="HE80" i="3"/>
  <c r="HF80" i="3"/>
  <c r="HG80" i="3"/>
  <c r="HH80" i="3"/>
  <c r="HI80" i="3"/>
  <c r="HJ80" i="3"/>
  <c r="HK80" i="3"/>
  <c r="HL80" i="3"/>
  <c r="HM80" i="3"/>
  <c r="HN80" i="3"/>
  <c r="HO80" i="3"/>
  <c r="HP80" i="3"/>
  <c r="HQ80" i="3"/>
  <c r="HR80" i="3"/>
  <c r="HS80" i="3"/>
  <c r="HT80" i="3"/>
  <c r="HU80" i="3"/>
  <c r="HV80" i="3"/>
  <c r="HW80" i="3"/>
  <c r="HX80" i="3"/>
  <c r="HY80" i="3"/>
  <c r="HZ80" i="3"/>
  <c r="IA80" i="3"/>
  <c r="IB80" i="3"/>
  <c r="IC80" i="3"/>
  <c r="ID80" i="3"/>
  <c r="IE80" i="3"/>
  <c r="IF80" i="3"/>
  <c r="IG80" i="3"/>
  <c r="IH80" i="3"/>
  <c r="II80" i="3"/>
  <c r="IJ80" i="3"/>
  <c r="IK80" i="3"/>
  <c r="IL80" i="3"/>
  <c r="IM80" i="3"/>
  <c r="IN80" i="3"/>
  <c r="IO80" i="3"/>
  <c r="IP80" i="3"/>
  <c r="IQ80" i="3"/>
  <c r="IR80" i="3"/>
  <c r="IS80" i="3"/>
  <c r="IT80" i="3"/>
  <c r="IU80" i="3"/>
  <c r="IV80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DC79" i="3"/>
  <c r="DD79" i="3"/>
  <c r="DE79" i="3"/>
  <c r="DF79" i="3"/>
  <c r="DG79" i="3"/>
  <c r="DH79" i="3"/>
  <c r="DI79" i="3"/>
  <c r="DJ79" i="3"/>
  <c r="DK79" i="3"/>
  <c r="DL79" i="3"/>
  <c r="DM79" i="3"/>
  <c r="DN79" i="3"/>
  <c r="DO79" i="3"/>
  <c r="DP79" i="3"/>
  <c r="DQ79" i="3"/>
  <c r="DR79" i="3"/>
  <c r="DS79" i="3"/>
  <c r="DT79" i="3"/>
  <c r="DU79" i="3"/>
  <c r="DV79" i="3"/>
  <c r="DW79" i="3"/>
  <c r="DX79" i="3"/>
  <c r="DY79" i="3"/>
  <c r="DZ79" i="3"/>
  <c r="EA79" i="3"/>
  <c r="EB79" i="3"/>
  <c r="EC79" i="3"/>
  <c r="ED79" i="3"/>
  <c r="EE79" i="3"/>
  <c r="EF79" i="3"/>
  <c r="EG79" i="3"/>
  <c r="EH79" i="3"/>
  <c r="EI79" i="3"/>
  <c r="EJ79" i="3"/>
  <c r="EK79" i="3"/>
  <c r="EL79" i="3"/>
  <c r="EM79" i="3"/>
  <c r="EN79" i="3"/>
  <c r="EO79" i="3"/>
  <c r="EP79" i="3"/>
  <c r="EQ79" i="3"/>
  <c r="ER79" i="3"/>
  <c r="ES79" i="3"/>
  <c r="ET79" i="3"/>
  <c r="EU79" i="3"/>
  <c r="EV79" i="3"/>
  <c r="EW79" i="3"/>
  <c r="EX79" i="3"/>
  <c r="EY79" i="3"/>
  <c r="EZ79" i="3"/>
  <c r="FA79" i="3"/>
  <c r="FB79" i="3"/>
  <c r="FC79" i="3"/>
  <c r="FD79" i="3"/>
  <c r="FE79" i="3"/>
  <c r="FF79" i="3"/>
  <c r="FG79" i="3"/>
  <c r="FH79" i="3"/>
  <c r="FI79" i="3"/>
  <c r="FJ79" i="3"/>
  <c r="FK79" i="3"/>
  <c r="FL79" i="3"/>
  <c r="FM79" i="3"/>
  <c r="FN79" i="3"/>
  <c r="FO79" i="3"/>
  <c r="FP79" i="3"/>
  <c r="FQ79" i="3"/>
  <c r="FR79" i="3"/>
  <c r="FS79" i="3"/>
  <c r="FT79" i="3"/>
  <c r="FU79" i="3"/>
  <c r="FV79" i="3"/>
  <c r="FW79" i="3"/>
  <c r="FX79" i="3"/>
  <c r="FY79" i="3"/>
  <c r="FZ79" i="3"/>
  <c r="GA79" i="3"/>
  <c r="GB79" i="3"/>
  <c r="GC79" i="3"/>
  <c r="GD79" i="3"/>
  <c r="GE79" i="3"/>
  <c r="GF79" i="3"/>
  <c r="GG79" i="3"/>
  <c r="GH79" i="3"/>
  <c r="GI79" i="3"/>
  <c r="GJ79" i="3"/>
  <c r="GK79" i="3"/>
  <c r="GL79" i="3"/>
  <c r="GM79" i="3"/>
  <c r="GN79" i="3"/>
  <c r="GO79" i="3"/>
  <c r="GP79" i="3"/>
  <c r="GQ79" i="3"/>
  <c r="GR79" i="3"/>
  <c r="GS79" i="3"/>
  <c r="GT79" i="3"/>
  <c r="GU79" i="3"/>
  <c r="GV79" i="3"/>
  <c r="GW79" i="3"/>
  <c r="GX79" i="3"/>
  <c r="GY79" i="3"/>
  <c r="GZ79" i="3"/>
  <c r="HA79" i="3"/>
  <c r="HB79" i="3"/>
  <c r="HC79" i="3"/>
  <c r="HD79" i="3"/>
  <c r="HE79" i="3"/>
  <c r="HF79" i="3"/>
  <c r="HG79" i="3"/>
  <c r="HH79" i="3"/>
  <c r="HI79" i="3"/>
  <c r="HJ79" i="3"/>
  <c r="HK79" i="3"/>
  <c r="HL79" i="3"/>
  <c r="HM79" i="3"/>
  <c r="HN79" i="3"/>
  <c r="HO79" i="3"/>
  <c r="HP79" i="3"/>
  <c r="HQ79" i="3"/>
  <c r="HR79" i="3"/>
  <c r="HS79" i="3"/>
  <c r="HT79" i="3"/>
  <c r="HU79" i="3"/>
  <c r="HV79" i="3"/>
  <c r="HW79" i="3"/>
  <c r="HX79" i="3"/>
  <c r="HY79" i="3"/>
  <c r="HZ79" i="3"/>
  <c r="IA79" i="3"/>
  <c r="IB79" i="3"/>
  <c r="IC79" i="3"/>
  <c r="ID79" i="3"/>
  <c r="IE79" i="3"/>
  <c r="IF79" i="3"/>
  <c r="IG79" i="3"/>
  <c r="IH79" i="3"/>
  <c r="II79" i="3"/>
  <c r="IJ79" i="3"/>
  <c r="IK79" i="3"/>
  <c r="IL79" i="3"/>
  <c r="IM79" i="3"/>
  <c r="IN79" i="3"/>
  <c r="IO79" i="3"/>
  <c r="IP79" i="3"/>
  <c r="IQ79" i="3"/>
  <c r="IR79" i="3"/>
  <c r="IS79" i="3"/>
  <c r="IT79" i="3"/>
  <c r="IU79" i="3"/>
  <c r="IV79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DC78" i="3"/>
  <c r="DD78" i="3"/>
  <c r="DE78" i="3"/>
  <c r="DF78" i="3"/>
  <c r="DG78" i="3"/>
  <c r="DH78" i="3"/>
  <c r="DI78" i="3"/>
  <c r="DJ78" i="3"/>
  <c r="DK78" i="3"/>
  <c r="DL78" i="3"/>
  <c r="DM78" i="3"/>
  <c r="DN78" i="3"/>
  <c r="DO78" i="3"/>
  <c r="DP78" i="3"/>
  <c r="DQ78" i="3"/>
  <c r="DR78" i="3"/>
  <c r="DS78" i="3"/>
  <c r="DT78" i="3"/>
  <c r="DU78" i="3"/>
  <c r="DV78" i="3"/>
  <c r="DW78" i="3"/>
  <c r="DX78" i="3"/>
  <c r="DY78" i="3"/>
  <c r="DZ78" i="3"/>
  <c r="EA78" i="3"/>
  <c r="EB78" i="3"/>
  <c r="EC78" i="3"/>
  <c r="ED78" i="3"/>
  <c r="EE78" i="3"/>
  <c r="EF78" i="3"/>
  <c r="EG78" i="3"/>
  <c r="EH78" i="3"/>
  <c r="EI78" i="3"/>
  <c r="EJ78" i="3"/>
  <c r="EK78" i="3"/>
  <c r="EL78" i="3"/>
  <c r="EM78" i="3"/>
  <c r="EN78" i="3"/>
  <c r="EO78" i="3"/>
  <c r="EP78" i="3"/>
  <c r="EQ78" i="3"/>
  <c r="ER78" i="3"/>
  <c r="ES78" i="3"/>
  <c r="ET78" i="3"/>
  <c r="EU78" i="3"/>
  <c r="EV78" i="3"/>
  <c r="EW78" i="3"/>
  <c r="EX78" i="3"/>
  <c r="EY78" i="3"/>
  <c r="EZ78" i="3"/>
  <c r="FA78" i="3"/>
  <c r="FB78" i="3"/>
  <c r="FC78" i="3"/>
  <c r="FD78" i="3"/>
  <c r="FE78" i="3"/>
  <c r="FF78" i="3"/>
  <c r="FG78" i="3"/>
  <c r="FH78" i="3"/>
  <c r="FI78" i="3"/>
  <c r="FJ78" i="3"/>
  <c r="FK78" i="3"/>
  <c r="FL78" i="3"/>
  <c r="FM78" i="3"/>
  <c r="FN78" i="3"/>
  <c r="FO78" i="3"/>
  <c r="FP78" i="3"/>
  <c r="FQ78" i="3"/>
  <c r="FR78" i="3"/>
  <c r="FS78" i="3"/>
  <c r="FT78" i="3"/>
  <c r="FU78" i="3"/>
  <c r="FV78" i="3"/>
  <c r="FW78" i="3"/>
  <c r="FX78" i="3"/>
  <c r="FY78" i="3"/>
  <c r="FZ78" i="3"/>
  <c r="GA78" i="3"/>
  <c r="GB78" i="3"/>
  <c r="GC78" i="3"/>
  <c r="GD78" i="3"/>
  <c r="GE78" i="3"/>
  <c r="GF78" i="3"/>
  <c r="GG78" i="3"/>
  <c r="GH78" i="3"/>
  <c r="GI78" i="3"/>
  <c r="GJ78" i="3"/>
  <c r="GK78" i="3"/>
  <c r="GL78" i="3"/>
  <c r="GM78" i="3"/>
  <c r="GN78" i="3"/>
  <c r="GO78" i="3"/>
  <c r="GP78" i="3"/>
  <c r="GQ78" i="3"/>
  <c r="GR78" i="3"/>
  <c r="GS78" i="3"/>
  <c r="GT78" i="3"/>
  <c r="GU78" i="3"/>
  <c r="GV78" i="3"/>
  <c r="GW78" i="3"/>
  <c r="GX78" i="3"/>
  <c r="GY78" i="3"/>
  <c r="GZ78" i="3"/>
  <c r="HA78" i="3"/>
  <c r="HB78" i="3"/>
  <c r="HC78" i="3"/>
  <c r="HD78" i="3"/>
  <c r="HE78" i="3"/>
  <c r="HF78" i="3"/>
  <c r="HG78" i="3"/>
  <c r="HH78" i="3"/>
  <c r="HI78" i="3"/>
  <c r="HJ78" i="3"/>
  <c r="HK78" i="3"/>
  <c r="HL78" i="3"/>
  <c r="HM78" i="3"/>
  <c r="HN78" i="3"/>
  <c r="HO78" i="3"/>
  <c r="HP78" i="3"/>
  <c r="HQ78" i="3"/>
  <c r="HR78" i="3"/>
  <c r="HS78" i="3"/>
  <c r="HT78" i="3"/>
  <c r="HU78" i="3"/>
  <c r="HV78" i="3"/>
  <c r="HW78" i="3"/>
  <c r="HX78" i="3"/>
  <c r="HY78" i="3"/>
  <c r="HZ78" i="3"/>
  <c r="IA78" i="3"/>
  <c r="IB78" i="3"/>
  <c r="IC78" i="3"/>
  <c r="ID78" i="3"/>
  <c r="IE78" i="3"/>
  <c r="IF78" i="3"/>
  <c r="IG78" i="3"/>
  <c r="IH78" i="3"/>
  <c r="II78" i="3"/>
  <c r="IJ78" i="3"/>
  <c r="IK78" i="3"/>
  <c r="IL78" i="3"/>
  <c r="IM78" i="3"/>
  <c r="IN78" i="3"/>
  <c r="IO78" i="3"/>
  <c r="IP78" i="3"/>
  <c r="IQ78" i="3"/>
  <c r="IR78" i="3"/>
  <c r="IS78" i="3"/>
  <c r="IT78" i="3"/>
  <c r="IU78" i="3"/>
  <c r="IV78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DC77" i="3"/>
  <c r="DD77" i="3"/>
  <c r="DE77" i="3"/>
  <c r="DF77" i="3"/>
  <c r="DG77" i="3"/>
  <c r="DH77" i="3"/>
  <c r="DI77" i="3"/>
  <c r="DJ77" i="3"/>
  <c r="DK77" i="3"/>
  <c r="DL77" i="3"/>
  <c r="DM77" i="3"/>
  <c r="DN77" i="3"/>
  <c r="DO77" i="3"/>
  <c r="DP77" i="3"/>
  <c r="DQ77" i="3"/>
  <c r="DR77" i="3"/>
  <c r="DS77" i="3"/>
  <c r="DT77" i="3"/>
  <c r="DU77" i="3"/>
  <c r="DV77" i="3"/>
  <c r="DW77" i="3"/>
  <c r="DX77" i="3"/>
  <c r="DY77" i="3"/>
  <c r="DZ77" i="3"/>
  <c r="EA77" i="3"/>
  <c r="EB77" i="3"/>
  <c r="EC77" i="3"/>
  <c r="ED77" i="3"/>
  <c r="EE77" i="3"/>
  <c r="EF77" i="3"/>
  <c r="EG77" i="3"/>
  <c r="EH77" i="3"/>
  <c r="EI77" i="3"/>
  <c r="EJ77" i="3"/>
  <c r="EK77" i="3"/>
  <c r="EL77" i="3"/>
  <c r="EM77" i="3"/>
  <c r="EN77" i="3"/>
  <c r="EO77" i="3"/>
  <c r="EP77" i="3"/>
  <c r="EQ77" i="3"/>
  <c r="ER77" i="3"/>
  <c r="ES77" i="3"/>
  <c r="ET77" i="3"/>
  <c r="EU77" i="3"/>
  <c r="EV77" i="3"/>
  <c r="EW77" i="3"/>
  <c r="EX77" i="3"/>
  <c r="EY77" i="3"/>
  <c r="EZ77" i="3"/>
  <c r="FA77" i="3"/>
  <c r="FB77" i="3"/>
  <c r="FC77" i="3"/>
  <c r="FD77" i="3"/>
  <c r="FE77" i="3"/>
  <c r="FF77" i="3"/>
  <c r="FG77" i="3"/>
  <c r="FH77" i="3"/>
  <c r="FI77" i="3"/>
  <c r="FJ77" i="3"/>
  <c r="FK77" i="3"/>
  <c r="FL77" i="3"/>
  <c r="FM77" i="3"/>
  <c r="FN77" i="3"/>
  <c r="FO77" i="3"/>
  <c r="FP77" i="3"/>
  <c r="FQ77" i="3"/>
  <c r="FR77" i="3"/>
  <c r="FS77" i="3"/>
  <c r="FT77" i="3"/>
  <c r="FU77" i="3"/>
  <c r="FV77" i="3"/>
  <c r="FW77" i="3"/>
  <c r="FX77" i="3"/>
  <c r="FY77" i="3"/>
  <c r="FZ77" i="3"/>
  <c r="GA77" i="3"/>
  <c r="GB77" i="3"/>
  <c r="GC77" i="3"/>
  <c r="GD77" i="3"/>
  <c r="GE77" i="3"/>
  <c r="GF77" i="3"/>
  <c r="GG77" i="3"/>
  <c r="GH77" i="3"/>
  <c r="GI77" i="3"/>
  <c r="GJ77" i="3"/>
  <c r="GK77" i="3"/>
  <c r="GL77" i="3"/>
  <c r="GM77" i="3"/>
  <c r="GN77" i="3"/>
  <c r="GO77" i="3"/>
  <c r="GP77" i="3"/>
  <c r="GQ77" i="3"/>
  <c r="GR77" i="3"/>
  <c r="GS77" i="3"/>
  <c r="GT77" i="3"/>
  <c r="GU77" i="3"/>
  <c r="GV77" i="3"/>
  <c r="GW77" i="3"/>
  <c r="GX77" i="3"/>
  <c r="GY77" i="3"/>
  <c r="GZ77" i="3"/>
  <c r="HA77" i="3"/>
  <c r="HB77" i="3"/>
  <c r="HC77" i="3"/>
  <c r="HD77" i="3"/>
  <c r="HE77" i="3"/>
  <c r="HF77" i="3"/>
  <c r="HG77" i="3"/>
  <c r="HH77" i="3"/>
  <c r="HI77" i="3"/>
  <c r="HJ77" i="3"/>
  <c r="HK77" i="3"/>
  <c r="HL77" i="3"/>
  <c r="HM77" i="3"/>
  <c r="HN77" i="3"/>
  <c r="HO77" i="3"/>
  <c r="HP77" i="3"/>
  <c r="HQ77" i="3"/>
  <c r="HR77" i="3"/>
  <c r="HS77" i="3"/>
  <c r="HT77" i="3"/>
  <c r="HU77" i="3"/>
  <c r="HV77" i="3"/>
  <c r="HW77" i="3"/>
  <c r="HX77" i="3"/>
  <c r="HY77" i="3"/>
  <c r="HZ77" i="3"/>
  <c r="IA77" i="3"/>
  <c r="IB77" i="3"/>
  <c r="IC77" i="3"/>
  <c r="ID77" i="3"/>
  <c r="IE77" i="3"/>
  <c r="IF77" i="3"/>
  <c r="IG77" i="3"/>
  <c r="IH77" i="3"/>
  <c r="II77" i="3"/>
  <c r="IJ77" i="3"/>
  <c r="IK77" i="3"/>
  <c r="IL77" i="3"/>
  <c r="IM77" i="3"/>
  <c r="IN77" i="3"/>
  <c r="IO77" i="3"/>
  <c r="IP77" i="3"/>
  <c r="IQ77" i="3"/>
  <c r="IR77" i="3"/>
  <c r="IS77" i="3"/>
  <c r="IT77" i="3"/>
  <c r="IU77" i="3"/>
  <c r="IV77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DC76" i="3"/>
  <c r="DD76" i="3"/>
  <c r="DE76" i="3"/>
  <c r="DF76" i="3"/>
  <c r="DG76" i="3"/>
  <c r="DH76" i="3"/>
  <c r="DI76" i="3"/>
  <c r="DJ76" i="3"/>
  <c r="DK76" i="3"/>
  <c r="DL76" i="3"/>
  <c r="DM76" i="3"/>
  <c r="DN76" i="3"/>
  <c r="DO76" i="3"/>
  <c r="DP76" i="3"/>
  <c r="DQ76" i="3"/>
  <c r="DR76" i="3"/>
  <c r="DS76" i="3"/>
  <c r="DT76" i="3"/>
  <c r="DU76" i="3"/>
  <c r="DV76" i="3"/>
  <c r="DW76" i="3"/>
  <c r="DX76" i="3"/>
  <c r="DY76" i="3"/>
  <c r="DZ76" i="3"/>
  <c r="EA76" i="3"/>
  <c r="EB76" i="3"/>
  <c r="EC76" i="3"/>
  <c r="ED76" i="3"/>
  <c r="EE76" i="3"/>
  <c r="EF76" i="3"/>
  <c r="EG76" i="3"/>
  <c r="EH76" i="3"/>
  <c r="EI76" i="3"/>
  <c r="EJ76" i="3"/>
  <c r="EK76" i="3"/>
  <c r="EL76" i="3"/>
  <c r="EM76" i="3"/>
  <c r="EN76" i="3"/>
  <c r="EO76" i="3"/>
  <c r="EP76" i="3"/>
  <c r="EQ76" i="3"/>
  <c r="ER76" i="3"/>
  <c r="ES76" i="3"/>
  <c r="ET76" i="3"/>
  <c r="EU76" i="3"/>
  <c r="EV76" i="3"/>
  <c r="EW76" i="3"/>
  <c r="EX76" i="3"/>
  <c r="EY76" i="3"/>
  <c r="EZ76" i="3"/>
  <c r="FA76" i="3"/>
  <c r="FB76" i="3"/>
  <c r="FC76" i="3"/>
  <c r="FD76" i="3"/>
  <c r="FE76" i="3"/>
  <c r="FF76" i="3"/>
  <c r="FG76" i="3"/>
  <c r="FH76" i="3"/>
  <c r="FI76" i="3"/>
  <c r="FJ76" i="3"/>
  <c r="FK76" i="3"/>
  <c r="FL76" i="3"/>
  <c r="FM76" i="3"/>
  <c r="FN76" i="3"/>
  <c r="FO76" i="3"/>
  <c r="FP76" i="3"/>
  <c r="FQ76" i="3"/>
  <c r="FR76" i="3"/>
  <c r="FS76" i="3"/>
  <c r="FT76" i="3"/>
  <c r="FU76" i="3"/>
  <c r="FV76" i="3"/>
  <c r="FW76" i="3"/>
  <c r="FX76" i="3"/>
  <c r="FY76" i="3"/>
  <c r="FZ76" i="3"/>
  <c r="GA76" i="3"/>
  <c r="GB76" i="3"/>
  <c r="GC76" i="3"/>
  <c r="GD76" i="3"/>
  <c r="GE76" i="3"/>
  <c r="GF76" i="3"/>
  <c r="GG76" i="3"/>
  <c r="GH76" i="3"/>
  <c r="GI76" i="3"/>
  <c r="GJ76" i="3"/>
  <c r="GK76" i="3"/>
  <c r="GL76" i="3"/>
  <c r="GM76" i="3"/>
  <c r="GN76" i="3"/>
  <c r="GO76" i="3"/>
  <c r="GP76" i="3"/>
  <c r="GQ76" i="3"/>
  <c r="GR76" i="3"/>
  <c r="GS76" i="3"/>
  <c r="GT76" i="3"/>
  <c r="GU76" i="3"/>
  <c r="GV76" i="3"/>
  <c r="GW76" i="3"/>
  <c r="GX76" i="3"/>
  <c r="GY76" i="3"/>
  <c r="GZ76" i="3"/>
  <c r="HA76" i="3"/>
  <c r="HB76" i="3"/>
  <c r="HC76" i="3"/>
  <c r="HD76" i="3"/>
  <c r="HE76" i="3"/>
  <c r="HF76" i="3"/>
  <c r="HG76" i="3"/>
  <c r="HH76" i="3"/>
  <c r="HI76" i="3"/>
  <c r="HJ76" i="3"/>
  <c r="HK76" i="3"/>
  <c r="HL76" i="3"/>
  <c r="HM76" i="3"/>
  <c r="HN76" i="3"/>
  <c r="HO76" i="3"/>
  <c r="HP76" i="3"/>
  <c r="HQ76" i="3"/>
  <c r="HR76" i="3"/>
  <c r="HS76" i="3"/>
  <c r="HT76" i="3"/>
  <c r="HU76" i="3"/>
  <c r="HV76" i="3"/>
  <c r="HW76" i="3"/>
  <c r="HX76" i="3"/>
  <c r="HY76" i="3"/>
  <c r="HZ76" i="3"/>
  <c r="IA76" i="3"/>
  <c r="IB76" i="3"/>
  <c r="IC76" i="3"/>
  <c r="ID76" i="3"/>
  <c r="IE76" i="3"/>
  <c r="IF76" i="3"/>
  <c r="IG76" i="3"/>
  <c r="IH76" i="3"/>
  <c r="II76" i="3"/>
  <c r="IJ76" i="3"/>
  <c r="IK76" i="3"/>
  <c r="IL76" i="3"/>
  <c r="IM76" i="3"/>
  <c r="IN76" i="3"/>
  <c r="IO76" i="3"/>
  <c r="IP76" i="3"/>
  <c r="IQ76" i="3"/>
  <c r="IR76" i="3"/>
  <c r="IS76" i="3"/>
  <c r="IT76" i="3"/>
  <c r="IU76" i="3"/>
  <c r="IV76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DC75" i="3"/>
  <c r="DD75" i="3"/>
  <c r="DE75" i="3"/>
  <c r="DF75" i="3"/>
  <c r="DG75" i="3"/>
  <c r="DH75" i="3"/>
  <c r="DI75" i="3"/>
  <c r="DJ75" i="3"/>
  <c r="DK75" i="3"/>
  <c r="DL75" i="3"/>
  <c r="DM75" i="3"/>
  <c r="DN75" i="3"/>
  <c r="DO75" i="3"/>
  <c r="DP75" i="3"/>
  <c r="DQ75" i="3"/>
  <c r="DR75" i="3"/>
  <c r="DS75" i="3"/>
  <c r="DT75" i="3"/>
  <c r="DU75" i="3"/>
  <c r="DV75" i="3"/>
  <c r="DW75" i="3"/>
  <c r="DX75" i="3"/>
  <c r="DY75" i="3"/>
  <c r="DZ75" i="3"/>
  <c r="EA75" i="3"/>
  <c r="EB75" i="3"/>
  <c r="EC75" i="3"/>
  <c r="ED75" i="3"/>
  <c r="EE75" i="3"/>
  <c r="EF75" i="3"/>
  <c r="EG75" i="3"/>
  <c r="EH75" i="3"/>
  <c r="EI75" i="3"/>
  <c r="EJ75" i="3"/>
  <c r="EK75" i="3"/>
  <c r="EL75" i="3"/>
  <c r="EM75" i="3"/>
  <c r="EN75" i="3"/>
  <c r="EO75" i="3"/>
  <c r="EP75" i="3"/>
  <c r="EQ75" i="3"/>
  <c r="ER75" i="3"/>
  <c r="ES75" i="3"/>
  <c r="ET75" i="3"/>
  <c r="EU75" i="3"/>
  <c r="EV75" i="3"/>
  <c r="EW75" i="3"/>
  <c r="EX75" i="3"/>
  <c r="EY75" i="3"/>
  <c r="EZ75" i="3"/>
  <c r="FA75" i="3"/>
  <c r="FB75" i="3"/>
  <c r="FC75" i="3"/>
  <c r="FD75" i="3"/>
  <c r="FE75" i="3"/>
  <c r="FF75" i="3"/>
  <c r="FG75" i="3"/>
  <c r="FH75" i="3"/>
  <c r="FI75" i="3"/>
  <c r="FJ75" i="3"/>
  <c r="FK75" i="3"/>
  <c r="FL75" i="3"/>
  <c r="FM75" i="3"/>
  <c r="FN75" i="3"/>
  <c r="FO75" i="3"/>
  <c r="FP75" i="3"/>
  <c r="FQ75" i="3"/>
  <c r="FR75" i="3"/>
  <c r="FS75" i="3"/>
  <c r="FT75" i="3"/>
  <c r="FU75" i="3"/>
  <c r="FV75" i="3"/>
  <c r="FW75" i="3"/>
  <c r="FX75" i="3"/>
  <c r="FY75" i="3"/>
  <c r="FZ75" i="3"/>
  <c r="GA75" i="3"/>
  <c r="GB75" i="3"/>
  <c r="GC75" i="3"/>
  <c r="GD75" i="3"/>
  <c r="GE75" i="3"/>
  <c r="GF75" i="3"/>
  <c r="GG75" i="3"/>
  <c r="GH75" i="3"/>
  <c r="GI75" i="3"/>
  <c r="GJ75" i="3"/>
  <c r="GK75" i="3"/>
  <c r="GL75" i="3"/>
  <c r="GM75" i="3"/>
  <c r="GN75" i="3"/>
  <c r="GO75" i="3"/>
  <c r="GP75" i="3"/>
  <c r="GQ75" i="3"/>
  <c r="GR75" i="3"/>
  <c r="GS75" i="3"/>
  <c r="GT75" i="3"/>
  <c r="GU75" i="3"/>
  <c r="GV75" i="3"/>
  <c r="GW75" i="3"/>
  <c r="GX75" i="3"/>
  <c r="GY75" i="3"/>
  <c r="GZ75" i="3"/>
  <c r="HA75" i="3"/>
  <c r="HB75" i="3"/>
  <c r="HC75" i="3"/>
  <c r="HD75" i="3"/>
  <c r="HE75" i="3"/>
  <c r="HF75" i="3"/>
  <c r="HG75" i="3"/>
  <c r="HH75" i="3"/>
  <c r="HI75" i="3"/>
  <c r="HJ75" i="3"/>
  <c r="HK75" i="3"/>
  <c r="HL75" i="3"/>
  <c r="HM75" i="3"/>
  <c r="HN75" i="3"/>
  <c r="HO75" i="3"/>
  <c r="HP75" i="3"/>
  <c r="HQ75" i="3"/>
  <c r="HR75" i="3"/>
  <c r="HS75" i="3"/>
  <c r="HT75" i="3"/>
  <c r="HU75" i="3"/>
  <c r="HV75" i="3"/>
  <c r="HW75" i="3"/>
  <c r="HX75" i="3"/>
  <c r="HY75" i="3"/>
  <c r="HZ75" i="3"/>
  <c r="IA75" i="3"/>
  <c r="IB75" i="3"/>
  <c r="IC75" i="3"/>
  <c r="ID75" i="3"/>
  <c r="IE75" i="3"/>
  <c r="IF75" i="3"/>
  <c r="IG75" i="3"/>
  <c r="IH75" i="3"/>
  <c r="II75" i="3"/>
  <c r="IJ75" i="3"/>
  <c r="IK75" i="3"/>
  <c r="IL75" i="3"/>
  <c r="IM75" i="3"/>
  <c r="IN75" i="3"/>
  <c r="IO75" i="3"/>
  <c r="IP75" i="3"/>
  <c r="IQ75" i="3"/>
  <c r="IR75" i="3"/>
  <c r="IS75" i="3"/>
  <c r="IT75" i="3"/>
  <c r="IU75" i="3"/>
  <c r="IV75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DC74" i="3"/>
  <c r="DD74" i="3"/>
  <c r="DE74" i="3"/>
  <c r="DF74" i="3"/>
  <c r="DG74" i="3"/>
  <c r="DH74" i="3"/>
  <c r="DI74" i="3"/>
  <c r="DJ74" i="3"/>
  <c r="DK74" i="3"/>
  <c r="DL74" i="3"/>
  <c r="DM74" i="3"/>
  <c r="DN74" i="3"/>
  <c r="DO74" i="3"/>
  <c r="DP74" i="3"/>
  <c r="DQ74" i="3"/>
  <c r="DR74" i="3"/>
  <c r="DS74" i="3"/>
  <c r="DT74" i="3"/>
  <c r="DU74" i="3"/>
  <c r="DV74" i="3"/>
  <c r="DW74" i="3"/>
  <c r="DX74" i="3"/>
  <c r="DY74" i="3"/>
  <c r="DZ74" i="3"/>
  <c r="EA74" i="3"/>
  <c r="EB74" i="3"/>
  <c r="EC74" i="3"/>
  <c r="ED74" i="3"/>
  <c r="EE74" i="3"/>
  <c r="EF74" i="3"/>
  <c r="EG74" i="3"/>
  <c r="EH74" i="3"/>
  <c r="EI74" i="3"/>
  <c r="EJ74" i="3"/>
  <c r="EK74" i="3"/>
  <c r="EL74" i="3"/>
  <c r="EM74" i="3"/>
  <c r="EN74" i="3"/>
  <c r="EO74" i="3"/>
  <c r="EP74" i="3"/>
  <c r="EQ74" i="3"/>
  <c r="ER74" i="3"/>
  <c r="ES74" i="3"/>
  <c r="ET74" i="3"/>
  <c r="EU74" i="3"/>
  <c r="EV74" i="3"/>
  <c r="EW74" i="3"/>
  <c r="EX74" i="3"/>
  <c r="EY74" i="3"/>
  <c r="EZ74" i="3"/>
  <c r="FA74" i="3"/>
  <c r="FB74" i="3"/>
  <c r="FC74" i="3"/>
  <c r="FD74" i="3"/>
  <c r="FE74" i="3"/>
  <c r="FF74" i="3"/>
  <c r="FG74" i="3"/>
  <c r="FH74" i="3"/>
  <c r="FI74" i="3"/>
  <c r="FJ74" i="3"/>
  <c r="FK74" i="3"/>
  <c r="FL74" i="3"/>
  <c r="FM74" i="3"/>
  <c r="FN74" i="3"/>
  <c r="FO74" i="3"/>
  <c r="FP74" i="3"/>
  <c r="FQ74" i="3"/>
  <c r="FR74" i="3"/>
  <c r="FS74" i="3"/>
  <c r="FT74" i="3"/>
  <c r="FU74" i="3"/>
  <c r="FV74" i="3"/>
  <c r="FW74" i="3"/>
  <c r="FX74" i="3"/>
  <c r="FY74" i="3"/>
  <c r="FZ74" i="3"/>
  <c r="GA74" i="3"/>
  <c r="GB74" i="3"/>
  <c r="GC74" i="3"/>
  <c r="GD74" i="3"/>
  <c r="GE74" i="3"/>
  <c r="GF74" i="3"/>
  <c r="GG74" i="3"/>
  <c r="GH74" i="3"/>
  <c r="GI74" i="3"/>
  <c r="GJ74" i="3"/>
  <c r="GK74" i="3"/>
  <c r="GL74" i="3"/>
  <c r="GM74" i="3"/>
  <c r="GN74" i="3"/>
  <c r="GO74" i="3"/>
  <c r="GP74" i="3"/>
  <c r="GQ74" i="3"/>
  <c r="GR74" i="3"/>
  <c r="GS74" i="3"/>
  <c r="GT74" i="3"/>
  <c r="GU74" i="3"/>
  <c r="GV74" i="3"/>
  <c r="GW74" i="3"/>
  <c r="GX74" i="3"/>
  <c r="GY74" i="3"/>
  <c r="GZ74" i="3"/>
  <c r="HA74" i="3"/>
  <c r="HB74" i="3"/>
  <c r="HC74" i="3"/>
  <c r="HD74" i="3"/>
  <c r="HE74" i="3"/>
  <c r="HF74" i="3"/>
  <c r="HG74" i="3"/>
  <c r="HH74" i="3"/>
  <c r="HI74" i="3"/>
  <c r="HJ74" i="3"/>
  <c r="HK74" i="3"/>
  <c r="HL74" i="3"/>
  <c r="HM74" i="3"/>
  <c r="HN74" i="3"/>
  <c r="HO74" i="3"/>
  <c r="HP74" i="3"/>
  <c r="HQ74" i="3"/>
  <c r="HR74" i="3"/>
  <c r="HS74" i="3"/>
  <c r="HT74" i="3"/>
  <c r="HU74" i="3"/>
  <c r="HV74" i="3"/>
  <c r="HW74" i="3"/>
  <c r="HX74" i="3"/>
  <c r="HY74" i="3"/>
  <c r="HZ74" i="3"/>
  <c r="IA74" i="3"/>
  <c r="IB74" i="3"/>
  <c r="IC74" i="3"/>
  <c r="ID74" i="3"/>
  <c r="IE74" i="3"/>
  <c r="IF74" i="3"/>
  <c r="IG74" i="3"/>
  <c r="IH74" i="3"/>
  <c r="II74" i="3"/>
  <c r="IJ74" i="3"/>
  <c r="IK74" i="3"/>
  <c r="IL74" i="3"/>
  <c r="IM74" i="3"/>
  <c r="IN74" i="3"/>
  <c r="IO74" i="3"/>
  <c r="IP74" i="3"/>
  <c r="IQ74" i="3"/>
  <c r="IR74" i="3"/>
  <c r="IS74" i="3"/>
  <c r="IT74" i="3"/>
  <c r="IU74" i="3"/>
  <c r="IV74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DC73" i="3"/>
  <c r="DD73" i="3"/>
  <c r="DE73" i="3"/>
  <c r="DF73" i="3"/>
  <c r="DG73" i="3"/>
  <c r="DH73" i="3"/>
  <c r="DI73" i="3"/>
  <c r="DJ73" i="3"/>
  <c r="DK73" i="3"/>
  <c r="DL73" i="3"/>
  <c r="DM73" i="3"/>
  <c r="DN73" i="3"/>
  <c r="DO73" i="3"/>
  <c r="DP73" i="3"/>
  <c r="DQ73" i="3"/>
  <c r="DR73" i="3"/>
  <c r="DS73" i="3"/>
  <c r="DT73" i="3"/>
  <c r="DU73" i="3"/>
  <c r="DV73" i="3"/>
  <c r="DW73" i="3"/>
  <c r="DX73" i="3"/>
  <c r="DY73" i="3"/>
  <c r="DZ73" i="3"/>
  <c r="EA73" i="3"/>
  <c r="EB73" i="3"/>
  <c r="EC73" i="3"/>
  <c r="ED73" i="3"/>
  <c r="EE73" i="3"/>
  <c r="EF73" i="3"/>
  <c r="EG73" i="3"/>
  <c r="EH73" i="3"/>
  <c r="EI73" i="3"/>
  <c r="EJ73" i="3"/>
  <c r="EK73" i="3"/>
  <c r="EL73" i="3"/>
  <c r="EM73" i="3"/>
  <c r="EN73" i="3"/>
  <c r="EO73" i="3"/>
  <c r="EP73" i="3"/>
  <c r="EQ73" i="3"/>
  <c r="ER73" i="3"/>
  <c r="ES73" i="3"/>
  <c r="ET73" i="3"/>
  <c r="EU73" i="3"/>
  <c r="EV73" i="3"/>
  <c r="EW73" i="3"/>
  <c r="EX73" i="3"/>
  <c r="EY73" i="3"/>
  <c r="EZ73" i="3"/>
  <c r="FA73" i="3"/>
  <c r="FB73" i="3"/>
  <c r="FC73" i="3"/>
  <c r="FD73" i="3"/>
  <c r="FE73" i="3"/>
  <c r="FF73" i="3"/>
  <c r="FG73" i="3"/>
  <c r="FH73" i="3"/>
  <c r="FI73" i="3"/>
  <c r="FJ73" i="3"/>
  <c r="FK73" i="3"/>
  <c r="FL73" i="3"/>
  <c r="FM73" i="3"/>
  <c r="FN73" i="3"/>
  <c r="FO73" i="3"/>
  <c r="FP73" i="3"/>
  <c r="FQ73" i="3"/>
  <c r="FR73" i="3"/>
  <c r="FS73" i="3"/>
  <c r="FT73" i="3"/>
  <c r="FU73" i="3"/>
  <c r="FV73" i="3"/>
  <c r="FW73" i="3"/>
  <c r="FX73" i="3"/>
  <c r="FY73" i="3"/>
  <c r="FZ73" i="3"/>
  <c r="GA73" i="3"/>
  <c r="GB73" i="3"/>
  <c r="GC73" i="3"/>
  <c r="GD73" i="3"/>
  <c r="GE73" i="3"/>
  <c r="GF73" i="3"/>
  <c r="GG73" i="3"/>
  <c r="GH73" i="3"/>
  <c r="GI73" i="3"/>
  <c r="GJ73" i="3"/>
  <c r="GK73" i="3"/>
  <c r="GL73" i="3"/>
  <c r="GM73" i="3"/>
  <c r="GN73" i="3"/>
  <c r="GO73" i="3"/>
  <c r="GP73" i="3"/>
  <c r="GQ73" i="3"/>
  <c r="GR73" i="3"/>
  <c r="GS73" i="3"/>
  <c r="GT73" i="3"/>
  <c r="GU73" i="3"/>
  <c r="GV73" i="3"/>
  <c r="GW73" i="3"/>
  <c r="GX73" i="3"/>
  <c r="GY73" i="3"/>
  <c r="GZ73" i="3"/>
  <c r="HA73" i="3"/>
  <c r="HB73" i="3"/>
  <c r="HC73" i="3"/>
  <c r="HD73" i="3"/>
  <c r="HE73" i="3"/>
  <c r="HF73" i="3"/>
  <c r="HG73" i="3"/>
  <c r="HH73" i="3"/>
  <c r="HI73" i="3"/>
  <c r="HJ73" i="3"/>
  <c r="HK73" i="3"/>
  <c r="HL73" i="3"/>
  <c r="HM73" i="3"/>
  <c r="HN73" i="3"/>
  <c r="HO73" i="3"/>
  <c r="HP73" i="3"/>
  <c r="HQ73" i="3"/>
  <c r="HR73" i="3"/>
  <c r="HS73" i="3"/>
  <c r="HT73" i="3"/>
  <c r="HU73" i="3"/>
  <c r="HV73" i="3"/>
  <c r="HW73" i="3"/>
  <c r="HX73" i="3"/>
  <c r="HY73" i="3"/>
  <c r="HZ73" i="3"/>
  <c r="IA73" i="3"/>
  <c r="IB73" i="3"/>
  <c r="IC73" i="3"/>
  <c r="ID73" i="3"/>
  <c r="IE73" i="3"/>
  <c r="IF73" i="3"/>
  <c r="IG73" i="3"/>
  <c r="IH73" i="3"/>
  <c r="II73" i="3"/>
  <c r="IJ73" i="3"/>
  <c r="IK73" i="3"/>
  <c r="IL73" i="3"/>
  <c r="IM73" i="3"/>
  <c r="IN73" i="3"/>
  <c r="IO73" i="3"/>
  <c r="IP73" i="3"/>
  <c r="IQ73" i="3"/>
  <c r="IR73" i="3"/>
  <c r="IS73" i="3"/>
  <c r="IT73" i="3"/>
  <c r="IU73" i="3"/>
  <c r="IV73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DC72" i="3"/>
  <c r="DD72" i="3"/>
  <c r="DE72" i="3"/>
  <c r="DF72" i="3"/>
  <c r="DG72" i="3"/>
  <c r="DH72" i="3"/>
  <c r="DI72" i="3"/>
  <c r="DJ72" i="3"/>
  <c r="DK72" i="3"/>
  <c r="DL72" i="3"/>
  <c r="DM72" i="3"/>
  <c r="DN72" i="3"/>
  <c r="DO72" i="3"/>
  <c r="DP72" i="3"/>
  <c r="DQ72" i="3"/>
  <c r="DR72" i="3"/>
  <c r="DS72" i="3"/>
  <c r="DT72" i="3"/>
  <c r="DU72" i="3"/>
  <c r="DV72" i="3"/>
  <c r="DW72" i="3"/>
  <c r="DX72" i="3"/>
  <c r="DY72" i="3"/>
  <c r="DZ72" i="3"/>
  <c r="EA72" i="3"/>
  <c r="EB72" i="3"/>
  <c r="EC72" i="3"/>
  <c r="ED72" i="3"/>
  <c r="EE72" i="3"/>
  <c r="EF72" i="3"/>
  <c r="EG72" i="3"/>
  <c r="EH72" i="3"/>
  <c r="EI72" i="3"/>
  <c r="EJ72" i="3"/>
  <c r="EK72" i="3"/>
  <c r="EL72" i="3"/>
  <c r="EM72" i="3"/>
  <c r="EN72" i="3"/>
  <c r="EO72" i="3"/>
  <c r="EP72" i="3"/>
  <c r="EQ72" i="3"/>
  <c r="ER72" i="3"/>
  <c r="ES72" i="3"/>
  <c r="ET72" i="3"/>
  <c r="EU72" i="3"/>
  <c r="EV72" i="3"/>
  <c r="EW72" i="3"/>
  <c r="EX72" i="3"/>
  <c r="EY72" i="3"/>
  <c r="EZ72" i="3"/>
  <c r="FA72" i="3"/>
  <c r="FB72" i="3"/>
  <c r="FC72" i="3"/>
  <c r="FD72" i="3"/>
  <c r="FE72" i="3"/>
  <c r="FF72" i="3"/>
  <c r="FG72" i="3"/>
  <c r="FH72" i="3"/>
  <c r="FI72" i="3"/>
  <c r="FJ72" i="3"/>
  <c r="FK72" i="3"/>
  <c r="FL72" i="3"/>
  <c r="FM72" i="3"/>
  <c r="FN72" i="3"/>
  <c r="FO72" i="3"/>
  <c r="FP72" i="3"/>
  <c r="FQ72" i="3"/>
  <c r="FR72" i="3"/>
  <c r="FS72" i="3"/>
  <c r="FT72" i="3"/>
  <c r="FU72" i="3"/>
  <c r="FV72" i="3"/>
  <c r="FW72" i="3"/>
  <c r="FX72" i="3"/>
  <c r="FY72" i="3"/>
  <c r="FZ72" i="3"/>
  <c r="GA72" i="3"/>
  <c r="GB72" i="3"/>
  <c r="GC72" i="3"/>
  <c r="GD72" i="3"/>
  <c r="GE72" i="3"/>
  <c r="GF72" i="3"/>
  <c r="GG72" i="3"/>
  <c r="GH72" i="3"/>
  <c r="GI72" i="3"/>
  <c r="GJ72" i="3"/>
  <c r="GK72" i="3"/>
  <c r="GL72" i="3"/>
  <c r="GM72" i="3"/>
  <c r="GN72" i="3"/>
  <c r="GO72" i="3"/>
  <c r="GP72" i="3"/>
  <c r="GQ72" i="3"/>
  <c r="GR72" i="3"/>
  <c r="GS72" i="3"/>
  <c r="GT72" i="3"/>
  <c r="GU72" i="3"/>
  <c r="GV72" i="3"/>
  <c r="GW72" i="3"/>
  <c r="GX72" i="3"/>
  <c r="GY72" i="3"/>
  <c r="GZ72" i="3"/>
  <c r="HA72" i="3"/>
  <c r="HB72" i="3"/>
  <c r="HC72" i="3"/>
  <c r="HD72" i="3"/>
  <c r="HE72" i="3"/>
  <c r="HF72" i="3"/>
  <c r="HG72" i="3"/>
  <c r="HH72" i="3"/>
  <c r="HI72" i="3"/>
  <c r="HJ72" i="3"/>
  <c r="HK72" i="3"/>
  <c r="HL72" i="3"/>
  <c r="HM72" i="3"/>
  <c r="HN72" i="3"/>
  <c r="HO72" i="3"/>
  <c r="HP72" i="3"/>
  <c r="HQ72" i="3"/>
  <c r="HR72" i="3"/>
  <c r="HS72" i="3"/>
  <c r="HT72" i="3"/>
  <c r="HU72" i="3"/>
  <c r="HV72" i="3"/>
  <c r="HW72" i="3"/>
  <c r="HX72" i="3"/>
  <c r="HY72" i="3"/>
  <c r="HZ72" i="3"/>
  <c r="IA72" i="3"/>
  <c r="IB72" i="3"/>
  <c r="IC72" i="3"/>
  <c r="ID72" i="3"/>
  <c r="IE72" i="3"/>
  <c r="IF72" i="3"/>
  <c r="IG72" i="3"/>
  <c r="IH72" i="3"/>
  <c r="II72" i="3"/>
  <c r="IJ72" i="3"/>
  <c r="IK72" i="3"/>
  <c r="IL72" i="3"/>
  <c r="IM72" i="3"/>
  <c r="IN72" i="3"/>
  <c r="IO72" i="3"/>
  <c r="IP72" i="3"/>
  <c r="IQ72" i="3"/>
  <c r="IR72" i="3"/>
  <c r="IS72" i="3"/>
  <c r="IT72" i="3"/>
  <c r="IU72" i="3"/>
  <c r="IV72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DC71" i="3"/>
  <c r="DD71" i="3"/>
  <c r="DE71" i="3"/>
  <c r="DF71" i="3"/>
  <c r="DG71" i="3"/>
  <c r="DH71" i="3"/>
  <c r="DI71" i="3"/>
  <c r="DJ71" i="3"/>
  <c r="DK71" i="3"/>
  <c r="DL71" i="3"/>
  <c r="DM71" i="3"/>
  <c r="DN71" i="3"/>
  <c r="DO71" i="3"/>
  <c r="DP71" i="3"/>
  <c r="DQ71" i="3"/>
  <c r="DR71" i="3"/>
  <c r="DS71" i="3"/>
  <c r="DT71" i="3"/>
  <c r="DU71" i="3"/>
  <c r="DV71" i="3"/>
  <c r="DW71" i="3"/>
  <c r="DX71" i="3"/>
  <c r="DY71" i="3"/>
  <c r="DZ71" i="3"/>
  <c r="EA71" i="3"/>
  <c r="EB71" i="3"/>
  <c r="EC71" i="3"/>
  <c r="ED71" i="3"/>
  <c r="EE71" i="3"/>
  <c r="EF71" i="3"/>
  <c r="EG71" i="3"/>
  <c r="EH71" i="3"/>
  <c r="EI71" i="3"/>
  <c r="EJ71" i="3"/>
  <c r="EK71" i="3"/>
  <c r="EL71" i="3"/>
  <c r="EM71" i="3"/>
  <c r="EN71" i="3"/>
  <c r="EO71" i="3"/>
  <c r="EP71" i="3"/>
  <c r="EQ71" i="3"/>
  <c r="ER71" i="3"/>
  <c r="ES71" i="3"/>
  <c r="ET71" i="3"/>
  <c r="EU71" i="3"/>
  <c r="EV71" i="3"/>
  <c r="EW71" i="3"/>
  <c r="EX71" i="3"/>
  <c r="EY71" i="3"/>
  <c r="EZ71" i="3"/>
  <c r="FA71" i="3"/>
  <c r="FB71" i="3"/>
  <c r="FC71" i="3"/>
  <c r="FD71" i="3"/>
  <c r="FE71" i="3"/>
  <c r="FF71" i="3"/>
  <c r="FG71" i="3"/>
  <c r="FH71" i="3"/>
  <c r="FI71" i="3"/>
  <c r="FJ71" i="3"/>
  <c r="FK71" i="3"/>
  <c r="FL71" i="3"/>
  <c r="FM71" i="3"/>
  <c r="FN71" i="3"/>
  <c r="FO71" i="3"/>
  <c r="FP71" i="3"/>
  <c r="FQ71" i="3"/>
  <c r="FR71" i="3"/>
  <c r="FS71" i="3"/>
  <c r="FT71" i="3"/>
  <c r="FU71" i="3"/>
  <c r="FV71" i="3"/>
  <c r="FW71" i="3"/>
  <c r="FX71" i="3"/>
  <c r="FY71" i="3"/>
  <c r="FZ71" i="3"/>
  <c r="GA71" i="3"/>
  <c r="GB71" i="3"/>
  <c r="GC71" i="3"/>
  <c r="GD71" i="3"/>
  <c r="GE71" i="3"/>
  <c r="GF71" i="3"/>
  <c r="GG71" i="3"/>
  <c r="GH71" i="3"/>
  <c r="GI71" i="3"/>
  <c r="GJ71" i="3"/>
  <c r="GK71" i="3"/>
  <c r="GL71" i="3"/>
  <c r="GM71" i="3"/>
  <c r="GN71" i="3"/>
  <c r="GO71" i="3"/>
  <c r="GP71" i="3"/>
  <c r="GQ71" i="3"/>
  <c r="GR71" i="3"/>
  <c r="GS71" i="3"/>
  <c r="GT71" i="3"/>
  <c r="GU71" i="3"/>
  <c r="GV71" i="3"/>
  <c r="GW71" i="3"/>
  <c r="GX71" i="3"/>
  <c r="GY71" i="3"/>
  <c r="GZ71" i="3"/>
  <c r="HA71" i="3"/>
  <c r="HB71" i="3"/>
  <c r="HC71" i="3"/>
  <c r="HD71" i="3"/>
  <c r="HE71" i="3"/>
  <c r="HF71" i="3"/>
  <c r="HG71" i="3"/>
  <c r="HH71" i="3"/>
  <c r="HI71" i="3"/>
  <c r="HJ71" i="3"/>
  <c r="HK71" i="3"/>
  <c r="HL71" i="3"/>
  <c r="HM71" i="3"/>
  <c r="HN71" i="3"/>
  <c r="HO71" i="3"/>
  <c r="HP71" i="3"/>
  <c r="HQ71" i="3"/>
  <c r="HR71" i="3"/>
  <c r="HS71" i="3"/>
  <c r="HT71" i="3"/>
  <c r="HU71" i="3"/>
  <c r="HV71" i="3"/>
  <c r="HW71" i="3"/>
  <c r="HX71" i="3"/>
  <c r="HY71" i="3"/>
  <c r="HZ71" i="3"/>
  <c r="IA71" i="3"/>
  <c r="IB71" i="3"/>
  <c r="IC71" i="3"/>
  <c r="ID71" i="3"/>
  <c r="IE71" i="3"/>
  <c r="IF71" i="3"/>
  <c r="IG71" i="3"/>
  <c r="IH71" i="3"/>
  <c r="II71" i="3"/>
  <c r="IJ71" i="3"/>
  <c r="IK71" i="3"/>
  <c r="IL71" i="3"/>
  <c r="IM71" i="3"/>
  <c r="IN71" i="3"/>
  <c r="IO71" i="3"/>
  <c r="IP71" i="3"/>
  <c r="IQ71" i="3"/>
  <c r="IR71" i="3"/>
  <c r="IS71" i="3"/>
  <c r="IT71" i="3"/>
  <c r="IU71" i="3"/>
  <c r="IV71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DC70" i="3"/>
  <c r="DD70" i="3"/>
  <c r="DE70" i="3"/>
  <c r="DF70" i="3"/>
  <c r="DG70" i="3"/>
  <c r="DH70" i="3"/>
  <c r="DI70" i="3"/>
  <c r="DJ70" i="3"/>
  <c r="DK70" i="3"/>
  <c r="DL70" i="3"/>
  <c r="DM70" i="3"/>
  <c r="DN70" i="3"/>
  <c r="DO70" i="3"/>
  <c r="DP70" i="3"/>
  <c r="DQ70" i="3"/>
  <c r="DR70" i="3"/>
  <c r="DS70" i="3"/>
  <c r="DT70" i="3"/>
  <c r="DU70" i="3"/>
  <c r="DV70" i="3"/>
  <c r="DW70" i="3"/>
  <c r="DX70" i="3"/>
  <c r="DY70" i="3"/>
  <c r="DZ70" i="3"/>
  <c r="EA70" i="3"/>
  <c r="EB70" i="3"/>
  <c r="EC70" i="3"/>
  <c r="ED70" i="3"/>
  <c r="EE70" i="3"/>
  <c r="EF70" i="3"/>
  <c r="EG70" i="3"/>
  <c r="EH70" i="3"/>
  <c r="EI70" i="3"/>
  <c r="EJ70" i="3"/>
  <c r="EK70" i="3"/>
  <c r="EL70" i="3"/>
  <c r="EM70" i="3"/>
  <c r="EN70" i="3"/>
  <c r="EO70" i="3"/>
  <c r="EP70" i="3"/>
  <c r="EQ70" i="3"/>
  <c r="ER70" i="3"/>
  <c r="ES70" i="3"/>
  <c r="ET70" i="3"/>
  <c r="EU70" i="3"/>
  <c r="EV70" i="3"/>
  <c r="EW70" i="3"/>
  <c r="EX70" i="3"/>
  <c r="EY70" i="3"/>
  <c r="EZ70" i="3"/>
  <c r="FA70" i="3"/>
  <c r="FB70" i="3"/>
  <c r="FC70" i="3"/>
  <c r="FD70" i="3"/>
  <c r="FE70" i="3"/>
  <c r="FF70" i="3"/>
  <c r="FG70" i="3"/>
  <c r="FH70" i="3"/>
  <c r="FI70" i="3"/>
  <c r="FJ70" i="3"/>
  <c r="FK70" i="3"/>
  <c r="FL70" i="3"/>
  <c r="FM70" i="3"/>
  <c r="FN70" i="3"/>
  <c r="FO70" i="3"/>
  <c r="FP70" i="3"/>
  <c r="FQ70" i="3"/>
  <c r="FR70" i="3"/>
  <c r="FS70" i="3"/>
  <c r="FT70" i="3"/>
  <c r="FU70" i="3"/>
  <c r="FV70" i="3"/>
  <c r="FW70" i="3"/>
  <c r="FX70" i="3"/>
  <c r="FY70" i="3"/>
  <c r="FZ70" i="3"/>
  <c r="GA70" i="3"/>
  <c r="GB70" i="3"/>
  <c r="GC70" i="3"/>
  <c r="GD70" i="3"/>
  <c r="GE70" i="3"/>
  <c r="GF70" i="3"/>
  <c r="GG70" i="3"/>
  <c r="GH70" i="3"/>
  <c r="GI70" i="3"/>
  <c r="GJ70" i="3"/>
  <c r="GK70" i="3"/>
  <c r="GL70" i="3"/>
  <c r="GM70" i="3"/>
  <c r="GN70" i="3"/>
  <c r="GO70" i="3"/>
  <c r="GP70" i="3"/>
  <c r="GQ70" i="3"/>
  <c r="GR70" i="3"/>
  <c r="GS70" i="3"/>
  <c r="GT70" i="3"/>
  <c r="GU70" i="3"/>
  <c r="GV70" i="3"/>
  <c r="GW70" i="3"/>
  <c r="GX70" i="3"/>
  <c r="GY70" i="3"/>
  <c r="GZ70" i="3"/>
  <c r="HA70" i="3"/>
  <c r="HB70" i="3"/>
  <c r="HC70" i="3"/>
  <c r="HD70" i="3"/>
  <c r="HE70" i="3"/>
  <c r="HF70" i="3"/>
  <c r="HG70" i="3"/>
  <c r="HH70" i="3"/>
  <c r="HI70" i="3"/>
  <c r="HJ70" i="3"/>
  <c r="HK70" i="3"/>
  <c r="HL70" i="3"/>
  <c r="HM70" i="3"/>
  <c r="HN70" i="3"/>
  <c r="HO70" i="3"/>
  <c r="HP70" i="3"/>
  <c r="HQ70" i="3"/>
  <c r="HR70" i="3"/>
  <c r="HS70" i="3"/>
  <c r="HT70" i="3"/>
  <c r="HU70" i="3"/>
  <c r="HV70" i="3"/>
  <c r="HW70" i="3"/>
  <c r="HX70" i="3"/>
  <c r="HY70" i="3"/>
  <c r="HZ70" i="3"/>
  <c r="IA70" i="3"/>
  <c r="IB70" i="3"/>
  <c r="IC70" i="3"/>
  <c r="ID70" i="3"/>
  <c r="IE70" i="3"/>
  <c r="IF70" i="3"/>
  <c r="IG70" i="3"/>
  <c r="IH70" i="3"/>
  <c r="II70" i="3"/>
  <c r="IJ70" i="3"/>
  <c r="IK70" i="3"/>
  <c r="IL70" i="3"/>
  <c r="IM70" i="3"/>
  <c r="IN70" i="3"/>
  <c r="IO70" i="3"/>
  <c r="IP70" i="3"/>
  <c r="IQ70" i="3"/>
  <c r="IR70" i="3"/>
  <c r="IS70" i="3"/>
  <c r="IT70" i="3"/>
  <c r="IU70" i="3"/>
  <c r="IV70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DC69" i="3"/>
  <c r="DD69" i="3"/>
  <c r="DE69" i="3"/>
  <c r="DF69" i="3"/>
  <c r="DG69" i="3"/>
  <c r="DH69" i="3"/>
  <c r="DI69" i="3"/>
  <c r="DJ69" i="3"/>
  <c r="DK69" i="3"/>
  <c r="DL69" i="3"/>
  <c r="DM69" i="3"/>
  <c r="DN69" i="3"/>
  <c r="DO69" i="3"/>
  <c r="DP69" i="3"/>
  <c r="DQ69" i="3"/>
  <c r="DR69" i="3"/>
  <c r="DS69" i="3"/>
  <c r="DT69" i="3"/>
  <c r="DU69" i="3"/>
  <c r="DV69" i="3"/>
  <c r="DW69" i="3"/>
  <c r="DX69" i="3"/>
  <c r="DY69" i="3"/>
  <c r="DZ69" i="3"/>
  <c r="EA69" i="3"/>
  <c r="EB69" i="3"/>
  <c r="EC69" i="3"/>
  <c r="ED69" i="3"/>
  <c r="EE69" i="3"/>
  <c r="EF69" i="3"/>
  <c r="EG69" i="3"/>
  <c r="EH69" i="3"/>
  <c r="EI69" i="3"/>
  <c r="EJ69" i="3"/>
  <c r="EK69" i="3"/>
  <c r="EL69" i="3"/>
  <c r="EM69" i="3"/>
  <c r="EN69" i="3"/>
  <c r="EO69" i="3"/>
  <c r="EP69" i="3"/>
  <c r="EQ69" i="3"/>
  <c r="ER69" i="3"/>
  <c r="ES69" i="3"/>
  <c r="ET69" i="3"/>
  <c r="EU69" i="3"/>
  <c r="EV69" i="3"/>
  <c r="EW69" i="3"/>
  <c r="EX69" i="3"/>
  <c r="EY69" i="3"/>
  <c r="EZ69" i="3"/>
  <c r="FA69" i="3"/>
  <c r="FB69" i="3"/>
  <c r="FC69" i="3"/>
  <c r="FD69" i="3"/>
  <c r="FE69" i="3"/>
  <c r="FF69" i="3"/>
  <c r="FG69" i="3"/>
  <c r="FH69" i="3"/>
  <c r="FI69" i="3"/>
  <c r="FJ69" i="3"/>
  <c r="FK69" i="3"/>
  <c r="FL69" i="3"/>
  <c r="FM69" i="3"/>
  <c r="FN69" i="3"/>
  <c r="FO69" i="3"/>
  <c r="FP69" i="3"/>
  <c r="FQ69" i="3"/>
  <c r="FR69" i="3"/>
  <c r="FS69" i="3"/>
  <c r="FT69" i="3"/>
  <c r="FU69" i="3"/>
  <c r="FV69" i="3"/>
  <c r="FW69" i="3"/>
  <c r="FX69" i="3"/>
  <c r="FY69" i="3"/>
  <c r="FZ69" i="3"/>
  <c r="GA69" i="3"/>
  <c r="GB69" i="3"/>
  <c r="GC69" i="3"/>
  <c r="GD69" i="3"/>
  <c r="GE69" i="3"/>
  <c r="GF69" i="3"/>
  <c r="GG69" i="3"/>
  <c r="GH69" i="3"/>
  <c r="GI69" i="3"/>
  <c r="GJ69" i="3"/>
  <c r="GK69" i="3"/>
  <c r="GL69" i="3"/>
  <c r="GM69" i="3"/>
  <c r="GN69" i="3"/>
  <c r="GO69" i="3"/>
  <c r="GP69" i="3"/>
  <c r="GQ69" i="3"/>
  <c r="GR69" i="3"/>
  <c r="GS69" i="3"/>
  <c r="GT69" i="3"/>
  <c r="GU69" i="3"/>
  <c r="GV69" i="3"/>
  <c r="GW69" i="3"/>
  <c r="GX69" i="3"/>
  <c r="GY69" i="3"/>
  <c r="GZ69" i="3"/>
  <c r="HA69" i="3"/>
  <c r="HB69" i="3"/>
  <c r="HC69" i="3"/>
  <c r="HD69" i="3"/>
  <c r="HE69" i="3"/>
  <c r="HF69" i="3"/>
  <c r="HG69" i="3"/>
  <c r="HH69" i="3"/>
  <c r="HI69" i="3"/>
  <c r="HJ69" i="3"/>
  <c r="HK69" i="3"/>
  <c r="HL69" i="3"/>
  <c r="HM69" i="3"/>
  <c r="HN69" i="3"/>
  <c r="HO69" i="3"/>
  <c r="HP69" i="3"/>
  <c r="HQ69" i="3"/>
  <c r="HR69" i="3"/>
  <c r="HS69" i="3"/>
  <c r="HT69" i="3"/>
  <c r="HU69" i="3"/>
  <c r="HV69" i="3"/>
  <c r="HW69" i="3"/>
  <c r="HX69" i="3"/>
  <c r="HY69" i="3"/>
  <c r="HZ69" i="3"/>
  <c r="IA69" i="3"/>
  <c r="IB69" i="3"/>
  <c r="IC69" i="3"/>
  <c r="ID69" i="3"/>
  <c r="IE69" i="3"/>
  <c r="IF69" i="3"/>
  <c r="IG69" i="3"/>
  <c r="IH69" i="3"/>
  <c r="II69" i="3"/>
  <c r="IJ69" i="3"/>
  <c r="IK69" i="3"/>
  <c r="IL69" i="3"/>
  <c r="IM69" i="3"/>
  <c r="IN69" i="3"/>
  <c r="IO69" i="3"/>
  <c r="IP69" i="3"/>
  <c r="IQ69" i="3"/>
  <c r="IR69" i="3"/>
  <c r="IS69" i="3"/>
  <c r="IT69" i="3"/>
  <c r="IU69" i="3"/>
  <c r="IV69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DC68" i="3"/>
  <c r="DD68" i="3"/>
  <c r="DE68" i="3"/>
  <c r="DF68" i="3"/>
  <c r="DG68" i="3"/>
  <c r="DH68" i="3"/>
  <c r="DI68" i="3"/>
  <c r="DJ68" i="3"/>
  <c r="DK68" i="3"/>
  <c r="DL68" i="3"/>
  <c r="DM68" i="3"/>
  <c r="DN68" i="3"/>
  <c r="DO68" i="3"/>
  <c r="DP68" i="3"/>
  <c r="DQ68" i="3"/>
  <c r="DR68" i="3"/>
  <c r="DS68" i="3"/>
  <c r="DT68" i="3"/>
  <c r="DU68" i="3"/>
  <c r="DV68" i="3"/>
  <c r="DW68" i="3"/>
  <c r="DX68" i="3"/>
  <c r="DY68" i="3"/>
  <c r="DZ68" i="3"/>
  <c r="EA68" i="3"/>
  <c r="EB68" i="3"/>
  <c r="EC68" i="3"/>
  <c r="ED68" i="3"/>
  <c r="EE68" i="3"/>
  <c r="EF68" i="3"/>
  <c r="EG68" i="3"/>
  <c r="EH68" i="3"/>
  <c r="EI68" i="3"/>
  <c r="EJ68" i="3"/>
  <c r="EK68" i="3"/>
  <c r="EL68" i="3"/>
  <c r="EM68" i="3"/>
  <c r="EN68" i="3"/>
  <c r="EO68" i="3"/>
  <c r="EP68" i="3"/>
  <c r="EQ68" i="3"/>
  <c r="ER68" i="3"/>
  <c r="ES68" i="3"/>
  <c r="ET68" i="3"/>
  <c r="EU68" i="3"/>
  <c r="EV68" i="3"/>
  <c r="EW68" i="3"/>
  <c r="EX68" i="3"/>
  <c r="EY68" i="3"/>
  <c r="EZ68" i="3"/>
  <c r="FA68" i="3"/>
  <c r="FB68" i="3"/>
  <c r="FC68" i="3"/>
  <c r="FD68" i="3"/>
  <c r="FE68" i="3"/>
  <c r="FF68" i="3"/>
  <c r="FG68" i="3"/>
  <c r="FH68" i="3"/>
  <c r="FI68" i="3"/>
  <c r="FJ68" i="3"/>
  <c r="FK68" i="3"/>
  <c r="FL68" i="3"/>
  <c r="FM68" i="3"/>
  <c r="FN68" i="3"/>
  <c r="FO68" i="3"/>
  <c r="FP68" i="3"/>
  <c r="FQ68" i="3"/>
  <c r="FR68" i="3"/>
  <c r="FS68" i="3"/>
  <c r="FT68" i="3"/>
  <c r="FU68" i="3"/>
  <c r="FV68" i="3"/>
  <c r="FW68" i="3"/>
  <c r="FX68" i="3"/>
  <c r="FY68" i="3"/>
  <c r="FZ68" i="3"/>
  <c r="GA68" i="3"/>
  <c r="GB68" i="3"/>
  <c r="GC68" i="3"/>
  <c r="GD68" i="3"/>
  <c r="GE68" i="3"/>
  <c r="GF68" i="3"/>
  <c r="GG68" i="3"/>
  <c r="GH68" i="3"/>
  <c r="GI68" i="3"/>
  <c r="GJ68" i="3"/>
  <c r="GK68" i="3"/>
  <c r="GL68" i="3"/>
  <c r="GM68" i="3"/>
  <c r="GN68" i="3"/>
  <c r="GO68" i="3"/>
  <c r="GP68" i="3"/>
  <c r="GQ68" i="3"/>
  <c r="GR68" i="3"/>
  <c r="GS68" i="3"/>
  <c r="GT68" i="3"/>
  <c r="GU68" i="3"/>
  <c r="GV68" i="3"/>
  <c r="GW68" i="3"/>
  <c r="GX68" i="3"/>
  <c r="GY68" i="3"/>
  <c r="GZ68" i="3"/>
  <c r="HA68" i="3"/>
  <c r="HB68" i="3"/>
  <c r="HC68" i="3"/>
  <c r="HD68" i="3"/>
  <c r="HE68" i="3"/>
  <c r="HF68" i="3"/>
  <c r="HG68" i="3"/>
  <c r="HH68" i="3"/>
  <c r="HI68" i="3"/>
  <c r="HJ68" i="3"/>
  <c r="HK68" i="3"/>
  <c r="HL68" i="3"/>
  <c r="HM68" i="3"/>
  <c r="HN68" i="3"/>
  <c r="HO68" i="3"/>
  <c r="HP68" i="3"/>
  <c r="HQ68" i="3"/>
  <c r="HR68" i="3"/>
  <c r="HS68" i="3"/>
  <c r="HT68" i="3"/>
  <c r="HU68" i="3"/>
  <c r="HV68" i="3"/>
  <c r="HW68" i="3"/>
  <c r="HX68" i="3"/>
  <c r="HY68" i="3"/>
  <c r="HZ68" i="3"/>
  <c r="IA68" i="3"/>
  <c r="IB68" i="3"/>
  <c r="IC68" i="3"/>
  <c r="ID68" i="3"/>
  <c r="IE68" i="3"/>
  <c r="IF68" i="3"/>
  <c r="IG68" i="3"/>
  <c r="IH68" i="3"/>
  <c r="II68" i="3"/>
  <c r="IJ68" i="3"/>
  <c r="IK68" i="3"/>
  <c r="IL68" i="3"/>
  <c r="IM68" i="3"/>
  <c r="IN68" i="3"/>
  <c r="IO68" i="3"/>
  <c r="IP68" i="3"/>
  <c r="IQ68" i="3"/>
  <c r="IR68" i="3"/>
  <c r="IS68" i="3"/>
  <c r="IT68" i="3"/>
  <c r="IU68" i="3"/>
  <c r="IV68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DC67" i="3"/>
  <c r="DD67" i="3"/>
  <c r="DE67" i="3"/>
  <c r="DF67" i="3"/>
  <c r="DG67" i="3"/>
  <c r="DH67" i="3"/>
  <c r="DI67" i="3"/>
  <c r="DJ67" i="3"/>
  <c r="DK67" i="3"/>
  <c r="DL67" i="3"/>
  <c r="DM67" i="3"/>
  <c r="DN67" i="3"/>
  <c r="DO67" i="3"/>
  <c r="DP67" i="3"/>
  <c r="DQ67" i="3"/>
  <c r="DR67" i="3"/>
  <c r="DS67" i="3"/>
  <c r="DT67" i="3"/>
  <c r="DU67" i="3"/>
  <c r="DV67" i="3"/>
  <c r="DW67" i="3"/>
  <c r="DX67" i="3"/>
  <c r="DY67" i="3"/>
  <c r="DZ67" i="3"/>
  <c r="EA67" i="3"/>
  <c r="EB67" i="3"/>
  <c r="EC67" i="3"/>
  <c r="ED67" i="3"/>
  <c r="EE67" i="3"/>
  <c r="EF67" i="3"/>
  <c r="EG67" i="3"/>
  <c r="EH67" i="3"/>
  <c r="EI67" i="3"/>
  <c r="EJ67" i="3"/>
  <c r="EK67" i="3"/>
  <c r="EL67" i="3"/>
  <c r="EM67" i="3"/>
  <c r="EN67" i="3"/>
  <c r="EO67" i="3"/>
  <c r="EP67" i="3"/>
  <c r="EQ67" i="3"/>
  <c r="ER67" i="3"/>
  <c r="ES67" i="3"/>
  <c r="ET67" i="3"/>
  <c r="EU67" i="3"/>
  <c r="EV67" i="3"/>
  <c r="EW67" i="3"/>
  <c r="EX67" i="3"/>
  <c r="EY67" i="3"/>
  <c r="EZ67" i="3"/>
  <c r="FA67" i="3"/>
  <c r="FB67" i="3"/>
  <c r="FC67" i="3"/>
  <c r="FD67" i="3"/>
  <c r="FE67" i="3"/>
  <c r="FF67" i="3"/>
  <c r="FG67" i="3"/>
  <c r="FH67" i="3"/>
  <c r="FI67" i="3"/>
  <c r="FJ67" i="3"/>
  <c r="FK67" i="3"/>
  <c r="FL67" i="3"/>
  <c r="FM67" i="3"/>
  <c r="FN67" i="3"/>
  <c r="FO67" i="3"/>
  <c r="FP67" i="3"/>
  <c r="FQ67" i="3"/>
  <c r="FR67" i="3"/>
  <c r="FS67" i="3"/>
  <c r="FT67" i="3"/>
  <c r="FU67" i="3"/>
  <c r="FV67" i="3"/>
  <c r="FW67" i="3"/>
  <c r="FX67" i="3"/>
  <c r="FY67" i="3"/>
  <c r="FZ67" i="3"/>
  <c r="GA67" i="3"/>
  <c r="GB67" i="3"/>
  <c r="GC67" i="3"/>
  <c r="GD67" i="3"/>
  <c r="GE67" i="3"/>
  <c r="GF67" i="3"/>
  <c r="GG67" i="3"/>
  <c r="GH67" i="3"/>
  <c r="GI67" i="3"/>
  <c r="GJ67" i="3"/>
  <c r="GK67" i="3"/>
  <c r="GL67" i="3"/>
  <c r="GM67" i="3"/>
  <c r="GN67" i="3"/>
  <c r="GO67" i="3"/>
  <c r="GP67" i="3"/>
  <c r="GQ67" i="3"/>
  <c r="GR67" i="3"/>
  <c r="GS67" i="3"/>
  <c r="GT67" i="3"/>
  <c r="GU67" i="3"/>
  <c r="GV67" i="3"/>
  <c r="GW67" i="3"/>
  <c r="GX67" i="3"/>
  <c r="GY67" i="3"/>
  <c r="GZ67" i="3"/>
  <c r="HA67" i="3"/>
  <c r="HB67" i="3"/>
  <c r="HC67" i="3"/>
  <c r="HD67" i="3"/>
  <c r="HE67" i="3"/>
  <c r="HF67" i="3"/>
  <c r="HG67" i="3"/>
  <c r="HH67" i="3"/>
  <c r="HI67" i="3"/>
  <c r="HJ67" i="3"/>
  <c r="HK67" i="3"/>
  <c r="HL67" i="3"/>
  <c r="HM67" i="3"/>
  <c r="HN67" i="3"/>
  <c r="HO67" i="3"/>
  <c r="HP67" i="3"/>
  <c r="HQ67" i="3"/>
  <c r="HR67" i="3"/>
  <c r="HS67" i="3"/>
  <c r="HT67" i="3"/>
  <c r="HU67" i="3"/>
  <c r="HV67" i="3"/>
  <c r="HW67" i="3"/>
  <c r="HX67" i="3"/>
  <c r="HY67" i="3"/>
  <c r="HZ67" i="3"/>
  <c r="IA67" i="3"/>
  <c r="IB67" i="3"/>
  <c r="IC67" i="3"/>
  <c r="ID67" i="3"/>
  <c r="IE67" i="3"/>
  <c r="IF67" i="3"/>
  <c r="IG67" i="3"/>
  <c r="IH67" i="3"/>
  <c r="II67" i="3"/>
  <c r="IJ67" i="3"/>
  <c r="IK67" i="3"/>
  <c r="IL67" i="3"/>
  <c r="IM67" i="3"/>
  <c r="IN67" i="3"/>
  <c r="IO67" i="3"/>
  <c r="IP67" i="3"/>
  <c r="IQ67" i="3"/>
  <c r="IR67" i="3"/>
  <c r="IS67" i="3"/>
  <c r="IT67" i="3"/>
  <c r="IU67" i="3"/>
  <c r="IV67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DC66" i="3"/>
  <c r="DD66" i="3"/>
  <c r="DE66" i="3"/>
  <c r="DF66" i="3"/>
  <c r="DG66" i="3"/>
  <c r="DH66" i="3"/>
  <c r="DI66" i="3"/>
  <c r="DJ66" i="3"/>
  <c r="DK66" i="3"/>
  <c r="DL66" i="3"/>
  <c r="DM66" i="3"/>
  <c r="DN66" i="3"/>
  <c r="DO66" i="3"/>
  <c r="DP66" i="3"/>
  <c r="DQ66" i="3"/>
  <c r="DR66" i="3"/>
  <c r="DS66" i="3"/>
  <c r="DT66" i="3"/>
  <c r="DU66" i="3"/>
  <c r="DV66" i="3"/>
  <c r="DW66" i="3"/>
  <c r="DX66" i="3"/>
  <c r="DY66" i="3"/>
  <c r="DZ66" i="3"/>
  <c r="EA66" i="3"/>
  <c r="EB66" i="3"/>
  <c r="EC66" i="3"/>
  <c r="ED66" i="3"/>
  <c r="EE66" i="3"/>
  <c r="EF66" i="3"/>
  <c r="EG66" i="3"/>
  <c r="EH66" i="3"/>
  <c r="EI66" i="3"/>
  <c r="EJ66" i="3"/>
  <c r="EK66" i="3"/>
  <c r="EL66" i="3"/>
  <c r="EM66" i="3"/>
  <c r="EN66" i="3"/>
  <c r="EO66" i="3"/>
  <c r="EP66" i="3"/>
  <c r="EQ66" i="3"/>
  <c r="ER66" i="3"/>
  <c r="ES66" i="3"/>
  <c r="ET66" i="3"/>
  <c r="EU66" i="3"/>
  <c r="EV66" i="3"/>
  <c r="EW66" i="3"/>
  <c r="EX66" i="3"/>
  <c r="EY66" i="3"/>
  <c r="EZ66" i="3"/>
  <c r="FA66" i="3"/>
  <c r="FB66" i="3"/>
  <c r="FC66" i="3"/>
  <c r="FD66" i="3"/>
  <c r="FE66" i="3"/>
  <c r="FF66" i="3"/>
  <c r="FG66" i="3"/>
  <c r="FH66" i="3"/>
  <c r="FI66" i="3"/>
  <c r="FJ66" i="3"/>
  <c r="FK66" i="3"/>
  <c r="FL66" i="3"/>
  <c r="FM66" i="3"/>
  <c r="FN66" i="3"/>
  <c r="FO66" i="3"/>
  <c r="FP66" i="3"/>
  <c r="FQ66" i="3"/>
  <c r="FR66" i="3"/>
  <c r="FS66" i="3"/>
  <c r="FT66" i="3"/>
  <c r="FU66" i="3"/>
  <c r="FV66" i="3"/>
  <c r="FW66" i="3"/>
  <c r="FX66" i="3"/>
  <c r="FY66" i="3"/>
  <c r="FZ66" i="3"/>
  <c r="GA66" i="3"/>
  <c r="GB66" i="3"/>
  <c r="GC66" i="3"/>
  <c r="GD66" i="3"/>
  <c r="GE66" i="3"/>
  <c r="GF66" i="3"/>
  <c r="GG66" i="3"/>
  <c r="GH66" i="3"/>
  <c r="GI66" i="3"/>
  <c r="GJ66" i="3"/>
  <c r="GK66" i="3"/>
  <c r="GL66" i="3"/>
  <c r="GM66" i="3"/>
  <c r="GN66" i="3"/>
  <c r="GO66" i="3"/>
  <c r="GP66" i="3"/>
  <c r="GQ66" i="3"/>
  <c r="GR66" i="3"/>
  <c r="GS66" i="3"/>
  <c r="GT66" i="3"/>
  <c r="GU66" i="3"/>
  <c r="GV66" i="3"/>
  <c r="GW66" i="3"/>
  <c r="GX66" i="3"/>
  <c r="GY66" i="3"/>
  <c r="GZ66" i="3"/>
  <c r="HA66" i="3"/>
  <c r="HB66" i="3"/>
  <c r="HC66" i="3"/>
  <c r="HD66" i="3"/>
  <c r="HE66" i="3"/>
  <c r="HF66" i="3"/>
  <c r="HG66" i="3"/>
  <c r="HH66" i="3"/>
  <c r="HI66" i="3"/>
  <c r="HJ66" i="3"/>
  <c r="HK66" i="3"/>
  <c r="HL66" i="3"/>
  <c r="HM66" i="3"/>
  <c r="HN66" i="3"/>
  <c r="HO66" i="3"/>
  <c r="HP66" i="3"/>
  <c r="HQ66" i="3"/>
  <c r="HR66" i="3"/>
  <c r="HS66" i="3"/>
  <c r="HT66" i="3"/>
  <c r="HU66" i="3"/>
  <c r="HV66" i="3"/>
  <c r="HW66" i="3"/>
  <c r="HX66" i="3"/>
  <c r="HY66" i="3"/>
  <c r="HZ66" i="3"/>
  <c r="IA66" i="3"/>
  <c r="IB66" i="3"/>
  <c r="IC66" i="3"/>
  <c r="ID66" i="3"/>
  <c r="IE66" i="3"/>
  <c r="IF66" i="3"/>
  <c r="IG66" i="3"/>
  <c r="IH66" i="3"/>
  <c r="II66" i="3"/>
  <c r="IJ66" i="3"/>
  <c r="IK66" i="3"/>
  <c r="IL66" i="3"/>
  <c r="IM66" i="3"/>
  <c r="IN66" i="3"/>
  <c r="IO66" i="3"/>
  <c r="IP66" i="3"/>
  <c r="IQ66" i="3"/>
  <c r="IR66" i="3"/>
  <c r="IS66" i="3"/>
  <c r="IT66" i="3"/>
  <c r="IU66" i="3"/>
  <c r="IV66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DC65" i="3"/>
  <c r="DD65" i="3"/>
  <c r="DE65" i="3"/>
  <c r="DF65" i="3"/>
  <c r="DG65" i="3"/>
  <c r="DH65" i="3"/>
  <c r="DI65" i="3"/>
  <c r="DJ65" i="3"/>
  <c r="DK65" i="3"/>
  <c r="DL65" i="3"/>
  <c r="DM65" i="3"/>
  <c r="DN65" i="3"/>
  <c r="DO65" i="3"/>
  <c r="DP65" i="3"/>
  <c r="DQ65" i="3"/>
  <c r="DR65" i="3"/>
  <c r="DS65" i="3"/>
  <c r="DT65" i="3"/>
  <c r="DU65" i="3"/>
  <c r="DV65" i="3"/>
  <c r="DW65" i="3"/>
  <c r="DX65" i="3"/>
  <c r="DY65" i="3"/>
  <c r="DZ65" i="3"/>
  <c r="EA65" i="3"/>
  <c r="EB65" i="3"/>
  <c r="EC65" i="3"/>
  <c r="ED65" i="3"/>
  <c r="EE65" i="3"/>
  <c r="EF65" i="3"/>
  <c r="EG65" i="3"/>
  <c r="EH65" i="3"/>
  <c r="EI65" i="3"/>
  <c r="EJ65" i="3"/>
  <c r="EK65" i="3"/>
  <c r="EL65" i="3"/>
  <c r="EM65" i="3"/>
  <c r="EN65" i="3"/>
  <c r="EO65" i="3"/>
  <c r="EP65" i="3"/>
  <c r="EQ65" i="3"/>
  <c r="ER65" i="3"/>
  <c r="ES65" i="3"/>
  <c r="ET65" i="3"/>
  <c r="EU65" i="3"/>
  <c r="EV65" i="3"/>
  <c r="EW65" i="3"/>
  <c r="EX65" i="3"/>
  <c r="EY65" i="3"/>
  <c r="EZ65" i="3"/>
  <c r="FA65" i="3"/>
  <c r="FB65" i="3"/>
  <c r="FC65" i="3"/>
  <c r="FD65" i="3"/>
  <c r="FE65" i="3"/>
  <c r="FF65" i="3"/>
  <c r="FG65" i="3"/>
  <c r="FH65" i="3"/>
  <c r="FI65" i="3"/>
  <c r="FJ65" i="3"/>
  <c r="FK65" i="3"/>
  <c r="FL65" i="3"/>
  <c r="FM65" i="3"/>
  <c r="FN65" i="3"/>
  <c r="FO65" i="3"/>
  <c r="FP65" i="3"/>
  <c r="FQ65" i="3"/>
  <c r="FR65" i="3"/>
  <c r="FS65" i="3"/>
  <c r="FT65" i="3"/>
  <c r="FU65" i="3"/>
  <c r="FV65" i="3"/>
  <c r="FW65" i="3"/>
  <c r="FX65" i="3"/>
  <c r="FY65" i="3"/>
  <c r="FZ65" i="3"/>
  <c r="GA65" i="3"/>
  <c r="GB65" i="3"/>
  <c r="GC65" i="3"/>
  <c r="GD65" i="3"/>
  <c r="GE65" i="3"/>
  <c r="GF65" i="3"/>
  <c r="GG65" i="3"/>
  <c r="GH65" i="3"/>
  <c r="GI65" i="3"/>
  <c r="GJ65" i="3"/>
  <c r="GK65" i="3"/>
  <c r="GL65" i="3"/>
  <c r="GM65" i="3"/>
  <c r="GN65" i="3"/>
  <c r="GO65" i="3"/>
  <c r="GP65" i="3"/>
  <c r="GQ65" i="3"/>
  <c r="GR65" i="3"/>
  <c r="GS65" i="3"/>
  <c r="GT65" i="3"/>
  <c r="GU65" i="3"/>
  <c r="GV65" i="3"/>
  <c r="GW65" i="3"/>
  <c r="GX65" i="3"/>
  <c r="GY65" i="3"/>
  <c r="GZ65" i="3"/>
  <c r="HA65" i="3"/>
  <c r="HB65" i="3"/>
  <c r="HC65" i="3"/>
  <c r="HD65" i="3"/>
  <c r="HE65" i="3"/>
  <c r="HF65" i="3"/>
  <c r="HG65" i="3"/>
  <c r="HH65" i="3"/>
  <c r="HI65" i="3"/>
  <c r="HJ65" i="3"/>
  <c r="HK65" i="3"/>
  <c r="HL65" i="3"/>
  <c r="HM65" i="3"/>
  <c r="HN65" i="3"/>
  <c r="HO65" i="3"/>
  <c r="HP65" i="3"/>
  <c r="HQ65" i="3"/>
  <c r="HR65" i="3"/>
  <c r="HS65" i="3"/>
  <c r="HT65" i="3"/>
  <c r="HU65" i="3"/>
  <c r="HV65" i="3"/>
  <c r="HW65" i="3"/>
  <c r="HX65" i="3"/>
  <c r="HY65" i="3"/>
  <c r="HZ65" i="3"/>
  <c r="IA65" i="3"/>
  <c r="IB65" i="3"/>
  <c r="IC65" i="3"/>
  <c r="ID65" i="3"/>
  <c r="IE65" i="3"/>
  <c r="IF65" i="3"/>
  <c r="IG65" i="3"/>
  <c r="IH65" i="3"/>
  <c r="II65" i="3"/>
  <c r="IJ65" i="3"/>
  <c r="IK65" i="3"/>
  <c r="IL65" i="3"/>
  <c r="IM65" i="3"/>
  <c r="IN65" i="3"/>
  <c r="IO65" i="3"/>
  <c r="IP65" i="3"/>
  <c r="IQ65" i="3"/>
  <c r="IR65" i="3"/>
  <c r="IS65" i="3"/>
  <c r="IT65" i="3"/>
  <c r="IU65" i="3"/>
  <c r="IV65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DC64" i="3"/>
  <c r="DD64" i="3"/>
  <c r="DE64" i="3"/>
  <c r="DF64" i="3"/>
  <c r="DG64" i="3"/>
  <c r="DH64" i="3"/>
  <c r="DI64" i="3"/>
  <c r="DJ64" i="3"/>
  <c r="DK64" i="3"/>
  <c r="DL64" i="3"/>
  <c r="DM64" i="3"/>
  <c r="DN64" i="3"/>
  <c r="DO64" i="3"/>
  <c r="DP64" i="3"/>
  <c r="DQ64" i="3"/>
  <c r="DR64" i="3"/>
  <c r="DS64" i="3"/>
  <c r="DT64" i="3"/>
  <c r="DU64" i="3"/>
  <c r="DV64" i="3"/>
  <c r="DW64" i="3"/>
  <c r="DX64" i="3"/>
  <c r="DY64" i="3"/>
  <c r="DZ64" i="3"/>
  <c r="EA64" i="3"/>
  <c r="EB64" i="3"/>
  <c r="EC64" i="3"/>
  <c r="ED64" i="3"/>
  <c r="EE64" i="3"/>
  <c r="EF64" i="3"/>
  <c r="EG64" i="3"/>
  <c r="EH64" i="3"/>
  <c r="EI64" i="3"/>
  <c r="EJ64" i="3"/>
  <c r="EK64" i="3"/>
  <c r="EL64" i="3"/>
  <c r="EM64" i="3"/>
  <c r="EN64" i="3"/>
  <c r="EO64" i="3"/>
  <c r="EP64" i="3"/>
  <c r="EQ64" i="3"/>
  <c r="ER64" i="3"/>
  <c r="ES64" i="3"/>
  <c r="ET64" i="3"/>
  <c r="EU64" i="3"/>
  <c r="EV64" i="3"/>
  <c r="EW64" i="3"/>
  <c r="EX64" i="3"/>
  <c r="EY64" i="3"/>
  <c r="EZ64" i="3"/>
  <c r="FA64" i="3"/>
  <c r="FB64" i="3"/>
  <c r="FC64" i="3"/>
  <c r="FD64" i="3"/>
  <c r="FE64" i="3"/>
  <c r="FF64" i="3"/>
  <c r="FG64" i="3"/>
  <c r="FH64" i="3"/>
  <c r="FI64" i="3"/>
  <c r="FJ64" i="3"/>
  <c r="FK64" i="3"/>
  <c r="FL64" i="3"/>
  <c r="FM64" i="3"/>
  <c r="FN64" i="3"/>
  <c r="FO64" i="3"/>
  <c r="FP64" i="3"/>
  <c r="FQ64" i="3"/>
  <c r="FR64" i="3"/>
  <c r="FS64" i="3"/>
  <c r="FT64" i="3"/>
  <c r="FU64" i="3"/>
  <c r="FV64" i="3"/>
  <c r="FW64" i="3"/>
  <c r="FX64" i="3"/>
  <c r="FY64" i="3"/>
  <c r="FZ64" i="3"/>
  <c r="GA64" i="3"/>
  <c r="GB64" i="3"/>
  <c r="GC64" i="3"/>
  <c r="GD64" i="3"/>
  <c r="GE64" i="3"/>
  <c r="GF64" i="3"/>
  <c r="GG64" i="3"/>
  <c r="GH64" i="3"/>
  <c r="GI64" i="3"/>
  <c r="GJ64" i="3"/>
  <c r="GK64" i="3"/>
  <c r="GL64" i="3"/>
  <c r="GM64" i="3"/>
  <c r="GN64" i="3"/>
  <c r="GO64" i="3"/>
  <c r="GP64" i="3"/>
  <c r="GQ64" i="3"/>
  <c r="GR64" i="3"/>
  <c r="GS64" i="3"/>
  <c r="GT64" i="3"/>
  <c r="GU64" i="3"/>
  <c r="GV64" i="3"/>
  <c r="GW64" i="3"/>
  <c r="GX64" i="3"/>
  <c r="GY64" i="3"/>
  <c r="GZ64" i="3"/>
  <c r="HA64" i="3"/>
  <c r="HB64" i="3"/>
  <c r="HC64" i="3"/>
  <c r="HD64" i="3"/>
  <c r="HE64" i="3"/>
  <c r="HF64" i="3"/>
  <c r="HG64" i="3"/>
  <c r="HH64" i="3"/>
  <c r="HI64" i="3"/>
  <c r="HJ64" i="3"/>
  <c r="HK64" i="3"/>
  <c r="HL64" i="3"/>
  <c r="HM64" i="3"/>
  <c r="HN64" i="3"/>
  <c r="HO64" i="3"/>
  <c r="HP64" i="3"/>
  <c r="HQ64" i="3"/>
  <c r="HR64" i="3"/>
  <c r="HS64" i="3"/>
  <c r="HT64" i="3"/>
  <c r="HU64" i="3"/>
  <c r="HV64" i="3"/>
  <c r="HW64" i="3"/>
  <c r="HX64" i="3"/>
  <c r="HY64" i="3"/>
  <c r="HZ64" i="3"/>
  <c r="IA64" i="3"/>
  <c r="IB64" i="3"/>
  <c r="IC64" i="3"/>
  <c r="ID64" i="3"/>
  <c r="IE64" i="3"/>
  <c r="IF64" i="3"/>
  <c r="IG64" i="3"/>
  <c r="IH64" i="3"/>
  <c r="II64" i="3"/>
  <c r="IJ64" i="3"/>
  <c r="IK64" i="3"/>
  <c r="IL64" i="3"/>
  <c r="IM64" i="3"/>
  <c r="IN64" i="3"/>
  <c r="IO64" i="3"/>
  <c r="IP64" i="3"/>
  <c r="IQ64" i="3"/>
  <c r="IR64" i="3"/>
  <c r="IS64" i="3"/>
  <c r="IT64" i="3"/>
  <c r="IU64" i="3"/>
  <c r="IV64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DC63" i="3"/>
  <c r="DD63" i="3"/>
  <c r="DE63" i="3"/>
  <c r="DF63" i="3"/>
  <c r="DG63" i="3"/>
  <c r="DH63" i="3"/>
  <c r="DI63" i="3"/>
  <c r="DJ63" i="3"/>
  <c r="DK63" i="3"/>
  <c r="DL63" i="3"/>
  <c r="DM63" i="3"/>
  <c r="DN63" i="3"/>
  <c r="DO63" i="3"/>
  <c r="DP63" i="3"/>
  <c r="DQ63" i="3"/>
  <c r="DR63" i="3"/>
  <c r="DS63" i="3"/>
  <c r="DT63" i="3"/>
  <c r="DU63" i="3"/>
  <c r="DV63" i="3"/>
  <c r="DW63" i="3"/>
  <c r="DX63" i="3"/>
  <c r="DY63" i="3"/>
  <c r="DZ63" i="3"/>
  <c r="EA63" i="3"/>
  <c r="EB63" i="3"/>
  <c r="EC63" i="3"/>
  <c r="ED63" i="3"/>
  <c r="EE63" i="3"/>
  <c r="EF63" i="3"/>
  <c r="EG63" i="3"/>
  <c r="EH63" i="3"/>
  <c r="EI63" i="3"/>
  <c r="EJ63" i="3"/>
  <c r="EK63" i="3"/>
  <c r="EL63" i="3"/>
  <c r="EM63" i="3"/>
  <c r="EN63" i="3"/>
  <c r="EO63" i="3"/>
  <c r="EP63" i="3"/>
  <c r="EQ63" i="3"/>
  <c r="ER63" i="3"/>
  <c r="ES63" i="3"/>
  <c r="ET63" i="3"/>
  <c r="EU63" i="3"/>
  <c r="EV63" i="3"/>
  <c r="EW63" i="3"/>
  <c r="EX63" i="3"/>
  <c r="EY63" i="3"/>
  <c r="EZ63" i="3"/>
  <c r="FA63" i="3"/>
  <c r="FB63" i="3"/>
  <c r="FC63" i="3"/>
  <c r="FD63" i="3"/>
  <c r="FE63" i="3"/>
  <c r="FF63" i="3"/>
  <c r="FG63" i="3"/>
  <c r="FH63" i="3"/>
  <c r="FI63" i="3"/>
  <c r="FJ63" i="3"/>
  <c r="FK63" i="3"/>
  <c r="FL63" i="3"/>
  <c r="FM63" i="3"/>
  <c r="FN63" i="3"/>
  <c r="FO63" i="3"/>
  <c r="FP63" i="3"/>
  <c r="FQ63" i="3"/>
  <c r="FR63" i="3"/>
  <c r="FS63" i="3"/>
  <c r="FT63" i="3"/>
  <c r="FU63" i="3"/>
  <c r="FV63" i="3"/>
  <c r="FW63" i="3"/>
  <c r="FX63" i="3"/>
  <c r="FY63" i="3"/>
  <c r="FZ63" i="3"/>
  <c r="GA63" i="3"/>
  <c r="GB63" i="3"/>
  <c r="GC63" i="3"/>
  <c r="GD63" i="3"/>
  <c r="GE63" i="3"/>
  <c r="GF63" i="3"/>
  <c r="GG63" i="3"/>
  <c r="GH63" i="3"/>
  <c r="GI63" i="3"/>
  <c r="GJ63" i="3"/>
  <c r="GK63" i="3"/>
  <c r="GL63" i="3"/>
  <c r="GM63" i="3"/>
  <c r="GN63" i="3"/>
  <c r="GO63" i="3"/>
  <c r="GP63" i="3"/>
  <c r="GQ63" i="3"/>
  <c r="GR63" i="3"/>
  <c r="GS63" i="3"/>
  <c r="GT63" i="3"/>
  <c r="GU63" i="3"/>
  <c r="GV63" i="3"/>
  <c r="GW63" i="3"/>
  <c r="GX63" i="3"/>
  <c r="GY63" i="3"/>
  <c r="GZ63" i="3"/>
  <c r="HA63" i="3"/>
  <c r="HB63" i="3"/>
  <c r="HC63" i="3"/>
  <c r="HD63" i="3"/>
  <c r="HE63" i="3"/>
  <c r="HF63" i="3"/>
  <c r="HG63" i="3"/>
  <c r="HH63" i="3"/>
  <c r="HI63" i="3"/>
  <c r="HJ63" i="3"/>
  <c r="HK63" i="3"/>
  <c r="HL63" i="3"/>
  <c r="HM63" i="3"/>
  <c r="HN63" i="3"/>
  <c r="HO63" i="3"/>
  <c r="HP63" i="3"/>
  <c r="HQ63" i="3"/>
  <c r="HR63" i="3"/>
  <c r="HS63" i="3"/>
  <c r="HT63" i="3"/>
  <c r="HU63" i="3"/>
  <c r="HV63" i="3"/>
  <c r="HW63" i="3"/>
  <c r="HX63" i="3"/>
  <c r="HY63" i="3"/>
  <c r="HZ63" i="3"/>
  <c r="IA63" i="3"/>
  <c r="IB63" i="3"/>
  <c r="IC63" i="3"/>
  <c r="ID63" i="3"/>
  <c r="IE63" i="3"/>
  <c r="IF63" i="3"/>
  <c r="IG63" i="3"/>
  <c r="IH63" i="3"/>
  <c r="II63" i="3"/>
  <c r="IJ63" i="3"/>
  <c r="IK63" i="3"/>
  <c r="IL63" i="3"/>
  <c r="IM63" i="3"/>
  <c r="IN63" i="3"/>
  <c r="IO63" i="3"/>
  <c r="IP63" i="3"/>
  <c r="IQ63" i="3"/>
  <c r="IR63" i="3"/>
  <c r="IS63" i="3"/>
  <c r="IT63" i="3"/>
  <c r="IU63" i="3"/>
  <c r="IV63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DC62" i="3"/>
  <c r="DD62" i="3"/>
  <c r="DE62" i="3"/>
  <c r="DF62" i="3"/>
  <c r="DG62" i="3"/>
  <c r="DH62" i="3"/>
  <c r="DI62" i="3"/>
  <c r="DJ62" i="3"/>
  <c r="DK62" i="3"/>
  <c r="DL62" i="3"/>
  <c r="DM62" i="3"/>
  <c r="DN62" i="3"/>
  <c r="DO62" i="3"/>
  <c r="DP62" i="3"/>
  <c r="DQ62" i="3"/>
  <c r="DR62" i="3"/>
  <c r="DS62" i="3"/>
  <c r="DT62" i="3"/>
  <c r="DU62" i="3"/>
  <c r="DV62" i="3"/>
  <c r="DW62" i="3"/>
  <c r="DX62" i="3"/>
  <c r="DY62" i="3"/>
  <c r="DZ62" i="3"/>
  <c r="EA62" i="3"/>
  <c r="EB62" i="3"/>
  <c r="EC62" i="3"/>
  <c r="ED62" i="3"/>
  <c r="EE62" i="3"/>
  <c r="EF62" i="3"/>
  <c r="EG62" i="3"/>
  <c r="EH62" i="3"/>
  <c r="EI62" i="3"/>
  <c r="EJ62" i="3"/>
  <c r="EK62" i="3"/>
  <c r="EL62" i="3"/>
  <c r="EM62" i="3"/>
  <c r="EN62" i="3"/>
  <c r="EO62" i="3"/>
  <c r="EP62" i="3"/>
  <c r="EQ62" i="3"/>
  <c r="ER62" i="3"/>
  <c r="ES62" i="3"/>
  <c r="ET62" i="3"/>
  <c r="EU62" i="3"/>
  <c r="EV62" i="3"/>
  <c r="EW62" i="3"/>
  <c r="EX62" i="3"/>
  <c r="EY62" i="3"/>
  <c r="EZ62" i="3"/>
  <c r="FA62" i="3"/>
  <c r="FB62" i="3"/>
  <c r="FC62" i="3"/>
  <c r="FD62" i="3"/>
  <c r="FE62" i="3"/>
  <c r="FF62" i="3"/>
  <c r="FG62" i="3"/>
  <c r="FH62" i="3"/>
  <c r="FI62" i="3"/>
  <c r="FJ62" i="3"/>
  <c r="FK62" i="3"/>
  <c r="FL62" i="3"/>
  <c r="FM62" i="3"/>
  <c r="FN62" i="3"/>
  <c r="FO62" i="3"/>
  <c r="FP62" i="3"/>
  <c r="FQ62" i="3"/>
  <c r="FR62" i="3"/>
  <c r="FS62" i="3"/>
  <c r="FT62" i="3"/>
  <c r="FU62" i="3"/>
  <c r="FV62" i="3"/>
  <c r="FW62" i="3"/>
  <c r="FX62" i="3"/>
  <c r="FY62" i="3"/>
  <c r="FZ62" i="3"/>
  <c r="GA62" i="3"/>
  <c r="GB62" i="3"/>
  <c r="GC62" i="3"/>
  <c r="GD62" i="3"/>
  <c r="GE62" i="3"/>
  <c r="GF62" i="3"/>
  <c r="GG62" i="3"/>
  <c r="GH62" i="3"/>
  <c r="GI62" i="3"/>
  <c r="GJ62" i="3"/>
  <c r="GK62" i="3"/>
  <c r="GL62" i="3"/>
  <c r="GM62" i="3"/>
  <c r="GN62" i="3"/>
  <c r="GO62" i="3"/>
  <c r="GP62" i="3"/>
  <c r="GQ62" i="3"/>
  <c r="GR62" i="3"/>
  <c r="GS62" i="3"/>
  <c r="GT62" i="3"/>
  <c r="GU62" i="3"/>
  <c r="GV62" i="3"/>
  <c r="GW62" i="3"/>
  <c r="GX62" i="3"/>
  <c r="GY62" i="3"/>
  <c r="GZ62" i="3"/>
  <c r="HA62" i="3"/>
  <c r="HB62" i="3"/>
  <c r="HC62" i="3"/>
  <c r="HD62" i="3"/>
  <c r="HE62" i="3"/>
  <c r="HF62" i="3"/>
  <c r="HG62" i="3"/>
  <c r="HH62" i="3"/>
  <c r="HI62" i="3"/>
  <c r="HJ62" i="3"/>
  <c r="HK62" i="3"/>
  <c r="HL62" i="3"/>
  <c r="HM62" i="3"/>
  <c r="HN62" i="3"/>
  <c r="HO62" i="3"/>
  <c r="HP62" i="3"/>
  <c r="HQ62" i="3"/>
  <c r="HR62" i="3"/>
  <c r="HS62" i="3"/>
  <c r="HT62" i="3"/>
  <c r="HU62" i="3"/>
  <c r="HV62" i="3"/>
  <c r="HW62" i="3"/>
  <c r="HX62" i="3"/>
  <c r="HY62" i="3"/>
  <c r="HZ62" i="3"/>
  <c r="IA62" i="3"/>
  <c r="IB62" i="3"/>
  <c r="IC62" i="3"/>
  <c r="ID62" i="3"/>
  <c r="IE62" i="3"/>
  <c r="IF62" i="3"/>
  <c r="IG62" i="3"/>
  <c r="IH62" i="3"/>
  <c r="II62" i="3"/>
  <c r="IJ62" i="3"/>
  <c r="IK62" i="3"/>
  <c r="IL62" i="3"/>
  <c r="IM62" i="3"/>
  <c r="IN62" i="3"/>
  <c r="IO62" i="3"/>
  <c r="IP62" i="3"/>
  <c r="IQ62" i="3"/>
  <c r="IR62" i="3"/>
  <c r="IS62" i="3"/>
  <c r="IT62" i="3"/>
  <c r="IU62" i="3"/>
  <c r="IV62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DC61" i="3"/>
  <c r="DD61" i="3"/>
  <c r="DE61" i="3"/>
  <c r="DF61" i="3"/>
  <c r="DG61" i="3"/>
  <c r="DH61" i="3"/>
  <c r="DI61" i="3"/>
  <c r="DJ61" i="3"/>
  <c r="DK61" i="3"/>
  <c r="DL61" i="3"/>
  <c r="DM61" i="3"/>
  <c r="DN61" i="3"/>
  <c r="DO61" i="3"/>
  <c r="DP61" i="3"/>
  <c r="DQ61" i="3"/>
  <c r="DR61" i="3"/>
  <c r="DS61" i="3"/>
  <c r="DT61" i="3"/>
  <c r="DU61" i="3"/>
  <c r="DV61" i="3"/>
  <c r="DW61" i="3"/>
  <c r="DX61" i="3"/>
  <c r="DY61" i="3"/>
  <c r="DZ61" i="3"/>
  <c r="EA61" i="3"/>
  <c r="EB61" i="3"/>
  <c r="EC61" i="3"/>
  <c r="ED61" i="3"/>
  <c r="EE61" i="3"/>
  <c r="EF61" i="3"/>
  <c r="EG61" i="3"/>
  <c r="EH61" i="3"/>
  <c r="EI61" i="3"/>
  <c r="EJ61" i="3"/>
  <c r="EK61" i="3"/>
  <c r="EL61" i="3"/>
  <c r="EM61" i="3"/>
  <c r="EN61" i="3"/>
  <c r="EO61" i="3"/>
  <c r="EP61" i="3"/>
  <c r="EQ61" i="3"/>
  <c r="ER61" i="3"/>
  <c r="ES61" i="3"/>
  <c r="ET61" i="3"/>
  <c r="EU61" i="3"/>
  <c r="EV61" i="3"/>
  <c r="EW61" i="3"/>
  <c r="EX61" i="3"/>
  <c r="EY61" i="3"/>
  <c r="EZ61" i="3"/>
  <c r="FA61" i="3"/>
  <c r="FB61" i="3"/>
  <c r="FC61" i="3"/>
  <c r="FD61" i="3"/>
  <c r="FE61" i="3"/>
  <c r="FF61" i="3"/>
  <c r="FG61" i="3"/>
  <c r="FH61" i="3"/>
  <c r="FI61" i="3"/>
  <c r="FJ61" i="3"/>
  <c r="FK61" i="3"/>
  <c r="FL61" i="3"/>
  <c r="FM61" i="3"/>
  <c r="FN61" i="3"/>
  <c r="FO61" i="3"/>
  <c r="FP61" i="3"/>
  <c r="FQ61" i="3"/>
  <c r="FR61" i="3"/>
  <c r="FS61" i="3"/>
  <c r="FT61" i="3"/>
  <c r="FU61" i="3"/>
  <c r="FV61" i="3"/>
  <c r="FW61" i="3"/>
  <c r="FX61" i="3"/>
  <c r="FY61" i="3"/>
  <c r="FZ61" i="3"/>
  <c r="GA61" i="3"/>
  <c r="GB61" i="3"/>
  <c r="GC61" i="3"/>
  <c r="GD61" i="3"/>
  <c r="GE61" i="3"/>
  <c r="GF61" i="3"/>
  <c r="GG61" i="3"/>
  <c r="GH61" i="3"/>
  <c r="GI61" i="3"/>
  <c r="GJ61" i="3"/>
  <c r="GK61" i="3"/>
  <c r="GL61" i="3"/>
  <c r="GM61" i="3"/>
  <c r="GN61" i="3"/>
  <c r="GO61" i="3"/>
  <c r="GP61" i="3"/>
  <c r="GQ61" i="3"/>
  <c r="GR61" i="3"/>
  <c r="GS61" i="3"/>
  <c r="GT61" i="3"/>
  <c r="GU61" i="3"/>
  <c r="GV61" i="3"/>
  <c r="GW61" i="3"/>
  <c r="GX61" i="3"/>
  <c r="GY61" i="3"/>
  <c r="GZ61" i="3"/>
  <c r="HA61" i="3"/>
  <c r="HB61" i="3"/>
  <c r="HC61" i="3"/>
  <c r="HD61" i="3"/>
  <c r="HE61" i="3"/>
  <c r="HF61" i="3"/>
  <c r="HG61" i="3"/>
  <c r="HH61" i="3"/>
  <c r="HI61" i="3"/>
  <c r="HJ61" i="3"/>
  <c r="HK61" i="3"/>
  <c r="HL61" i="3"/>
  <c r="HM61" i="3"/>
  <c r="HN61" i="3"/>
  <c r="HO61" i="3"/>
  <c r="HP61" i="3"/>
  <c r="HQ61" i="3"/>
  <c r="HR61" i="3"/>
  <c r="HS61" i="3"/>
  <c r="HT61" i="3"/>
  <c r="HU61" i="3"/>
  <c r="HV61" i="3"/>
  <c r="HW61" i="3"/>
  <c r="HX61" i="3"/>
  <c r="HY61" i="3"/>
  <c r="HZ61" i="3"/>
  <c r="IA61" i="3"/>
  <c r="IB61" i="3"/>
  <c r="IC61" i="3"/>
  <c r="ID61" i="3"/>
  <c r="IE61" i="3"/>
  <c r="IF61" i="3"/>
  <c r="IG61" i="3"/>
  <c r="IH61" i="3"/>
  <c r="II61" i="3"/>
  <c r="IJ61" i="3"/>
  <c r="IK61" i="3"/>
  <c r="IL61" i="3"/>
  <c r="IM61" i="3"/>
  <c r="IN61" i="3"/>
  <c r="IO61" i="3"/>
  <c r="IP61" i="3"/>
  <c r="IQ61" i="3"/>
  <c r="IR61" i="3"/>
  <c r="IS61" i="3"/>
  <c r="IT61" i="3"/>
  <c r="IU61" i="3"/>
  <c r="IV61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DC60" i="3"/>
  <c r="DD60" i="3"/>
  <c r="DE60" i="3"/>
  <c r="DF60" i="3"/>
  <c r="DG60" i="3"/>
  <c r="DH60" i="3"/>
  <c r="DI60" i="3"/>
  <c r="DJ60" i="3"/>
  <c r="DK60" i="3"/>
  <c r="DL60" i="3"/>
  <c r="DM60" i="3"/>
  <c r="DN60" i="3"/>
  <c r="DO60" i="3"/>
  <c r="DP60" i="3"/>
  <c r="DQ60" i="3"/>
  <c r="DR60" i="3"/>
  <c r="DS60" i="3"/>
  <c r="DT60" i="3"/>
  <c r="DU60" i="3"/>
  <c r="DV60" i="3"/>
  <c r="DW60" i="3"/>
  <c r="DX60" i="3"/>
  <c r="DY60" i="3"/>
  <c r="DZ60" i="3"/>
  <c r="EA60" i="3"/>
  <c r="EB60" i="3"/>
  <c r="EC60" i="3"/>
  <c r="ED60" i="3"/>
  <c r="EE60" i="3"/>
  <c r="EF60" i="3"/>
  <c r="EG60" i="3"/>
  <c r="EH60" i="3"/>
  <c r="EI60" i="3"/>
  <c r="EJ60" i="3"/>
  <c r="EK60" i="3"/>
  <c r="EL60" i="3"/>
  <c r="EM60" i="3"/>
  <c r="EN60" i="3"/>
  <c r="EO60" i="3"/>
  <c r="EP60" i="3"/>
  <c r="EQ60" i="3"/>
  <c r="ER60" i="3"/>
  <c r="ES60" i="3"/>
  <c r="ET60" i="3"/>
  <c r="EU60" i="3"/>
  <c r="EV60" i="3"/>
  <c r="EW60" i="3"/>
  <c r="EX60" i="3"/>
  <c r="EY60" i="3"/>
  <c r="EZ60" i="3"/>
  <c r="FA60" i="3"/>
  <c r="FB60" i="3"/>
  <c r="FC60" i="3"/>
  <c r="FD60" i="3"/>
  <c r="FE60" i="3"/>
  <c r="FF60" i="3"/>
  <c r="FG60" i="3"/>
  <c r="FH60" i="3"/>
  <c r="FI60" i="3"/>
  <c r="FJ60" i="3"/>
  <c r="FK60" i="3"/>
  <c r="FL60" i="3"/>
  <c r="FM60" i="3"/>
  <c r="FN60" i="3"/>
  <c r="FO60" i="3"/>
  <c r="FP60" i="3"/>
  <c r="FQ60" i="3"/>
  <c r="FR60" i="3"/>
  <c r="FS60" i="3"/>
  <c r="FT60" i="3"/>
  <c r="FU60" i="3"/>
  <c r="FV60" i="3"/>
  <c r="FW60" i="3"/>
  <c r="FX60" i="3"/>
  <c r="FY60" i="3"/>
  <c r="FZ60" i="3"/>
  <c r="GA60" i="3"/>
  <c r="GB60" i="3"/>
  <c r="GC60" i="3"/>
  <c r="GD60" i="3"/>
  <c r="GE60" i="3"/>
  <c r="GF60" i="3"/>
  <c r="GG60" i="3"/>
  <c r="GH60" i="3"/>
  <c r="GI60" i="3"/>
  <c r="GJ60" i="3"/>
  <c r="GK60" i="3"/>
  <c r="GL60" i="3"/>
  <c r="GM60" i="3"/>
  <c r="GN60" i="3"/>
  <c r="GO60" i="3"/>
  <c r="GP60" i="3"/>
  <c r="GQ60" i="3"/>
  <c r="GR60" i="3"/>
  <c r="GS60" i="3"/>
  <c r="GT60" i="3"/>
  <c r="GU60" i="3"/>
  <c r="GV60" i="3"/>
  <c r="GW60" i="3"/>
  <c r="GX60" i="3"/>
  <c r="GY60" i="3"/>
  <c r="GZ60" i="3"/>
  <c r="HA60" i="3"/>
  <c r="HB60" i="3"/>
  <c r="HC60" i="3"/>
  <c r="HD60" i="3"/>
  <c r="HE60" i="3"/>
  <c r="HF60" i="3"/>
  <c r="HG60" i="3"/>
  <c r="HH60" i="3"/>
  <c r="HI60" i="3"/>
  <c r="HJ60" i="3"/>
  <c r="HK60" i="3"/>
  <c r="HL60" i="3"/>
  <c r="HM60" i="3"/>
  <c r="HN60" i="3"/>
  <c r="HO60" i="3"/>
  <c r="HP60" i="3"/>
  <c r="HQ60" i="3"/>
  <c r="HR60" i="3"/>
  <c r="HS60" i="3"/>
  <c r="HT60" i="3"/>
  <c r="HU60" i="3"/>
  <c r="HV60" i="3"/>
  <c r="HW60" i="3"/>
  <c r="HX60" i="3"/>
  <c r="HY60" i="3"/>
  <c r="HZ60" i="3"/>
  <c r="IA60" i="3"/>
  <c r="IB60" i="3"/>
  <c r="IC60" i="3"/>
  <c r="ID60" i="3"/>
  <c r="IE60" i="3"/>
  <c r="IF60" i="3"/>
  <c r="IG60" i="3"/>
  <c r="IH60" i="3"/>
  <c r="II60" i="3"/>
  <c r="IJ60" i="3"/>
  <c r="IK60" i="3"/>
  <c r="IL60" i="3"/>
  <c r="IM60" i="3"/>
  <c r="IN60" i="3"/>
  <c r="IO60" i="3"/>
  <c r="IP60" i="3"/>
  <c r="IQ60" i="3"/>
  <c r="IR60" i="3"/>
  <c r="IS60" i="3"/>
  <c r="IT60" i="3"/>
  <c r="IU60" i="3"/>
  <c r="IV60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DC59" i="3"/>
  <c r="DD59" i="3"/>
  <c r="DE59" i="3"/>
  <c r="DF59" i="3"/>
  <c r="DG59" i="3"/>
  <c r="DH59" i="3"/>
  <c r="DI59" i="3"/>
  <c r="DJ59" i="3"/>
  <c r="DK59" i="3"/>
  <c r="DL59" i="3"/>
  <c r="DM59" i="3"/>
  <c r="DN59" i="3"/>
  <c r="DO59" i="3"/>
  <c r="DP59" i="3"/>
  <c r="DQ59" i="3"/>
  <c r="DR59" i="3"/>
  <c r="DS59" i="3"/>
  <c r="DT59" i="3"/>
  <c r="DU59" i="3"/>
  <c r="DV59" i="3"/>
  <c r="DW59" i="3"/>
  <c r="DX59" i="3"/>
  <c r="DY59" i="3"/>
  <c r="DZ59" i="3"/>
  <c r="EA59" i="3"/>
  <c r="EB59" i="3"/>
  <c r="EC59" i="3"/>
  <c r="ED59" i="3"/>
  <c r="EE59" i="3"/>
  <c r="EF59" i="3"/>
  <c r="EG59" i="3"/>
  <c r="EH59" i="3"/>
  <c r="EI59" i="3"/>
  <c r="EJ59" i="3"/>
  <c r="EK59" i="3"/>
  <c r="EL59" i="3"/>
  <c r="EM59" i="3"/>
  <c r="EN59" i="3"/>
  <c r="EO59" i="3"/>
  <c r="EP59" i="3"/>
  <c r="EQ59" i="3"/>
  <c r="ER59" i="3"/>
  <c r="ES59" i="3"/>
  <c r="ET59" i="3"/>
  <c r="EU59" i="3"/>
  <c r="EV59" i="3"/>
  <c r="EW59" i="3"/>
  <c r="EX59" i="3"/>
  <c r="EY59" i="3"/>
  <c r="EZ59" i="3"/>
  <c r="FA59" i="3"/>
  <c r="FB59" i="3"/>
  <c r="FC59" i="3"/>
  <c r="FD59" i="3"/>
  <c r="FE59" i="3"/>
  <c r="FF59" i="3"/>
  <c r="FG59" i="3"/>
  <c r="FH59" i="3"/>
  <c r="FI59" i="3"/>
  <c r="FJ59" i="3"/>
  <c r="FK59" i="3"/>
  <c r="FL59" i="3"/>
  <c r="FM59" i="3"/>
  <c r="FN59" i="3"/>
  <c r="FO59" i="3"/>
  <c r="FP59" i="3"/>
  <c r="FQ59" i="3"/>
  <c r="FR59" i="3"/>
  <c r="FS59" i="3"/>
  <c r="FT59" i="3"/>
  <c r="FU59" i="3"/>
  <c r="FV59" i="3"/>
  <c r="FW59" i="3"/>
  <c r="FX59" i="3"/>
  <c r="FY59" i="3"/>
  <c r="FZ59" i="3"/>
  <c r="GA59" i="3"/>
  <c r="GB59" i="3"/>
  <c r="GC59" i="3"/>
  <c r="GD59" i="3"/>
  <c r="GE59" i="3"/>
  <c r="GF59" i="3"/>
  <c r="GG59" i="3"/>
  <c r="GH59" i="3"/>
  <c r="GI59" i="3"/>
  <c r="GJ59" i="3"/>
  <c r="GK59" i="3"/>
  <c r="GL59" i="3"/>
  <c r="GM59" i="3"/>
  <c r="GN59" i="3"/>
  <c r="GO59" i="3"/>
  <c r="GP59" i="3"/>
  <c r="GQ59" i="3"/>
  <c r="GR59" i="3"/>
  <c r="GS59" i="3"/>
  <c r="GT59" i="3"/>
  <c r="GU59" i="3"/>
  <c r="GV59" i="3"/>
  <c r="GW59" i="3"/>
  <c r="GX59" i="3"/>
  <c r="GY59" i="3"/>
  <c r="GZ59" i="3"/>
  <c r="HA59" i="3"/>
  <c r="HB59" i="3"/>
  <c r="HC59" i="3"/>
  <c r="HD59" i="3"/>
  <c r="HE59" i="3"/>
  <c r="HF59" i="3"/>
  <c r="HG59" i="3"/>
  <c r="HH59" i="3"/>
  <c r="HI59" i="3"/>
  <c r="HJ59" i="3"/>
  <c r="HK59" i="3"/>
  <c r="HL59" i="3"/>
  <c r="HM59" i="3"/>
  <c r="HN59" i="3"/>
  <c r="HO59" i="3"/>
  <c r="HP59" i="3"/>
  <c r="HQ59" i="3"/>
  <c r="HR59" i="3"/>
  <c r="HS59" i="3"/>
  <c r="HT59" i="3"/>
  <c r="HU59" i="3"/>
  <c r="HV59" i="3"/>
  <c r="HW59" i="3"/>
  <c r="HX59" i="3"/>
  <c r="HY59" i="3"/>
  <c r="HZ59" i="3"/>
  <c r="IA59" i="3"/>
  <c r="IB59" i="3"/>
  <c r="IC59" i="3"/>
  <c r="ID59" i="3"/>
  <c r="IE59" i="3"/>
  <c r="IF59" i="3"/>
  <c r="IG59" i="3"/>
  <c r="IH59" i="3"/>
  <c r="II59" i="3"/>
  <c r="IJ59" i="3"/>
  <c r="IK59" i="3"/>
  <c r="IL59" i="3"/>
  <c r="IM59" i="3"/>
  <c r="IN59" i="3"/>
  <c r="IO59" i="3"/>
  <c r="IP59" i="3"/>
  <c r="IQ59" i="3"/>
  <c r="IR59" i="3"/>
  <c r="IS59" i="3"/>
  <c r="IT59" i="3"/>
  <c r="IU59" i="3"/>
  <c r="IV59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DC58" i="3"/>
  <c r="DD58" i="3"/>
  <c r="DE58" i="3"/>
  <c r="DF58" i="3"/>
  <c r="DG58" i="3"/>
  <c r="DH58" i="3"/>
  <c r="DI58" i="3"/>
  <c r="DJ58" i="3"/>
  <c r="DK58" i="3"/>
  <c r="DL58" i="3"/>
  <c r="DM58" i="3"/>
  <c r="DN58" i="3"/>
  <c r="DO58" i="3"/>
  <c r="DP58" i="3"/>
  <c r="DQ58" i="3"/>
  <c r="DR58" i="3"/>
  <c r="DS58" i="3"/>
  <c r="DT58" i="3"/>
  <c r="DU58" i="3"/>
  <c r="DV58" i="3"/>
  <c r="DW58" i="3"/>
  <c r="DX58" i="3"/>
  <c r="DY58" i="3"/>
  <c r="DZ58" i="3"/>
  <c r="EA58" i="3"/>
  <c r="EB58" i="3"/>
  <c r="EC58" i="3"/>
  <c r="ED58" i="3"/>
  <c r="EE58" i="3"/>
  <c r="EF58" i="3"/>
  <c r="EG58" i="3"/>
  <c r="EH58" i="3"/>
  <c r="EI58" i="3"/>
  <c r="EJ58" i="3"/>
  <c r="EK58" i="3"/>
  <c r="EL58" i="3"/>
  <c r="EM58" i="3"/>
  <c r="EN58" i="3"/>
  <c r="EO58" i="3"/>
  <c r="EP58" i="3"/>
  <c r="EQ58" i="3"/>
  <c r="ER58" i="3"/>
  <c r="ES58" i="3"/>
  <c r="ET58" i="3"/>
  <c r="EU58" i="3"/>
  <c r="EV58" i="3"/>
  <c r="EW58" i="3"/>
  <c r="EX58" i="3"/>
  <c r="EY58" i="3"/>
  <c r="EZ58" i="3"/>
  <c r="FA58" i="3"/>
  <c r="FB58" i="3"/>
  <c r="FC58" i="3"/>
  <c r="FD58" i="3"/>
  <c r="FE58" i="3"/>
  <c r="FF58" i="3"/>
  <c r="FG58" i="3"/>
  <c r="FH58" i="3"/>
  <c r="FI58" i="3"/>
  <c r="FJ58" i="3"/>
  <c r="FK58" i="3"/>
  <c r="FL58" i="3"/>
  <c r="FM58" i="3"/>
  <c r="FN58" i="3"/>
  <c r="FO58" i="3"/>
  <c r="FP58" i="3"/>
  <c r="FQ58" i="3"/>
  <c r="FR58" i="3"/>
  <c r="FS58" i="3"/>
  <c r="FT58" i="3"/>
  <c r="FU58" i="3"/>
  <c r="FV58" i="3"/>
  <c r="FW58" i="3"/>
  <c r="FX58" i="3"/>
  <c r="FY58" i="3"/>
  <c r="FZ58" i="3"/>
  <c r="GA58" i="3"/>
  <c r="GB58" i="3"/>
  <c r="GC58" i="3"/>
  <c r="GD58" i="3"/>
  <c r="GE58" i="3"/>
  <c r="GF58" i="3"/>
  <c r="GG58" i="3"/>
  <c r="GH58" i="3"/>
  <c r="GI58" i="3"/>
  <c r="GJ58" i="3"/>
  <c r="GK58" i="3"/>
  <c r="GL58" i="3"/>
  <c r="GM58" i="3"/>
  <c r="GN58" i="3"/>
  <c r="GO58" i="3"/>
  <c r="GP58" i="3"/>
  <c r="GQ58" i="3"/>
  <c r="GR58" i="3"/>
  <c r="GS58" i="3"/>
  <c r="GT58" i="3"/>
  <c r="GU58" i="3"/>
  <c r="GV58" i="3"/>
  <c r="GW58" i="3"/>
  <c r="GX58" i="3"/>
  <c r="GY58" i="3"/>
  <c r="GZ58" i="3"/>
  <c r="HA58" i="3"/>
  <c r="HB58" i="3"/>
  <c r="HC58" i="3"/>
  <c r="HD58" i="3"/>
  <c r="HE58" i="3"/>
  <c r="HF58" i="3"/>
  <c r="HG58" i="3"/>
  <c r="HH58" i="3"/>
  <c r="HI58" i="3"/>
  <c r="HJ58" i="3"/>
  <c r="HK58" i="3"/>
  <c r="HL58" i="3"/>
  <c r="HM58" i="3"/>
  <c r="HN58" i="3"/>
  <c r="HO58" i="3"/>
  <c r="HP58" i="3"/>
  <c r="HQ58" i="3"/>
  <c r="HR58" i="3"/>
  <c r="HS58" i="3"/>
  <c r="HT58" i="3"/>
  <c r="HU58" i="3"/>
  <c r="HV58" i="3"/>
  <c r="HW58" i="3"/>
  <c r="HX58" i="3"/>
  <c r="HY58" i="3"/>
  <c r="HZ58" i="3"/>
  <c r="IA58" i="3"/>
  <c r="IB58" i="3"/>
  <c r="IC58" i="3"/>
  <c r="ID58" i="3"/>
  <c r="IE58" i="3"/>
  <c r="IF58" i="3"/>
  <c r="IG58" i="3"/>
  <c r="IH58" i="3"/>
  <c r="II58" i="3"/>
  <c r="IJ58" i="3"/>
  <c r="IK58" i="3"/>
  <c r="IL58" i="3"/>
  <c r="IM58" i="3"/>
  <c r="IN58" i="3"/>
  <c r="IO58" i="3"/>
  <c r="IP58" i="3"/>
  <c r="IQ58" i="3"/>
  <c r="IR58" i="3"/>
  <c r="IS58" i="3"/>
  <c r="IT58" i="3"/>
  <c r="IU58" i="3"/>
  <c r="IV58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DC57" i="3"/>
  <c r="DD57" i="3"/>
  <c r="DE57" i="3"/>
  <c r="DF57" i="3"/>
  <c r="DG57" i="3"/>
  <c r="DH57" i="3"/>
  <c r="DI57" i="3"/>
  <c r="DJ57" i="3"/>
  <c r="DK57" i="3"/>
  <c r="DL57" i="3"/>
  <c r="DM57" i="3"/>
  <c r="DN57" i="3"/>
  <c r="DO57" i="3"/>
  <c r="DP57" i="3"/>
  <c r="DQ57" i="3"/>
  <c r="DR57" i="3"/>
  <c r="DS57" i="3"/>
  <c r="DT57" i="3"/>
  <c r="DU57" i="3"/>
  <c r="DV57" i="3"/>
  <c r="DW57" i="3"/>
  <c r="DX57" i="3"/>
  <c r="DY57" i="3"/>
  <c r="DZ57" i="3"/>
  <c r="EA57" i="3"/>
  <c r="EB57" i="3"/>
  <c r="EC57" i="3"/>
  <c r="ED57" i="3"/>
  <c r="EE57" i="3"/>
  <c r="EF57" i="3"/>
  <c r="EG57" i="3"/>
  <c r="EH57" i="3"/>
  <c r="EI57" i="3"/>
  <c r="EJ57" i="3"/>
  <c r="EK57" i="3"/>
  <c r="EL57" i="3"/>
  <c r="EM57" i="3"/>
  <c r="EN57" i="3"/>
  <c r="EO57" i="3"/>
  <c r="EP57" i="3"/>
  <c r="EQ57" i="3"/>
  <c r="ER57" i="3"/>
  <c r="ES57" i="3"/>
  <c r="ET57" i="3"/>
  <c r="EU57" i="3"/>
  <c r="EV57" i="3"/>
  <c r="EW57" i="3"/>
  <c r="EX57" i="3"/>
  <c r="EY57" i="3"/>
  <c r="EZ57" i="3"/>
  <c r="FA57" i="3"/>
  <c r="FB57" i="3"/>
  <c r="FC57" i="3"/>
  <c r="FD57" i="3"/>
  <c r="FE57" i="3"/>
  <c r="FF57" i="3"/>
  <c r="FG57" i="3"/>
  <c r="FH57" i="3"/>
  <c r="FI57" i="3"/>
  <c r="FJ57" i="3"/>
  <c r="FK57" i="3"/>
  <c r="FL57" i="3"/>
  <c r="FM57" i="3"/>
  <c r="FN57" i="3"/>
  <c r="FO57" i="3"/>
  <c r="FP57" i="3"/>
  <c r="FQ57" i="3"/>
  <c r="FR57" i="3"/>
  <c r="FS57" i="3"/>
  <c r="FT57" i="3"/>
  <c r="FU57" i="3"/>
  <c r="FV57" i="3"/>
  <c r="FW57" i="3"/>
  <c r="FX57" i="3"/>
  <c r="FY57" i="3"/>
  <c r="FZ57" i="3"/>
  <c r="GA57" i="3"/>
  <c r="GB57" i="3"/>
  <c r="GC57" i="3"/>
  <c r="GD57" i="3"/>
  <c r="GE57" i="3"/>
  <c r="GF57" i="3"/>
  <c r="GG57" i="3"/>
  <c r="GH57" i="3"/>
  <c r="GI57" i="3"/>
  <c r="GJ57" i="3"/>
  <c r="GK57" i="3"/>
  <c r="GL57" i="3"/>
  <c r="GM57" i="3"/>
  <c r="GN57" i="3"/>
  <c r="GO57" i="3"/>
  <c r="GP57" i="3"/>
  <c r="GQ57" i="3"/>
  <c r="GR57" i="3"/>
  <c r="GS57" i="3"/>
  <c r="GT57" i="3"/>
  <c r="GU57" i="3"/>
  <c r="GV57" i="3"/>
  <c r="GW57" i="3"/>
  <c r="GX57" i="3"/>
  <c r="GY57" i="3"/>
  <c r="GZ57" i="3"/>
  <c r="HA57" i="3"/>
  <c r="HB57" i="3"/>
  <c r="HC57" i="3"/>
  <c r="HD57" i="3"/>
  <c r="HE57" i="3"/>
  <c r="HF57" i="3"/>
  <c r="HG57" i="3"/>
  <c r="HH57" i="3"/>
  <c r="HI57" i="3"/>
  <c r="HJ57" i="3"/>
  <c r="HK57" i="3"/>
  <c r="HL57" i="3"/>
  <c r="HM57" i="3"/>
  <c r="HN57" i="3"/>
  <c r="HO57" i="3"/>
  <c r="HP57" i="3"/>
  <c r="HQ57" i="3"/>
  <c r="HR57" i="3"/>
  <c r="HS57" i="3"/>
  <c r="HT57" i="3"/>
  <c r="HU57" i="3"/>
  <c r="HV57" i="3"/>
  <c r="HW57" i="3"/>
  <c r="HX57" i="3"/>
  <c r="HY57" i="3"/>
  <c r="HZ57" i="3"/>
  <c r="IA57" i="3"/>
  <c r="IB57" i="3"/>
  <c r="IC57" i="3"/>
  <c r="ID57" i="3"/>
  <c r="IE57" i="3"/>
  <c r="IF57" i="3"/>
  <c r="IG57" i="3"/>
  <c r="IH57" i="3"/>
  <c r="II57" i="3"/>
  <c r="IJ57" i="3"/>
  <c r="IK57" i="3"/>
  <c r="IL57" i="3"/>
  <c r="IM57" i="3"/>
  <c r="IN57" i="3"/>
  <c r="IO57" i="3"/>
  <c r="IP57" i="3"/>
  <c r="IQ57" i="3"/>
  <c r="IR57" i="3"/>
  <c r="IS57" i="3"/>
  <c r="IT57" i="3"/>
  <c r="IU57" i="3"/>
  <c r="IV57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DC56" i="3"/>
  <c r="DD56" i="3"/>
  <c r="DE56" i="3"/>
  <c r="DF56" i="3"/>
  <c r="DG56" i="3"/>
  <c r="DH56" i="3"/>
  <c r="DI56" i="3"/>
  <c r="DJ56" i="3"/>
  <c r="DK56" i="3"/>
  <c r="DL56" i="3"/>
  <c r="DM56" i="3"/>
  <c r="DN56" i="3"/>
  <c r="DO56" i="3"/>
  <c r="DP56" i="3"/>
  <c r="DQ56" i="3"/>
  <c r="DR56" i="3"/>
  <c r="DS56" i="3"/>
  <c r="DT56" i="3"/>
  <c r="DU56" i="3"/>
  <c r="DV56" i="3"/>
  <c r="DW56" i="3"/>
  <c r="DX56" i="3"/>
  <c r="DY56" i="3"/>
  <c r="DZ56" i="3"/>
  <c r="EA56" i="3"/>
  <c r="EB56" i="3"/>
  <c r="EC56" i="3"/>
  <c r="ED56" i="3"/>
  <c r="EE56" i="3"/>
  <c r="EF56" i="3"/>
  <c r="EG56" i="3"/>
  <c r="EH56" i="3"/>
  <c r="EI56" i="3"/>
  <c r="EJ56" i="3"/>
  <c r="EK56" i="3"/>
  <c r="EL56" i="3"/>
  <c r="EM56" i="3"/>
  <c r="EN56" i="3"/>
  <c r="EO56" i="3"/>
  <c r="EP56" i="3"/>
  <c r="EQ56" i="3"/>
  <c r="ER56" i="3"/>
  <c r="ES56" i="3"/>
  <c r="ET56" i="3"/>
  <c r="EU56" i="3"/>
  <c r="EV56" i="3"/>
  <c r="EW56" i="3"/>
  <c r="EX56" i="3"/>
  <c r="EY56" i="3"/>
  <c r="EZ56" i="3"/>
  <c r="FA56" i="3"/>
  <c r="FB56" i="3"/>
  <c r="FC56" i="3"/>
  <c r="FD56" i="3"/>
  <c r="FE56" i="3"/>
  <c r="FF56" i="3"/>
  <c r="FG56" i="3"/>
  <c r="FH56" i="3"/>
  <c r="FI56" i="3"/>
  <c r="FJ56" i="3"/>
  <c r="FK56" i="3"/>
  <c r="FL56" i="3"/>
  <c r="FM56" i="3"/>
  <c r="FN56" i="3"/>
  <c r="FO56" i="3"/>
  <c r="FP56" i="3"/>
  <c r="FQ56" i="3"/>
  <c r="FR56" i="3"/>
  <c r="FS56" i="3"/>
  <c r="FT56" i="3"/>
  <c r="FU56" i="3"/>
  <c r="FV56" i="3"/>
  <c r="FW56" i="3"/>
  <c r="FX56" i="3"/>
  <c r="FY56" i="3"/>
  <c r="FZ56" i="3"/>
  <c r="GA56" i="3"/>
  <c r="GB56" i="3"/>
  <c r="GC56" i="3"/>
  <c r="GD56" i="3"/>
  <c r="GE56" i="3"/>
  <c r="GF56" i="3"/>
  <c r="GG56" i="3"/>
  <c r="GH56" i="3"/>
  <c r="GI56" i="3"/>
  <c r="GJ56" i="3"/>
  <c r="GK56" i="3"/>
  <c r="GL56" i="3"/>
  <c r="GM56" i="3"/>
  <c r="GN56" i="3"/>
  <c r="GO56" i="3"/>
  <c r="GP56" i="3"/>
  <c r="GQ56" i="3"/>
  <c r="GR56" i="3"/>
  <c r="GS56" i="3"/>
  <c r="GT56" i="3"/>
  <c r="GU56" i="3"/>
  <c r="GV56" i="3"/>
  <c r="GW56" i="3"/>
  <c r="GX56" i="3"/>
  <c r="GY56" i="3"/>
  <c r="GZ56" i="3"/>
  <c r="HA56" i="3"/>
  <c r="HB56" i="3"/>
  <c r="HC56" i="3"/>
  <c r="HD56" i="3"/>
  <c r="HE56" i="3"/>
  <c r="HF56" i="3"/>
  <c r="HG56" i="3"/>
  <c r="HH56" i="3"/>
  <c r="HI56" i="3"/>
  <c r="HJ56" i="3"/>
  <c r="HK56" i="3"/>
  <c r="HL56" i="3"/>
  <c r="HM56" i="3"/>
  <c r="HN56" i="3"/>
  <c r="HO56" i="3"/>
  <c r="HP56" i="3"/>
  <c r="HQ56" i="3"/>
  <c r="HR56" i="3"/>
  <c r="HS56" i="3"/>
  <c r="HT56" i="3"/>
  <c r="HU56" i="3"/>
  <c r="HV56" i="3"/>
  <c r="HW56" i="3"/>
  <c r="HX56" i="3"/>
  <c r="HY56" i="3"/>
  <c r="HZ56" i="3"/>
  <c r="IA56" i="3"/>
  <c r="IB56" i="3"/>
  <c r="IC56" i="3"/>
  <c r="ID56" i="3"/>
  <c r="IE56" i="3"/>
  <c r="IF56" i="3"/>
  <c r="IG56" i="3"/>
  <c r="IH56" i="3"/>
  <c r="II56" i="3"/>
  <c r="IJ56" i="3"/>
  <c r="IK56" i="3"/>
  <c r="IL56" i="3"/>
  <c r="IM56" i="3"/>
  <c r="IN56" i="3"/>
  <c r="IO56" i="3"/>
  <c r="IP56" i="3"/>
  <c r="IQ56" i="3"/>
  <c r="IR56" i="3"/>
  <c r="IS56" i="3"/>
  <c r="IT56" i="3"/>
  <c r="IU56" i="3"/>
  <c r="IV56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DC55" i="3"/>
  <c r="DD55" i="3"/>
  <c r="DE55" i="3"/>
  <c r="DF55" i="3"/>
  <c r="DG55" i="3"/>
  <c r="DH55" i="3"/>
  <c r="DI55" i="3"/>
  <c r="DJ55" i="3"/>
  <c r="DK55" i="3"/>
  <c r="DL55" i="3"/>
  <c r="DM55" i="3"/>
  <c r="DN55" i="3"/>
  <c r="DO55" i="3"/>
  <c r="DP55" i="3"/>
  <c r="DQ55" i="3"/>
  <c r="DR55" i="3"/>
  <c r="DS55" i="3"/>
  <c r="DT55" i="3"/>
  <c r="DU55" i="3"/>
  <c r="DV55" i="3"/>
  <c r="DW55" i="3"/>
  <c r="DX55" i="3"/>
  <c r="DY55" i="3"/>
  <c r="DZ55" i="3"/>
  <c r="EA55" i="3"/>
  <c r="EB55" i="3"/>
  <c r="EC55" i="3"/>
  <c r="ED55" i="3"/>
  <c r="EE55" i="3"/>
  <c r="EF55" i="3"/>
  <c r="EG55" i="3"/>
  <c r="EH55" i="3"/>
  <c r="EI55" i="3"/>
  <c r="EJ55" i="3"/>
  <c r="EK55" i="3"/>
  <c r="EL55" i="3"/>
  <c r="EM55" i="3"/>
  <c r="EN55" i="3"/>
  <c r="EO55" i="3"/>
  <c r="EP55" i="3"/>
  <c r="EQ55" i="3"/>
  <c r="ER55" i="3"/>
  <c r="ES55" i="3"/>
  <c r="ET55" i="3"/>
  <c r="EU55" i="3"/>
  <c r="EV55" i="3"/>
  <c r="EW55" i="3"/>
  <c r="EX55" i="3"/>
  <c r="EY55" i="3"/>
  <c r="EZ55" i="3"/>
  <c r="FA55" i="3"/>
  <c r="FB55" i="3"/>
  <c r="FC55" i="3"/>
  <c r="FD55" i="3"/>
  <c r="FE55" i="3"/>
  <c r="FF55" i="3"/>
  <c r="FG55" i="3"/>
  <c r="FH55" i="3"/>
  <c r="FI55" i="3"/>
  <c r="FJ55" i="3"/>
  <c r="FK55" i="3"/>
  <c r="FL55" i="3"/>
  <c r="FM55" i="3"/>
  <c r="FN55" i="3"/>
  <c r="FO55" i="3"/>
  <c r="FP55" i="3"/>
  <c r="FQ55" i="3"/>
  <c r="FR55" i="3"/>
  <c r="FS55" i="3"/>
  <c r="FT55" i="3"/>
  <c r="FU55" i="3"/>
  <c r="FV55" i="3"/>
  <c r="FW55" i="3"/>
  <c r="FX55" i="3"/>
  <c r="FY55" i="3"/>
  <c r="FZ55" i="3"/>
  <c r="GA55" i="3"/>
  <c r="GB55" i="3"/>
  <c r="GC55" i="3"/>
  <c r="GD55" i="3"/>
  <c r="GE55" i="3"/>
  <c r="GF55" i="3"/>
  <c r="GG55" i="3"/>
  <c r="GH55" i="3"/>
  <c r="GI55" i="3"/>
  <c r="GJ55" i="3"/>
  <c r="GK55" i="3"/>
  <c r="GL55" i="3"/>
  <c r="GM55" i="3"/>
  <c r="GN55" i="3"/>
  <c r="GO55" i="3"/>
  <c r="GP55" i="3"/>
  <c r="GQ55" i="3"/>
  <c r="GR55" i="3"/>
  <c r="GS55" i="3"/>
  <c r="GT55" i="3"/>
  <c r="GU55" i="3"/>
  <c r="GV55" i="3"/>
  <c r="GW55" i="3"/>
  <c r="GX55" i="3"/>
  <c r="GY55" i="3"/>
  <c r="GZ55" i="3"/>
  <c r="HA55" i="3"/>
  <c r="HB55" i="3"/>
  <c r="HC55" i="3"/>
  <c r="HD55" i="3"/>
  <c r="HE55" i="3"/>
  <c r="HF55" i="3"/>
  <c r="HG55" i="3"/>
  <c r="HH55" i="3"/>
  <c r="HI55" i="3"/>
  <c r="HJ55" i="3"/>
  <c r="HK55" i="3"/>
  <c r="HL55" i="3"/>
  <c r="HM55" i="3"/>
  <c r="HN55" i="3"/>
  <c r="HO55" i="3"/>
  <c r="HP55" i="3"/>
  <c r="HQ55" i="3"/>
  <c r="HR55" i="3"/>
  <c r="HS55" i="3"/>
  <c r="HT55" i="3"/>
  <c r="HU55" i="3"/>
  <c r="HV55" i="3"/>
  <c r="HW55" i="3"/>
  <c r="HX55" i="3"/>
  <c r="HY55" i="3"/>
  <c r="HZ55" i="3"/>
  <c r="IA55" i="3"/>
  <c r="IB55" i="3"/>
  <c r="IC55" i="3"/>
  <c r="ID55" i="3"/>
  <c r="IE55" i="3"/>
  <c r="IF55" i="3"/>
  <c r="IG55" i="3"/>
  <c r="IH55" i="3"/>
  <c r="II55" i="3"/>
  <c r="IJ55" i="3"/>
  <c r="IK55" i="3"/>
  <c r="IL55" i="3"/>
  <c r="IM55" i="3"/>
  <c r="IN55" i="3"/>
  <c r="IO55" i="3"/>
  <c r="IP55" i="3"/>
  <c r="IQ55" i="3"/>
  <c r="IR55" i="3"/>
  <c r="IS55" i="3"/>
  <c r="IT55" i="3"/>
  <c r="IU55" i="3"/>
  <c r="IV55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DC54" i="3"/>
  <c r="DD54" i="3"/>
  <c r="DE54" i="3"/>
  <c r="DF54" i="3"/>
  <c r="DG54" i="3"/>
  <c r="DH54" i="3"/>
  <c r="DI54" i="3"/>
  <c r="DJ54" i="3"/>
  <c r="DK54" i="3"/>
  <c r="DL54" i="3"/>
  <c r="DM54" i="3"/>
  <c r="DN54" i="3"/>
  <c r="DO54" i="3"/>
  <c r="DP54" i="3"/>
  <c r="DQ54" i="3"/>
  <c r="DR54" i="3"/>
  <c r="DS54" i="3"/>
  <c r="DT54" i="3"/>
  <c r="DU54" i="3"/>
  <c r="DV54" i="3"/>
  <c r="DW54" i="3"/>
  <c r="DX54" i="3"/>
  <c r="DY54" i="3"/>
  <c r="DZ54" i="3"/>
  <c r="EA54" i="3"/>
  <c r="EB54" i="3"/>
  <c r="EC54" i="3"/>
  <c r="ED54" i="3"/>
  <c r="EE54" i="3"/>
  <c r="EF54" i="3"/>
  <c r="EG54" i="3"/>
  <c r="EH54" i="3"/>
  <c r="EI54" i="3"/>
  <c r="EJ54" i="3"/>
  <c r="EK54" i="3"/>
  <c r="EL54" i="3"/>
  <c r="EM54" i="3"/>
  <c r="EN54" i="3"/>
  <c r="EO54" i="3"/>
  <c r="EP54" i="3"/>
  <c r="EQ54" i="3"/>
  <c r="ER54" i="3"/>
  <c r="ES54" i="3"/>
  <c r="ET54" i="3"/>
  <c r="EU54" i="3"/>
  <c r="EV54" i="3"/>
  <c r="EW54" i="3"/>
  <c r="EX54" i="3"/>
  <c r="EY54" i="3"/>
  <c r="EZ54" i="3"/>
  <c r="FA54" i="3"/>
  <c r="FB54" i="3"/>
  <c r="FC54" i="3"/>
  <c r="FD54" i="3"/>
  <c r="FE54" i="3"/>
  <c r="FF54" i="3"/>
  <c r="FG54" i="3"/>
  <c r="FH54" i="3"/>
  <c r="FI54" i="3"/>
  <c r="FJ54" i="3"/>
  <c r="FK54" i="3"/>
  <c r="FL54" i="3"/>
  <c r="FM54" i="3"/>
  <c r="FN54" i="3"/>
  <c r="FO54" i="3"/>
  <c r="FP54" i="3"/>
  <c r="FQ54" i="3"/>
  <c r="FR54" i="3"/>
  <c r="FS54" i="3"/>
  <c r="FT54" i="3"/>
  <c r="FU54" i="3"/>
  <c r="FV54" i="3"/>
  <c r="FW54" i="3"/>
  <c r="FX54" i="3"/>
  <c r="FY54" i="3"/>
  <c r="FZ54" i="3"/>
  <c r="GA54" i="3"/>
  <c r="GB54" i="3"/>
  <c r="GC54" i="3"/>
  <c r="GD54" i="3"/>
  <c r="GE54" i="3"/>
  <c r="GF54" i="3"/>
  <c r="GG54" i="3"/>
  <c r="GH54" i="3"/>
  <c r="GI54" i="3"/>
  <c r="GJ54" i="3"/>
  <c r="GK54" i="3"/>
  <c r="GL54" i="3"/>
  <c r="GM54" i="3"/>
  <c r="GN54" i="3"/>
  <c r="GO54" i="3"/>
  <c r="GP54" i="3"/>
  <c r="GQ54" i="3"/>
  <c r="GR54" i="3"/>
  <c r="GS54" i="3"/>
  <c r="GT54" i="3"/>
  <c r="GU54" i="3"/>
  <c r="GV54" i="3"/>
  <c r="GW54" i="3"/>
  <c r="GX54" i="3"/>
  <c r="GY54" i="3"/>
  <c r="GZ54" i="3"/>
  <c r="HA54" i="3"/>
  <c r="HB54" i="3"/>
  <c r="HC54" i="3"/>
  <c r="HD54" i="3"/>
  <c r="HE54" i="3"/>
  <c r="HF54" i="3"/>
  <c r="HG54" i="3"/>
  <c r="HH54" i="3"/>
  <c r="HI54" i="3"/>
  <c r="HJ54" i="3"/>
  <c r="HK54" i="3"/>
  <c r="HL54" i="3"/>
  <c r="HM54" i="3"/>
  <c r="HN54" i="3"/>
  <c r="HO54" i="3"/>
  <c r="HP54" i="3"/>
  <c r="HQ54" i="3"/>
  <c r="HR54" i="3"/>
  <c r="HS54" i="3"/>
  <c r="HT54" i="3"/>
  <c r="HU54" i="3"/>
  <c r="HV54" i="3"/>
  <c r="HW54" i="3"/>
  <c r="HX54" i="3"/>
  <c r="HY54" i="3"/>
  <c r="HZ54" i="3"/>
  <c r="IA54" i="3"/>
  <c r="IB54" i="3"/>
  <c r="IC54" i="3"/>
  <c r="ID54" i="3"/>
  <c r="IE54" i="3"/>
  <c r="IF54" i="3"/>
  <c r="IG54" i="3"/>
  <c r="IH54" i="3"/>
  <c r="II54" i="3"/>
  <c r="IJ54" i="3"/>
  <c r="IK54" i="3"/>
  <c r="IL54" i="3"/>
  <c r="IM54" i="3"/>
  <c r="IN54" i="3"/>
  <c r="IO54" i="3"/>
  <c r="IP54" i="3"/>
  <c r="IQ54" i="3"/>
  <c r="IR54" i="3"/>
  <c r="IS54" i="3"/>
  <c r="IT54" i="3"/>
  <c r="IU54" i="3"/>
  <c r="IV54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DC53" i="3"/>
  <c r="DD53" i="3"/>
  <c r="DE53" i="3"/>
  <c r="DF53" i="3"/>
  <c r="DG53" i="3"/>
  <c r="DH53" i="3"/>
  <c r="DI53" i="3"/>
  <c r="DJ53" i="3"/>
  <c r="DK53" i="3"/>
  <c r="DL53" i="3"/>
  <c r="DM53" i="3"/>
  <c r="DN53" i="3"/>
  <c r="DO53" i="3"/>
  <c r="DP53" i="3"/>
  <c r="DQ53" i="3"/>
  <c r="DR53" i="3"/>
  <c r="DS53" i="3"/>
  <c r="DT53" i="3"/>
  <c r="DU53" i="3"/>
  <c r="DV53" i="3"/>
  <c r="DW53" i="3"/>
  <c r="DX53" i="3"/>
  <c r="DY53" i="3"/>
  <c r="DZ53" i="3"/>
  <c r="EA53" i="3"/>
  <c r="EB53" i="3"/>
  <c r="EC53" i="3"/>
  <c r="ED53" i="3"/>
  <c r="EE53" i="3"/>
  <c r="EF53" i="3"/>
  <c r="EG53" i="3"/>
  <c r="EH53" i="3"/>
  <c r="EI53" i="3"/>
  <c r="EJ53" i="3"/>
  <c r="EK53" i="3"/>
  <c r="EL53" i="3"/>
  <c r="EM53" i="3"/>
  <c r="EN53" i="3"/>
  <c r="EO53" i="3"/>
  <c r="EP53" i="3"/>
  <c r="EQ53" i="3"/>
  <c r="ER53" i="3"/>
  <c r="ES53" i="3"/>
  <c r="ET53" i="3"/>
  <c r="EU53" i="3"/>
  <c r="EV53" i="3"/>
  <c r="EW53" i="3"/>
  <c r="EX53" i="3"/>
  <c r="EY53" i="3"/>
  <c r="EZ53" i="3"/>
  <c r="FA53" i="3"/>
  <c r="FB53" i="3"/>
  <c r="FC53" i="3"/>
  <c r="FD53" i="3"/>
  <c r="FE53" i="3"/>
  <c r="FF53" i="3"/>
  <c r="FG53" i="3"/>
  <c r="FH53" i="3"/>
  <c r="FI53" i="3"/>
  <c r="FJ53" i="3"/>
  <c r="FK53" i="3"/>
  <c r="FL53" i="3"/>
  <c r="FM53" i="3"/>
  <c r="FN53" i="3"/>
  <c r="FO53" i="3"/>
  <c r="FP53" i="3"/>
  <c r="FQ53" i="3"/>
  <c r="FR53" i="3"/>
  <c r="FS53" i="3"/>
  <c r="FT53" i="3"/>
  <c r="FU53" i="3"/>
  <c r="FV53" i="3"/>
  <c r="FW53" i="3"/>
  <c r="FX53" i="3"/>
  <c r="FY53" i="3"/>
  <c r="FZ53" i="3"/>
  <c r="GA53" i="3"/>
  <c r="GB53" i="3"/>
  <c r="GC53" i="3"/>
  <c r="GD53" i="3"/>
  <c r="GE53" i="3"/>
  <c r="GF53" i="3"/>
  <c r="GG53" i="3"/>
  <c r="GH53" i="3"/>
  <c r="GI53" i="3"/>
  <c r="GJ53" i="3"/>
  <c r="GK53" i="3"/>
  <c r="GL53" i="3"/>
  <c r="GM53" i="3"/>
  <c r="GN53" i="3"/>
  <c r="GO53" i="3"/>
  <c r="GP53" i="3"/>
  <c r="GQ53" i="3"/>
  <c r="GR53" i="3"/>
  <c r="GS53" i="3"/>
  <c r="GT53" i="3"/>
  <c r="GU53" i="3"/>
  <c r="GV53" i="3"/>
  <c r="GW53" i="3"/>
  <c r="GX53" i="3"/>
  <c r="GY53" i="3"/>
  <c r="GZ53" i="3"/>
  <c r="HA53" i="3"/>
  <c r="HB53" i="3"/>
  <c r="HC53" i="3"/>
  <c r="HD53" i="3"/>
  <c r="HE53" i="3"/>
  <c r="HF53" i="3"/>
  <c r="HG53" i="3"/>
  <c r="HH53" i="3"/>
  <c r="HI53" i="3"/>
  <c r="HJ53" i="3"/>
  <c r="HK53" i="3"/>
  <c r="HL53" i="3"/>
  <c r="HM53" i="3"/>
  <c r="HN53" i="3"/>
  <c r="HO53" i="3"/>
  <c r="HP53" i="3"/>
  <c r="HQ53" i="3"/>
  <c r="HR53" i="3"/>
  <c r="HS53" i="3"/>
  <c r="HT53" i="3"/>
  <c r="HU53" i="3"/>
  <c r="HV53" i="3"/>
  <c r="HW53" i="3"/>
  <c r="HX53" i="3"/>
  <c r="HY53" i="3"/>
  <c r="HZ53" i="3"/>
  <c r="IA53" i="3"/>
  <c r="IB53" i="3"/>
  <c r="IC53" i="3"/>
  <c r="ID53" i="3"/>
  <c r="IE53" i="3"/>
  <c r="IF53" i="3"/>
  <c r="IG53" i="3"/>
  <c r="IH53" i="3"/>
  <c r="II53" i="3"/>
  <c r="IJ53" i="3"/>
  <c r="IK53" i="3"/>
  <c r="IL53" i="3"/>
  <c r="IM53" i="3"/>
  <c r="IN53" i="3"/>
  <c r="IO53" i="3"/>
  <c r="IP53" i="3"/>
  <c r="IQ53" i="3"/>
  <c r="IR53" i="3"/>
  <c r="IS53" i="3"/>
  <c r="IT53" i="3"/>
  <c r="IU53" i="3"/>
  <c r="IV53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DC52" i="3"/>
  <c r="DD52" i="3"/>
  <c r="DE52" i="3"/>
  <c r="DF52" i="3"/>
  <c r="DG52" i="3"/>
  <c r="DH52" i="3"/>
  <c r="DI52" i="3"/>
  <c r="DJ52" i="3"/>
  <c r="DK52" i="3"/>
  <c r="DL52" i="3"/>
  <c r="DM52" i="3"/>
  <c r="DN52" i="3"/>
  <c r="DO52" i="3"/>
  <c r="DP52" i="3"/>
  <c r="DQ52" i="3"/>
  <c r="DR52" i="3"/>
  <c r="DS52" i="3"/>
  <c r="DT52" i="3"/>
  <c r="DU52" i="3"/>
  <c r="DV52" i="3"/>
  <c r="DW52" i="3"/>
  <c r="DX52" i="3"/>
  <c r="DY52" i="3"/>
  <c r="DZ52" i="3"/>
  <c r="EA52" i="3"/>
  <c r="EB52" i="3"/>
  <c r="EC52" i="3"/>
  <c r="ED52" i="3"/>
  <c r="EE52" i="3"/>
  <c r="EF52" i="3"/>
  <c r="EG52" i="3"/>
  <c r="EH52" i="3"/>
  <c r="EI52" i="3"/>
  <c r="EJ52" i="3"/>
  <c r="EK52" i="3"/>
  <c r="EL52" i="3"/>
  <c r="EM52" i="3"/>
  <c r="EN52" i="3"/>
  <c r="EO52" i="3"/>
  <c r="EP52" i="3"/>
  <c r="EQ52" i="3"/>
  <c r="ER52" i="3"/>
  <c r="ES52" i="3"/>
  <c r="ET52" i="3"/>
  <c r="EU52" i="3"/>
  <c r="EV52" i="3"/>
  <c r="EW52" i="3"/>
  <c r="EX52" i="3"/>
  <c r="EY52" i="3"/>
  <c r="EZ52" i="3"/>
  <c r="FA52" i="3"/>
  <c r="FB52" i="3"/>
  <c r="FC52" i="3"/>
  <c r="FD52" i="3"/>
  <c r="FE52" i="3"/>
  <c r="FF52" i="3"/>
  <c r="FG52" i="3"/>
  <c r="FH52" i="3"/>
  <c r="FI52" i="3"/>
  <c r="FJ52" i="3"/>
  <c r="FK52" i="3"/>
  <c r="FL52" i="3"/>
  <c r="FM52" i="3"/>
  <c r="FN52" i="3"/>
  <c r="FO52" i="3"/>
  <c r="FP52" i="3"/>
  <c r="FQ52" i="3"/>
  <c r="FR52" i="3"/>
  <c r="FS52" i="3"/>
  <c r="FT52" i="3"/>
  <c r="FU52" i="3"/>
  <c r="FV52" i="3"/>
  <c r="FW52" i="3"/>
  <c r="FX52" i="3"/>
  <c r="FY52" i="3"/>
  <c r="FZ52" i="3"/>
  <c r="GA52" i="3"/>
  <c r="GB52" i="3"/>
  <c r="GC52" i="3"/>
  <c r="GD52" i="3"/>
  <c r="GE52" i="3"/>
  <c r="GF52" i="3"/>
  <c r="GG52" i="3"/>
  <c r="GH52" i="3"/>
  <c r="GI52" i="3"/>
  <c r="GJ52" i="3"/>
  <c r="GK52" i="3"/>
  <c r="GL52" i="3"/>
  <c r="GM52" i="3"/>
  <c r="GN52" i="3"/>
  <c r="GO52" i="3"/>
  <c r="GP52" i="3"/>
  <c r="GQ52" i="3"/>
  <c r="GR52" i="3"/>
  <c r="GS52" i="3"/>
  <c r="GT52" i="3"/>
  <c r="GU52" i="3"/>
  <c r="GV52" i="3"/>
  <c r="GW52" i="3"/>
  <c r="GX52" i="3"/>
  <c r="GY52" i="3"/>
  <c r="GZ52" i="3"/>
  <c r="HA52" i="3"/>
  <c r="HB52" i="3"/>
  <c r="HC52" i="3"/>
  <c r="HD52" i="3"/>
  <c r="HE52" i="3"/>
  <c r="HF52" i="3"/>
  <c r="HG52" i="3"/>
  <c r="HH52" i="3"/>
  <c r="HI52" i="3"/>
  <c r="HJ52" i="3"/>
  <c r="HK52" i="3"/>
  <c r="HL52" i="3"/>
  <c r="HM52" i="3"/>
  <c r="HN52" i="3"/>
  <c r="HO52" i="3"/>
  <c r="HP52" i="3"/>
  <c r="HQ52" i="3"/>
  <c r="HR52" i="3"/>
  <c r="HS52" i="3"/>
  <c r="HT52" i="3"/>
  <c r="HU52" i="3"/>
  <c r="HV52" i="3"/>
  <c r="HW52" i="3"/>
  <c r="HX52" i="3"/>
  <c r="HY52" i="3"/>
  <c r="HZ52" i="3"/>
  <c r="IA52" i="3"/>
  <c r="IB52" i="3"/>
  <c r="IC52" i="3"/>
  <c r="ID52" i="3"/>
  <c r="IE52" i="3"/>
  <c r="IF52" i="3"/>
  <c r="IG52" i="3"/>
  <c r="IH52" i="3"/>
  <c r="II52" i="3"/>
  <c r="IJ52" i="3"/>
  <c r="IK52" i="3"/>
  <c r="IL52" i="3"/>
  <c r="IM52" i="3"/>
  <c r="IN52" i="3"/>
  <c r="IO52" i="3"/>
  <c r="IP52" i="3"/>
  <c r="IQ52" i="3"/>
  <c r="IR52" i="3"/>
  <c r="IS52" i="3"/>
  <c r="IT52" i="3"/>
  <c r="IU52" i="3"/>
  <c r="IV52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DC51" i="3"/>
  <c r="DD51" i="3"/>
  <c r="DE51" i="3"/>
  <c r="DF51" i="3"/>
  <c r="DG51" i="3"/>
  <c r="DH51" i="3"/>
  <c r="DI51" i="3"/>
  <c r="DJ51" i="3"/>
  <c r="DK51" i="3"/>
  <c r="DL51" i="3"/>
  <c r="DM51" i="3"/>
  <c r="DN51" i="3"/>
  <c r="DO51" i="3"/>
  <c r="DP51" i="3"/>
  <c r="DQ51" i="3"/>
  <c r="DR51" i="3"/>
  <c r="DS51" i="3"/>
  <c r="DT51" i="3"/>
  <c r="DU51" i="3"/>
  <c r="DV51" i="3"/>
  <c r="DW51" i="3"/>
  <c r="DX51" i="3"/>
  <c r="DY51" i="3"/>
  <c r="DZ51" i="3"/>
  <c r="EA51" i="3"/>
  <c r="EB51" i="3"/>
  <c r="EC51" i="3"/>
  <c r="ED51" i="3"/>
  <c r="EE51" i="3"/>
  <c r="EF51" i="3"/>
  <c r="EG51" i="3"/>
  <c r="EH51" i="3"/>
  <c r="EI51" i="3"/>
  <c r="EJ51" i="3"/>
  <c r="EK51" i="3"/>
  <c r="EL51" i="3"/>
  <c r="EM51" i="3"/>
  <c r="EN51" i="3"/>
  <c r="EO51" i="3"/>
  <c r="EP51" i="3"/>
  <c r="EQ51" i="3"/>
  <c r="ER51" i="3"/>
  <c r="ES51" i="3"/>
  <c r="ET51" i="3"/>
  <c r="EU51" i="3"/>
  <c r="EV51" i="3"/>
  <c r="EW51" i="3"/>
  <c r="EX51" i="3"/>
  <c r="EY51" i="3"/>
  <c r="EZ51" i="3"/>
  <c r="FA51" i="3"/>
  <c r="FB51" i="3"/>
  <c r="FC51" i="3"/>
  <c r="FD51" i="3"/>
  <c r="FE51" i="3"/>
  <c r="FF51" i="3"/>
  <c r="FG51" i="3"/>
  <c r="FH51" i="3"/>
  <c r="FI51" i="3"/>
  <c r="FJ51" i="3"/>
  <c r="FK51" i="3"/>
  <c r="FL51" i="3"/>
  <c r="FM51" i="3"/>
  <c r="FN51" i="3"/>
  <c r="FO51" i="3"/>
  <c r="FP51" i="3"/>
  <c r="FQ51" i="3"/>
  <c r="FR51" i="3"/>
  <c r="FS51" i="3"/>
  <c r="FT51" i="3"/>
  <c r="FU51" i="3"/>
  <c r="FV51" i="3"/>
  <c r="FW51" i="3"/>
  <c r="FX51" i="3"/>
  <c r="FY51" i="3"/>
  <c r="FZ51" i="3"/>
  <c r="GA51" i="3"/>
  <c r="GB51" i="3"/>
  <c r="GC51" i="3"/>
  <c r="GD51" i="3"/>
  <c r="GE51" i="3"/>
  <c r="GF51" i="3"/>
  <c r="GG51" i="3"/>
  <c r="GH51" i="3"/>
  <c r="GI51" i="3"/>
  <c r="GJ51" i="3"/>
  <c r="GK51" i="3"/>
  <c r="GL51" i="3"/>
  <c r="GM51" i="3"/>
  <c r="GN51" i="3"/>
  <c r="GO51" i="3"/>
  <c r="GP51" i="3"/>
  <c r="GQ51" i="3"/>
  <c r="GR51" i="3"/>
  <c r="GS51" i="3"/>
  <c r="GT51" i="3"/>
  <c r="GU51" i="3"/>
  <c r="GV51" i="3"/>
  <c r="GW51" i="3"/>
  <c r="GX51" i="3"/>
  <c r="GY51" i="3"/>
  <c r="GZ51" i="3"/>
  <c r="HA51" i="3"/>
  <c r="HB51" i="3"/>
  <c r="HC51" i="3"/>
  <c r="HD51" i="3"/>
  <c r="HE51" i="3"/>
  <c r="HF51" i="3"/>
  <c r="HG51" i="3"/>
  <c r="HH51" i="3"/>
  <c r="HI51" i="3"/>
  <c r="HJ51" i="3"/>
  <c r="HK51" i="3"/>
  <c r="HL51" i="3"/>
  <c r="HM51" i="3"/>
  <c r="HN51" i="3"/>
  <c r="HO51" i="3"/>
  <c r="HP51" i="3"/>
  <c r="HQ51" i="3"/>
  <c r="HR51" i="3"/>
  <c r="HS51" i="3"/>
  <c r="HT51" i="3"/>
  <c r="HU51" i="3"/>
  <c r="HV51" i="3"/>
  <c r="HW51" i="3"/>
  <c r="HX51" i="3"/>
  <c r="HY51" i="3"/>
  <c r="HZ51" i="3"/>
  <c r="IA51" i="3"/>
  <c r="IB51" i="3"/>
  <c r="IC51" i="3"/>
  <c r="ID51" i="3"/>
  <c r="IE51" i="3"/>
  <c r="IF51" i="3"/>
  <c r="IG51" i="3"/>
  <c r="IH51" i="3"/>
  <c r="II51" i="3"/>
  <c r="IJ51" i="3"/>
  <c r="IK51" i="3"/>
  <c r="IL51" i="3"/>
  <c r="IM51" i="3"/>
  <c r="IN51" i="3"/>
  <c r="IO51" i="3"/>
  <c r="IP51" i="3"/>
  <c r="IQ51" i="3"/>
  <c r="IR51" i="3"/>
  <c r="IS51" i="3"/>
  <c r="IT51" i="3"/>
  <c r="IU51" i="3"/>
  <c r="IV51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DC50" i="3"/>
  <c r="DD50" i="3"/>
  <c r="DE50" i="3"/>
  <c r="DF50" i="3"/>
  <c r="DG50" i="3"/>
  <c r="DH50" i="3"/>
  <c r="DI50" i="3"/>
  <c r="DJ50" i="3"/>
  <c r="DK50" i="3"/>
  <c r="DL50" i="3"/>
  <c r="DM50" i="3"/>
  <c r="DN50" i="3"/>
  <c r="DO50" i="3"/>
  <c r="DP50" i="3"/>
  <c r="DQ50" i="3"/>
  <c r="DR50" i="3"/>
  <c r="DS50" i="3"/>
  <c r="DT50" i="3"/>
  <c r="DU50" i="3"/>
  <c r="DV50" i="3"/>
  <c r="DW50" i="3"/>
  <c r="DX50" i="3"/>
  <c r="DY50" i="3"/>
  <c r="DZ50" i="3"/>
  <c r="EA50" i="3"/>
  <c r="EB50" i="3"/>
  <c r="EC50" i="3"/>
  <c r="ED50" i="3"/>
  <c r="EE50" i="3"/>
  <c r="EF50" i="3"/>
  <c r="EG50" i="3"/>
  <c r="EH50" i="3"/>
  <c r="EI50" i="3"/>
  <c r="EJ50" i="3"/>
  <c r="EK50" i="3"/>
  <c r="EL50" i="3"/>
  <c r="EM50" i="3"/>
  <c r="EN50" i="3"/>
  <c r="EO50" i="3"/>
  <c r="EP50" i="3"/>
  <c r="EQ50" i="3"/>
  <c r="ER50" i="3"/>
  <c r="ES50" i="3"/>
  <c r="ET50" i="3"/>
  <c r="EU50" i="3"/>
  <c r="EV50" i="3"/>
  <c r="EW50" i="3"/>
  <c r="EX50" i="3"/>
  <c r="EY50" i="3"/>
  <c r="EZ50" i="3"/>
  <c r="FA50" i="3"/>
  <c r="FB50" i="3"/>
  <c r="FC50" i="3"/>
  <c r="FD50" i="3"/>
  <c r="FE50" i="3"/>
  <c r="FF50" i="3"/>
  <c r="FG50" i="3"/>
  <c r="FH50" i="3"/>
  <c r="FI50" i="3"/>
  <c r="FJ50" i="3"/>
  <c r="FK50" i="3"/>
  <c r="FL50" i="3"/>
  <c r="FM50" i="3"/>
  <c r="FN50" i="3"/>
  <c r="FO50" i="3"/>
  <c r="FP50" i="3"/>
  <c r="FQ50" i="3"/>
  <c r="FR50" i="3"/>
  <c r="FS50" i="3"/>
  <c r="FT50" i="3"/>
  <c r="FU50" i="3"/>
  <c r="FV50" i="3"/>
  <c r="FW50" i="3"/>
  <c r="FX50" i="3"/>
  <c r="FY50" i="3"/>
  <c r="FZ50" i="3"/>
  <c r="GA50" i="3"/>
  <c r="GB50" i="3"/>
  <c r="GC50" i="3"/>
  <c r="GD50" i="3"/>
  <c r="GE50" i="3"/>
  <c r="GF50" i="3"/>
  <c r="GG50" i="3"/>
  <c r="GH50" i="3"/>
  <c r="GI50" i="3"/>
  <c r="GJ50" i="3"/>
  <c r="GK50" i="3"/>
  <c r="GL50" i="3"/>
  <c r="GM50" i="3"/>
  <c r="GN50" i="3"/>
  <c r="GO50" i="3"/>
  <c r="GP50" i="3"/>
  <c r="GQ50" i="3"/>
  <c r="GR50" i="3"/>
  <c r="GS50" i="3"/>
  <c r="GT50" i="3"/>
  <c r="GU50" i="3"/>
  <c r="GV50" i="3"/>
  <c r="GW50" i="3"/>
  <c r="GX50" i="3"/>
  <c r="GY50" i="3"/>
  <c r="GZ50" i="3"/>
  <c r="HA50" i="3"/>
  <c r="HB50" i="3"/>
  <c r="HC50" i="3"/>
  <c r="HD50" i="3"/>
  <c r="HE50" i="3"/>
  <c r="HF50" i="3"/>
  <c r="HG50" i="3"/>
  <c r="HH50" i="3"/>
  <c r="HI50" i="3"/>
  <c r="HJ50" i="3"/>
  <c r="HK50" i="3"/>
  <c r="HL50" i="3"/>
  <c r="HM50" i="3"/>
  <c r="HN50" i="3"/>
  <c r="HO50" i="3"/>
  <c r="HP50" i="3"/>
  <c r="HQ50" i="3"/>
  <c r="HR50" i="3"/>
  <c r="HS50" i="3"/>
  <c r="HT50" i="3"/>
  <c r="HU50" i="3"/>
  <c r="HV50" i="3"/>
  <c r="HW50" i="3"/>
  <c r="HX50" i="3"/>
  <c r="HY50" i="3"/>
  <c r="HZ50" i="3"/>
  <c r="IA50" i="3"/>
  <c r="IB50" i="3"/>
  <c r="IC50" i="3"/>
  <c r="ID50" i="3"/>
  <c r="IE50" i="3"/>
  <c r="IF50" i="3"/>
  <c r="IG50" i="3"/>
  <c r="IH50" i="3"/>
  <c r="II50" i="3"/>
  <c r="IJ50" i="3"/>
  <c r="IK50" i="3"/>
  <c r="IL50" i="3"/>
  <c r="IM50" i="3"/>
  <c r="IN50" i="3"/>
  <c r="IO50" i="3"/>
  <c r="IP50" i="3"/>
  <c r="IQ50" i="3"/>
  <c r="IR50" i="3"/>
  <c r="IS50" i="3"/>
  <c r="IT50" i="3"/>
  <c r="IU50" i="3"/>
  <c r="IV50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DC49" i="3"/>
  <c r="DD49" i="3"/>
  <c r="DE49" i="3"/>
  <c r="DF49" i="3"/>
  <c r="DG49" i="3"/>
  <c r="DH49" i="3"/>
  <c r="DI49" i="3"/>
  <c r="DJ49" i="3"/>
  <c r="DK49" i="3"/>
  <c r="DL49" i="3"/>
  <c r="DM49" i="3"/>
  <c r="DN49" i="3"/>
  <c r="DO49" i="3"/>
  <c r="DP49" i="3"/>
  <c r="DQ49" i="3"/>
  <c r="DR49" i="3"/>
  <c r="DS49" i="3"/>
  <c r="DT49" i="3"/>
  <c r="DU49" i="3"/>
  <c r="DV49" i="3"/>
  <c r="DW49" i="3"/>
  <c r="DX49" i="3"/>
  <c r="DY49" i="3"/>
  <c r="DZ49" i="3"/>
  <c r="EA49" i="3"/>
  <c r="EB49" i="3"/>
  <c r="EC49" i="3"/>
  <c r="ED49" i="3"/>
  <c r="EE49" i="3"/>
  <c r="EF49" i="3"/>
  <c r="EG49" i="3"/>
  <c r="EH49" i="3"/>
  <c r="EI49" i="3"/>
  <c r="EJ49" i="3"/>
  <c r="EK49" i="3"/>
  <c r="EL49" i="3"/>
  <c r="EM49" i="3"/>
  <c r="EN49" i="3"/>
  <c r="EO49" i="3"/>
  <c r="EP49" i="3"/>
  <c r="EQ49" i="3"/>
  <c r="ER49" i="3"/>
  <c r="ES49" i="3"/>
  <c r="ET49" i="3"/>
  <c r="EU49" i="3"/>
  <c r="EV49" i="3"/>
  <c r="EW49" i="3"/>
  <c r="EX49" i="3"/>
  <c r="EY49" i="3"/>
  <c r="EZ49" i="3"/>
  <c r="FA49" i="3"/>
  <c r="FB49" i="3"/>
  <c r="FC49" i="3"/>
  <c r="FD49" i="3"/>
  <c r="FE49" i="3"/>
  <c r="FF49" i="3"/>
  <c r="FG49" i="3"/>
  <c r="FH49" i="3"/>
  <c r="FI49" i="3"/>
  <c r="FJ49" i="3"/>
  <c r="FK49" i="3"/>
  <c r="FL49" i="3"/>
  <c r="FM49" i="3"/>
  <c r="FN49" i="3"/>
  <c r="FO49" i="3"/>
  <c r="FP49" i="3"/>
  <c r="FQ49" i="3"/>
  <c r="FR49" i="3"/>
  <c r="FS49" i="3"/>
  <c r="FT49" i="3"/>
  <c r="FU49" i="3"/>
  <c r="FV49" i="3"/>
  <c r="FW49" i="3"/>
  <c r="FX49" i="3"/>
  <c r="FY49" i="3"/>
  <c r="FZ49" i="3"/>
  <c r="GA49" i="3"/>
  <c r="GB49" i="3"/>
  <c r="GC49" i="3"/>
  <c r="GD49" i="3"/>
  <c r="GE49" i="3"/>
  <c r="GF49" i="3"/>
  <c r="GG49" i="3"/>
  <c r="GH49" i="3"/>
  <c r="GI49" i="3"/>
  <c r="GJ49" i="3"/>
  <c r="GK49" i="3"/>
  <c r="GL49" i="3"/>
  <c r="GM49" i="3"/>
  <c r="GN49" i="3"/>
  <c r="GO49" i="3"/>
  <c r="GP49" i="3"/>
  <c r="GQ49" i="3"/>
  <c r="GR49" i="3"/>
  <c r="GS49" i="3"/>
  <c r="GT49" i="3"/>
  <c r="GU49" i="3"/>
  <c r="GV49" i="3"/>
  <c r="GW49" i="3"/>
  <c r="GX49" i="3"/>
  <c r="GY49" i="3"/>
  <c r="GZ49" i="3"/>
  <c r="HA49" i="3"/>
  <c r="HB49" i="3"/>
  <c r="HC49" i="3"/>
  <c r="HD49" i="3"/>
  <c r="HE49" i="3"/>
  <c r="HF49" i="3"/>
  <c r="HG49" i="3"/>
  <c r="HH49" i="3"/>
  <c r="HI49" i="3"/>
  <c r="HJ49" i="3"/>
  <c r="HK49" i="3"/>
  <c r="HL49" i="3"/>
  <c r="HM49" i="3"/>
  <c r="HN49" i="3"/>
  <c r="HO49" i="3"/>
  <c r="HP49" i="3"/>
  <c r="HQ49" i="3"/>
  <c r="HR49" i="3"/>
  <c r="HS49" i="3"/>
  <c r="HT49" i="3"/>
  <c r="HU49" i="3"/>
  <c r="HV49" i="3"/>
  <c r="HW49" i="3"/>
  <c r="HX49" i="3"/>
  <c r="HY49" i="3"/>
  <c r="HZ49" i="3"/>
  <c r="IA49" i="3"/>
  <c r="IB49" i="3"/>
  <c r="IC49" i="3"/>
  <c r="ID49" i="3"/>
  <c r="IE49" i="3"/>
  <c r="IF49" i="3"/>
  <c r="IG49" i="3"/>
  <c r="IH49" i="3"/>
  <c r="II49" i="3"/>
  <c r="IJ49" i="3"/>
  <c r="IK49" i="3"/>
  <c r="IL49" i="3"/>
  <c r="IM49" i="3"/>
  <c r="IN49" i="3"/>
  <c r="IO49" i="3"/>
  <c r="IP49" i="3"/>
  <c r="IQ49" i="3"/>
  <c r="IR49" i="3"/>
  <c r="IS49" i="3"/>
  <c r="IT49" i="3"/>
  <c r="IU49" i="3"/>
  <c r="IV49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DC48" i="3"/>
  <c r="DD48" i="3"/>
  <c r="DE48" i="3"/>
  <c r="DF48" i="3"/>
  <c r="DG48" i="3"/>
  <c r="DH48" i="3"/>
  <c r="DI48" i="3"/>
  <c r="DJ48" i="3"/>
  <c r="DK48" i="3"/>
  <c r="DL48" i="3"/>
  <c r="DM48" i="3"/>
  <c r="DN48" i="3"/>
  <c r="DO48" i="3"/>
  <c r="DP48" i="3"/>
  <c r="DQ48" i="3"/>
  <c r="DR48" i="3"/>
  <c r="DS48" i="3"/>
  <c r="DT48" i="3"/>
  <c r="DU48" i="3"/>
  <c r="DV48" i="3"/>
  <c r="DW48" i="3"/>
  <c r="DX48" i="3"/>
  <c r="DY48" i="3"/>
  <c r="DZ48" i="3"/>
  <c r="EA48" i="3"/>
  <c r="EB48" i="3"/>
  <c r="EC48" i="3"/>
  <c r="ED48" i="3"/>
  <c r="EE48" i="3"/>
  <c r="EF48" i="3"/>
  <c r="EG48" i="3"/>
  <c r="EH48" i="3"/>
  <c r="EI48" i="3"/>
  <c r="EJ48" i="3"/>
  <c r="EK48" i="3"/>
  <c r="EL48" i="3"/>
  <c r="EM48" i="3"/>
  <c r="EN48" i="3"/>
  <c r="EO48" i="3"/>
  <c r="EP48" i="3"/>
  <c r="EQ48" i="3"/>
  <c r="ER48" i="3"/>
  <c r="ES48" i="3"/>
  <c r="ET48" i="3"/>
  <c r="EU48" i="3"/>
  <c r="EV48" i="3"/>
  <c r="EW48" i="3"/>
  <c r="EX48" i="3"/>
  <c r="EY48" i="3"/>
  <c r="EZ48" i="3"/>
  <c r="FA48" i="3"/>
  <c r="FB48" i="3"/>
  <c r="FC48" i="3"/>
  <c r="FD48" i="3"/>
  <c r="FE48" i="3"/>
  <c r="FF48" i="3"/>
  <c r="FG48" i="3"/>
  <c r="FH48" i="3"/>
  <c r="FI48" i="3"/>
  <c r="FJ48" i="3"/>
  <c r="FK48" i="3"/>
  <c r="FL48" i="3"/>
  <c r="FM48" i="3"/>
  <c r="FN48" i="3"/>
  <c r="FO48" i="3"/>
  <c r="FP48" i="3"/>
  <c r="FQ48" i="3"/>
  <c r="FR48" i="3"/>
  <c r="FS48" i="3"/>
  <c r="FT48" i="3"/>
  <c r="FU48" i="3"/>
  <c r="FV48" i="3"/>
  <c r="FW48" i="3"/>
  <c r="FX48" i="3"/>
  <c r="FY48" i="3"/>
  <c r="FZ48" i="3"/>
  <c r="GA48" i="3"/>
  <c r="GB48" i="3"/>
  <c r="GC48" i="3"/>
  <c r="GD48" i="3"/>
  <c r="GE48" i="3"/>
  <c r="GF48" i="3"/>
  <c r="GG48" i="3"/>
  <c r="GH48" i="3"/>
  <c r="GI48" i="3"/>
  <c r="GJ48" i="3"/>
  <c r="GK48" i="3"/>
  <c r="GL48" i="3"/>
  <c r="GM48" i="3"/>
  <c r="GN48" i="3"/>
  <c r="GO48" i="3"/>
  <c r="GP48" i="3"/>
  <c r="GQ48" i="3"/>
  <c r="GR48" i="3"/>
  <c r="GS48" i="3"/>
  <c r="GT48" i="3"/>
  <c r="GU48" i="3"/>
  <c r="GV48" i="3"/>
  <c r="GW48" i="3"/>
  <c r="GX48" i="3"/>
  <c r="GY48" i="3"/>
  <c r="GZ48" i="3"/>
  <c r="HA48" i="3"/>
  <c r="HB48" i="3"/>
  <c r="HC48" i="3"/>
  <c r="HD48" i="3"/>
  <c r="HE48" i="3"/>
  <c r="HF48" i="3"/>
  <c r="HG48" i="3"/>
  <c r="HH48" i="3"/>
  <c r="HI48" i="3"/>
  <c r="HJ48" i="3"/>
  <c r="HK48" i="3"/>
  <c r="HL48" i="3"/>
  <c r="HM48" i="3"/>
  <c r="HN48" i="3"/>
  <c r="HO48" i="3"/>
  <c r="HP48" i="3"/>
  <c r="HQ48" i="3"/>
  <c r="HR48" i="3"/>
  <c r="HS48" i="3"/>
  <c r="HT48" i="3"/>
  <c r="HU48" i="3"/>
  <c r="HV48" i="3"/>
  <c r="HW48" i="3"/>
  <c r="HX48" i="3"/>
  <c r="HY48" i="3"/>
  <c r="HZ48" i="3"/>
  <c r="IA48" i="3"/>
  <c r="IB48" i="3"/>
  <c r="IC48" i="3"/>
  <c r="ID48" i="3"/>
  <c r="IE48" i="3"/>
  <c r="IF48" i="3"/>
  <c r="IG48" i="3"/>
  <c r="IH48" i="3"/>
  <c r="II48" i="3"/>
  <c r="IJ48" i="3"/>
  <c r="IK48" i="3"/>
  <c r="IL48" i="3"/>
  <c r="IM48" i="3"/>
  <c r="IN48" i="3"/>
  <c r="IO48" i="3"/>
  <c r="IP48" i="3"/>
  <c r="IQ48" i="3"/>
  <c r="IR48" i="3"/>
  <c r="IS48" i="3"/>
  <c r="IT48" i="3"/>
  <c r="IU48" i="3"/>
  <c r="IV48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DC47" i="3"/>
  <c r="DD47" i="3"/>
  <c r="DE47" i="3"/>
  <c r="DF47" i="3"/>
  <c r="DG47" i="3"/>
  <c r="DH47" i="3"/>
  <c r="DI47" i="3"/>
  <c r="DJ47" i="3"/>
  <c r="DK47" i="3"/>
  <c r="DL47" i="3"/>
  <c r="DM47" i="3"/>
  <c r="DN47" i="3"/>
  <c r="DO47" i="3"/>
  <c r="DP47" i="3"/>
  <c r="DQ47" i="3"/>
  <c r="DR47" i="3"/>
  <c r="DS47" i="3"/>
  <c r="DT47" i="3"/>
  <c r="DU47" i="3"/>
  <c r="DV47" i="3"/>
  <c r="DW47" i="3"/>
  <c r="DX47" i="3"/>
  <c r="DY47" i="3"/>
  <c r="DZ47" i="3"/>
  <c r="EA47" i="3"/>
  <c r="EB47" i="3"/>
  <c r="EC47" i="3"/>
  <c r="ED47" i="3"/>
  <c r="EE47" i="3"/>
  <c r="EF47" i="3"/>
  <c r="EG47" i="3"/>
  <c r="EH47" i="3"/>
  <c r="EI47" i="3"/>
  <c r="EJ47" i="3"/>
  <c r="EK47" i="3"/>
  <c r="EL47" i="3"/>
  <c r="EM47" i="3"/>
  <c r="EN47" i="3"/>
  <c r="EO47" i="3"/>
  <c r="EP47" i="3"/>
  <c r="EQ47" i="3"/>
  <c r="ER47" i="3"/>
  <c r="ES47" i="3"/>
  <c r="ET47" i="3"/>
  <c r="EU47" i="3"/>
  <c r="EV47" i="3"/>
  <c r="EW47" i="3"/>
  <c r="EX47" i="3"/>
  <c r="EY47" i="3"/>
  <c r="EZ47" i="3"/>
  <c r="FA47" i="3"/>
  <c r="FB47" i="3"/>
  <c r="FC47" i="3"/>
  <c r="FD47" i="3"/>
  <c r="FE47" i="3"/>
  <c r="FF47" i="3"/>
  <c r="FG47" i="3"/>
  <c r="FH47" i="3"/>
  <c r="FI47" i="3"/>
  <c r="FJ47" i="3"/>
  <c r="FK47" i="3"/>
  <c r="FL47" i="3"/>
  <c r="FM47" i="3"/>
  <c r="FN47" i="3"/>
  <c r="FO47" i="3"/>
  <c r="FP47" i="3"/>
  <c r="FQ47" i="3"/>
  <c r="FR47" i="3"/>
  <c r="FS47" i="3"/>
  <c r="FT47" i="3"/>
  <c r="FU47" i="3"/>
  <c r="FV47" i="3"/>
  <c r="FW47" i="3"/>
  <c r="FX47" i="3"/>
  <c r="FY47" i="3"/>
  <c r="FZ47" i="3"/>
  <c r="GA47" i="3"/>
  <c r="GB47" i="3"/>
  <c r="GC47" i="3"/>
  <c r="GD47" i="3"/>
  <c r="GE47" i="3"/>
  <c r="GF47" i="3"/>
  <c r="GG47" i="3"/>
  <c r="GH47" i="3"/>
  <c r="GI47" i="3"/>
  <c r="GJ47" i="3"/>
  <c r="GK47" i="3"/>
  <c r="GL47" i="3"/>
  <c r="GM47" i="3"/>
  <c r="GN47" i="3"/>
  <c r="GO47" i="3"/>
  <c r="GP47" i="3"/>
  <c r="GQ47" i="3"/>
  <c r="GR47" i="3"/>
  <c r="GS47" i="3"/>
  <c r="GT47" i="3"/>
  <c r="GU47" i="3"/>
  <c r="GV47" i="3"/>
  <c r="GW47" i="3"/>
  <c r="GX47" i="3"/>
  <c r="GY47" i="3"/>
  <c r="GZ47" i="3"/>
  <c r="HA47" i="3"/>
  <c r="HB47" i="3"/>
  <c r="HC47" i="3"/>
  <c r="HD47" i="3"/>
  <c r="HE47" i="3"/>
  <c r="HF47" i="3"/>
  <c r="HG47" i="3"/>
  <c r="HH47" i="3"/>
  <c r="HI47" i="3"/>
  <c r="HJ47" i="3"/>
  <c r="HK47" i="3"/>
  <c r="HL47" i="3"/>
  <c r="HM47" i="3"/>
  <c r="HN47" i="3"/>
  <c r="HO47" i="3"/>
  <c r="HP47" i="3"/>
  <c r="HQ47" i="3"/>
  <c r="HR47" i="3"/>
  <c r="HS47" i="3"/>
  <c r="HT47" i="3"/>
  <c r="HU47" i="3"/>
  <c r="HV47" i="3"/>
  <c r="HW47" i="3"/>
  <c r="HX47" i="3"/>
  <c r="HY47" i="3"/>
  <c r="HZ47" i="3"/>
  <c r="IA47" i="3"/>
  <c r="IB47" i="3"/>
  <c r="IC47" i="3"/>
  <c r="ID47" i="3"/>
  <c r="IE47" i="3"/>
  <c r="IF47" i="3"/>
  <c r="IG47" i="3"/>
  <c r="IH47" i="3"/>
  <c r="II47" i="3"/>
  <c r="IJ47" i="3"/>
  <c r="IK47" i="3"/>
  <c r="IL47" i="3"/>
  <c r="IM47" i="3"/>
  <c r="IN47" i="3"/>
  <c r="IO47" i="3"/>
  <c r="IP47" i="3"/>
  <c r="IQ47" i="3"/>
  <c r="IR47" i="3"/>
  <c r="IS47" i="3"/>
  <c r="IT47" i="3"/>
  <c r="IU47" i="3"/>
  <c r="IV47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DC46" i="3"/>
  <c r="DD46" i="3"/>
  <c r="DE46" i="3"/>
  <c r="DF46" i="3"/>
  <c r="DG46" i="3"/>
  <c r="DH46" i="3"/>
  <c r="DI46" i="3"/>
  <c r="DJ46" i="3"/>
  <c r="DK46" i="3"/>
  <c r="DL46" i="3"/>
  <c r="DM46" i="3"/>
  <c r="DN46" i="3"/>
  <c r="DO46" i="3"/>
  <c r="DP46" i="3"/>
  <c r="DQ46" i="3"/>
  <c r="DR46" i="3"/>
  <c r="DS46" i="3"/>
  <c r="DT46" i="3"/>
  <c r="DU46" i="3"/>
  <c r="DV46" i="3"/>
  <c r="DW46" i="3"/>
  <c r="DX46" i="3"/>
  <c r="DY46" i="3"/>
  <c r="DZ46" i="3"/>
  <c r="EA46" i="3"/>
  <c r="EB46" i="3"/>
  <c r="EC46" i="3"/>
  <c r="ED46" i="3"/>
  <c r="EE46" i="3"/>
  <c r="EF46" i="3"/>
  <c r="EG46" i="3"/>
  <c r="EH46" i="3"/>
  <c r="EI46" i="3"/>
  <c r="EJ46" i="3"/>
  <c r="EK46" i="3"/>
  <c r="EL46" i="3"/>
  <c r="EM46" i="3"/>
  <c r="EN46" i="3"/>
  <c r="EO46" i="3"/>
  <c r="EP46" i="3"/>
  <c r="EQ46" i="3"/>
  <c r="ER46" i="3"/>
  <c r="ES46" i="3"/>
  <c r="ET46" i="3"/>
  <c r="EU46" i="3"/>
  <c r="EV46" i="3"/>
  <c r="EW46" i="3"/>
  <c r="EX46" i="3"/>
  <c r="EY46" i="3"/>
  <c r="EZ46" i="3"/>
  <c r="FA46" i="3"/>
  <c r="FB46" i="3"/>
  <c r="FC46" i="3"/>
  <c r="FD46" i="3"/>
  <c r="FE46" i="3"/>
  <c r="FF46" i="3"/>
  <c r="FG46" i="3"/>
  <c r="FH46" i="3"/>
  <c r="FI46" i="3"/>
  <c r="FJ46" i="3"/>
  <c r="FK46" i="3"/>
  <c r="FL46" i="3"/>
  <c r="FM46" i="3"/>
  <c r="FN46" i="3"/>
  <c r="FO46" i="3"/>
  <c r="FP46" i="3"/>
  <c r="FQ46" i="3"/>
  <c r="FR46" i="3"/>
  <c r="FS46" i="3"/>
  <c r="FT46" i="3"/>
  <c r="FU46" i="3"/>
  <c r="FV46" i="3"/>
  <c r="FW46" i="3"/>
  <c r="FX46" i="3"/>
  <c r="FY46" i="3"/>
  <c r="FZ46" i="3"/>
  <c r="GA46" i="3"/>
  <c r="GB46" i="3"/>
  <c r="GC46" i="3"/>
  <c r="GD46" i="3"/>
  <c r="GE46" i="3"/>
  <c r="GF46" i="3"/>
  <c r="GG46" i="3"/>
  <c r="GH46" i="3"/>
  <c r="GI46" i="3"/>
  <c r="GJ46" i="3"/>
  <c r="GK46" i="3"/>
  <c r="GL46" i="3"/>
  <c r="GM46" i="3"/>
  <c r="GN46" i="3"/>
  <c r="GO46" i="3"/>
  <c r="GP46" i="3"/>
  <c r="GQ46" i="3"/>
  <c r="GR46" i="3"/>
  <c r="GS46" i="3"/>
  <c r="GT46" i="3"/>
  <c r="GU46" i="3"/>
  <c r="GV46" i="3"/>
  <c r="GW46" i="3"/>
  <c r="GX46" i="3"/>
  <c r="GY46" i="3"/>
  <c r="GZ46" i="3"/>
  <c r="HA46" i="3"/>
  <c r="HB46" i="3"/>
  <c r="HC46" i="3"/>
  <c r="HD46" i="3"/>
  <c r="HE46" i="3"/>
  <c r="HF46" i="3"/>
  <c r="HG46" i="3"/>
  <c r="HH46" i="3"/>
  <c r="HI46" i="3"/>
  <c r="HJ46" i="3"/>
  <c r="HK46" i="3"/>
  <c r="HL46" i="3"/>
  <c r="HM46" i="3"/>
  <c r="HN46" i="3"/>
  <c r="HO46" i="3"/>
  <c r="HP46" i="3"/>
  <c r="HQ46" i="3"/>
  <c r="HR46" i="3"/>
  <c r="HS46" i="3"/>
  <c r="HT46" i="3"/>
  <c r="HU46" i="3"/>
  <c r="HV46" i="3"/>
  <c r="HW46" i="3"/>
  <c r="HX46" i="3"/>
  <c r="HY46" i="3"/>
  <c r="HZ46" i="3"/>
  <c r="IA46" i="3"/>
  <c r="IB46" i="3"/>
  <c r="IC46" i="3"/>
  <c r="ID46" i="3"/>
  <c r="IE46" i="3"/>
  <c r="IF46" i="3"/>
  <c r="IG46" i="3"/>
  <c r="IH46" i="3"/>
  <c r="II46" i="3"/>
  <c r="IJ46" i="3"/>
  <c r="IK46" i="3"/>
  <c r="IL46" i="3"/>
  <c r="IM46" i="3"/>
  <c r="IN46" i="3"/>
  <c r="IO46" i="3"/>
  <c r="IP46" i="3"/>
  <c r="IQ46" i="3"/>
  <c r="IR46" i="3"/>
  <c r="IS46" i="3"/>
  <c r="IT46" i="3"/>
  <c r="IU46" i="3"/>
  <c r="IV46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DC45" i="3"/>
  <c r="DD45" i="3"/>
  <c r="DE45" i="3"/>
  <c r="DF45" i="3"/>
  <c r="DG45" i="3"/>
  <c r="DH45" i="3"/>
  <c r="DI45" i="3"/>
  <c r="DJ45" i="3"/>
  <c r="DK45" i="3"/>
  <c r="DL45" i="3"/>
  <c r="DM45" i="3"/>
  <c r="DN45" i="3"/>
  <c r="DO45" i="3"/>
  <c r="DP45" i="3"/>
  <c r="DQ45" i="3"/>
  <c r="DR45" i="3"/>
  <c r="DS45" i="3"/>
  <c r="DT45" i="3"/>
  <c r="DU45" i="3"/>
  <c r="DV45" i="3"/>
  <c r="DW45" i="3"/>
  <c r="DX45" i="3"/>
  <c r="DY45" i="3"/>
  <c r="DZ45" i="3"/>
  <c r="EA45" i="3"/>
  <c r="EB45" i="3"/>
  <c r="EC45" i="3"/>
  <c r="ED45" i="3"/>
  <c r="EE45" i="3"/>
  <c r="EF45" i="3"/>
  <c r="EG45" i="3"/>
  <c r="EH45" i="3"/>
  <c r="EI45" i="3"/>
  <c r="EJ45" i="3"/>
  <c r="EK45" i="3"/>
  <c r="EL45" i="3"/>
  <c r="EM45" i="3"/>
  <c r="EN45" i="3"/>
  <c r="EO45" i="3"/>
  <c r="EP45" i="3"/>
  <c r="EQ45" i="3"/>
  <c r="ER45" i="3"/>
  <c r="ES45" i="3"/>
  <c r="ET45" i="3"/>
  <c r="EU45" i="3"/>
  <c r="EV45" i="3"/>
  <c r="EW45" i="3"/>
  <c r="EX45" i="3"/>
  <c r="EY45" i="3"/>
  <c r="EZ45" i="3"/>
  <c r="FA45" i="3"/>
  <c r="FB45" i="3"/>
  <c r="FC45" i="3"/>
  <c r="FD45" i="3"/>
  <c r="FE45" i="3"/>
  <c r="FF45" i="3"/>
  <c r="FG45" i="3"/>
  <c r="FH45" i="3"/>
  <c r="FI45" i="3"/>
  <c r="FJ45" i="3"/>
  <c r="FK45" i="3"/>
  <c r="FL45" i="3"/>
  <c r="FM45" i="3"/>
  <c r="FN45" i="3"/>
  <c r="FO45" i="3"/>
  <c r="FP45" i="3"/>
  <c r="FQ45" i="3"/>
  <c r="FR45" i="3"/>
  <c r="FS45" i="3"/>
  <c r="FT45" i="3"/>
  <c r="FU45" i="3"/>
  <c r="FV45" i="3"/>
  <c r="FW45" i="3"/>
  <c r="FX45" i="3"/>
  <c r="FY45" i="3"/>
  <c r="FZ45" i="3"/>
  <c r="GA45" i="3"/>
  <c r="GB45" i="3"/>
  <c r="GC45" i="3"/>
  <c r="GD45" i="3"/>
  <c r="GE45" i="3"/>
  <c r="GF45" i="3"/>
  <c r="GG45" i="3"/>
  <c r="GH45" i="3"/>
  <c r="GI45" i="3"/>
  <c r="GJ45" i="3"/>
  <c r="GK45" i="3"/>
  <c r="GL45" i="3"/>
  <c r="GM45" i="3"/>
  <c r="GN45" i="3"/>
  <c r="GO45" i="3"/>
  <c r="GP45" i="3"/>
  <c r="GQ45" i="3"/>
  <c r="GR45" i="3"/>
  <c r="GS45" i="3"/>
  <c r="GT45" i="3"/>
  <c r="GU45" i="3"/>
  <c r="GV45" i="3"/>
  <c r="GW45" i="3"/>
  <c r="GX45" i="3"/>
  <c r="GY45" i="3"/>
  <c r="GZ45" i="3"/>
  <c r="HA45" i="3"/>
  <c r="HB45" i="3"/>
  <c r="HC45" i="3"/>
  <c r="HD45" i="3"/>
  <c r="HE45" i="3"/>
  <c r="HF45" i="3"/>
  <c r="HG45" i="3"/>
  <c r="HH45" i="3"/>
  <c r="HI45" i="3"/>
  <c r="HJ45" i="3"/>
  <c r="HK45" i="3"/>
  <c r="HL45" i="3"/>
  <c r="HM45" i="3"/>
  <c r="HN45" i="3"/>
  <c r="HO45" i="3"/>
  <c r="HP45" i="3"/>
  <c r="HQ45" i="3"/>
  <c r="HR45" i="3"/>
  <c r="HS45" i="3"/>
  <c r="HT45" i="3"/>
  <c r="HU45" i="3"/>
  <c r="HV45" i="3"/>
  <c r="HW45" i="3"/>
  <c r="HX45" i="3"/>
  <c r="HY45" i="3"/>
  <c r="HZ45" i="3"/>
  <c r="IA45" i="3"/>
  <c r="IB45" i="3"/>
  <c r="IC45" i="3"/>
  <c r="ID45" i="3"/>
  <c r="IE45" i="3"/>
  <c r="IF45" i="3"/>
  <c r="IG45" i="3"/>
  <c r="IH45" i="3"/>
  <c r="II45" i="3"/>
  <c r="IJ45" i="3"/>
  <c r="IK45" i="3"/>
  <c r="IL45" i="3"/>
  <c r="IM45" i="3"/>
  <c r="IN45" i="3"/>
  <c r="IO45" i="3"/>
  <c r="IP45" i="3"/>
  <c r="IQ45" i="3"/>
  <c r="IR45" i="3"/>
  <c r="IS45" i="3"/>
  <c r="IT45" i="3"/>
  <c r="IU45" i="3"/>
  <c r="IV45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DC44" i="3"/>
  <c r="DD44" i="3"/>
  <c r="DE44" i="3"/>
  <c r="DF44" i="3"/>
  <c r="DG44" i="3"/>
  <c r="DH44" i="3"/>
  <c r="DI44" i="3"/>
  <c r="DJ44" i="3"/>
  <c r="DK44" i="3"/>
  <c r="DL44" i="3"/>
  <c r="DM44" i="3"/>
  <c r="DN44" i="3"/>
  <c r="DO44" i="3"/>
  <c r="DP44" i="3"/>
  <c r="DQ44" i="3"/>
  <c r="DR44" i="3"/>
  <c r="DS44" i="3"/>
  <c r="DT44" i="3"/>
  <c r="DU44" i="3"/>
  <c r="DV44" i="3"/>
  <c r="DW44" i="3"/>
  <c r="DX44" i="3"/>
  <c r="DY44" i="3"/>
  <c r="DZ44" i="3"/>
  <c r="EA44" i="3"/>
  <c r="EB44" i="3"/>
  <c r="EC44" i="3"/>
  <c r="ED44" i="3"/>
  <c r="EE44" i="3"/>
  <c r="EF44" i="3"/>
  <c r="EG44" i="3"/>
  <c r="EH44" i="3"/>
  <c r="EI44" i="3"/>
  <c r="EJ44" i="3"/>
  <c r="EK44" i="3"/>
  <c r="EL44" i="3"/>
  <c r="EM44" i="3"/>
  <c r="EN44" i="3"/>
  <c r="EO44" i="3"/>
  <c r="EP44" i="3"/>
  <c r="EQ44" i="3"/>
  <c r="ER44" i="3"/>
  <c r="ES44" i="3"/>
  <c r="ET44" i="3"/>
  <c r="EU44" i="3"/>
  <c r="EV44" i="3"/>
  <c r="EW44" i="3"/>
  <c r="EX44" i="3"/>
  <c r="EY44" i="3"/>
  <c r="EZ44" i="3"/>
  <c r="FA44" i="3"/>
  <c r="FB44" i="3"/>
  <c r="FC44" i="3"/>
  <c r="FD44" i="3"/>
  <c r="FE44" i="3"/>
  <c r="FF44" i="3"/>
  <c r="FG44" i="3"/>
  <c r="FH44" i="3"/>
  <c r="FI44" i="3"/>
  <c r="FJ44" i="3"/>
  <c r="FK44" i="3"/>
  <c r="FL44" i="3"/>
  <c r="FM44" i="3"/>
  <c r="FN44" i="3"/>
  <c r="FO44" i="3"/>
  <c r="FP44" i="3"/>
  <c r="FQ44" i="3"/>
  <c r="FR44" i="3"/>
  <c r="FS44" i="3"/>
  <c r="FT44" i="3"/>
  <c r="FU44" i="3"/>
  <c r="FV44" i="3"/>
  <c r="FW44" i="3"/>
  <c r="FX44" i="3"/>
  <c r="FY44" i="3"/>
  <c r="FZ44" i="3"/>
  <c r="GA44" i="3"/>
  <c r="GB44" i="3"/>
  <c r="GC44" i="3"/>
  <c r="GD44" i="3"/>
  <c r="GE44" i="3"/>
  <c r="GF44" i="3"/>
  <c r="GG44" i="3"/>
  <c r="GH44" i="3"/>
  <c r="GI44" i="3"/>
  <c r="GJ44" i="3"/>
  <c r="GK44" i="3"/>
  <c r="GL44" i="3"/>
  <c r="GM44" i="3"/>
  <c r="GN44" i="3"/>
  <c r="GO44" i="3"/>
  <c r="GP44" i="3"/>
  <c r="GQ44" i="3"/>
  <c r="GR44" i="3"/>
  <c r="GS44" i="3"/>
  <c r="GT44" i="3"/>
  <c r="GU44" i="3"/>
  <c r="GV44" i="3"/>
  <c r="GW44" i="3"/>
  <c r="GX44" i="3"/>
  <c r="GY44" i="3"/>
  <c r="GZ44" i="3"/>
  <c r="HA44" i="3"/>
  <c r="HB44" i="3"/>
  <c r="HC44" i="3"/>
  <c r="HD44" i="3"/>
  <c r="HE44" i="3"/>
  <c r="HF44" i="3"/>
  <c r="HG44" i="3"/>
  <c r="HH44" i="3"/>
  <c r="HI44" i="3"/>
  <c r="HJ44" i="3"/>
  <c r="HK44" i="3"/>
  <c r="HL44" i="3"/>
  <c r="HM44" i="3"/>
  <c r="HN44" i="3"/>
  <c r="HO44" i="3"/>
  <c r="HP44" i="3"/>
  <c r="HQ44" i="3"/>
  <c r="HR44" i="3"/>
  <c r="HS44" i="3"/>
  <c r="HT44" i="3"/>
  <c r="HU44" i="3"/>
  <c r="HV44" i="3"/>
  <c r="HW44" i="3"/>
  <c r="HX44" i="3"/>
  <c r="HY44" i="3"/>
  <c r="HZ44" i="3"/>
  <c r="IA44" i="3"/>
  <c r="IB44" i="3"/>
  <c r="IC44" i="3"/>
  <c r="ID44" i="3"/>
  <c r="IE44" i="3"/>
  <c r="IF44" i="3"/>
  <c r="IG44" i="3"/>
  <c r="IH44" i="3"/>
  <c r="II44" i="3"/>
  <c r="IJ44" i="3"/>
  <c r="IK44" i="3"/>
  <c r="IL44" i="3"/>
  <c r="IM44" i="3"/>
  <c r="IN44" i="3"/>
  <c r="IO44" i="3"/>
  <c r="IP44" i="3"/>
  <c r="IQ44" i="3"/>
  <c r="IR44" i="3"/>
  <c r="IS44" i="3"/>
  <c r="IT44" i="3"/>
  <c r="IU44" i="3"/>
  <c r="IV44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DC43" i="3"/>
  <c r="DD43" i="3"/>
  <c r="DE43" i="3"/>
  <c r="DF43" i="3"/>
  <c r="DG43" i="3"/>
  <c r="DH43" i="3"/>
  <c r="DI43" i="3"/>
  <c r="DJ43" i="3"/>
  <c r="DK43" i="3"/>
  <c r="DL43" i="3"/>
  <c r="DM43" i="3"/>
  <c r="DN43" i="3"/>
  <c r="DO43" i="3"/>
  <c r="DP43" i="3"/>
  <c r="DQ43" i="3"/>
  <c r="DR43" i="3"/>
  <c r="DS43" i="3"/>
  <c r="DT43" i="3"/>
  <c r="DU43" i="3"/>
  <c r="DV43" i="3"/>
  <c r="DW43" i="3"/>
  <c r="DX43" i="3"/>
  <c r="DY43" i="3"/>
  <c r="DZ43" i="3"/>
  <c r="EA43" i="3"/>
  <c r="EB43" i="3"/>
  <c r="EC43" i="3"/>
  <c r="ED43" i="3"/>
  <c r="EE43" i="3"/>
  <c r="EF43" i="3"/>
  <c r="EG43" i="3"/>
  <c r="EH43" i="3"/>
  <c r="EI43" i="3"/>
  <c r="EJ43" i="3"/>
  <c r="EK43" i="3"/>
  <c r="EL43" i="3"/>
  <c r="EM43" i="3"/>
  <c r="EN43" i="3"/>
  <c r="EO43" i="3"/>
  <c r="EP43" i="3"/>
  <c r="EQ43" i="3"/>
  <c r="ER43" i="3"/>
  <c r="ES43" i="3"/>
  <c r="ET43" i="3"/>
  <c r="EU43" i="3"/>
  <c r="EV43" i="3"/>
  <c r="EW43" i="3"/>
  <c r="EX43" i="3"/>
  <c r="EY43" i="3"/>
  <c r="EZ43" i="3"/>
  <c r="FA43" i="3"/>
  <c r="FB43" i="3"/>
  <c r="FC43" i="3"/>
  <c r="FD43" i="3"/>
  <c r="FE43" i="3"/>
  <c r="FF43" i="3"/>
  <c r="FG43" i="3"/>
  <c r="FH43" i="3"/>
  <c r="FI43" i="3"/>
  <c r="FJ43" i="3"/>
  <c r="FK43" i="3"/>
  <c r="FL43" i="3"/>
  <c r="FM43" i="3"/>
  <c r="FN43" i="3"/>
  <c r="FO43" i="3"/>
  <c r="FP43" i="3"/>
  <c r="FQ43" i="3"/>
  <c r="FR43" i="3"/>
  <c r="FS43" i="3"/>
  <c r="FT43" i="3"/>
  <c r="FU43" i="3"/>
  <c r="FV43" i="3"/>
  <c r="FW43" i="3"/>
  <c r="FX43" i="3"/>
  <c r="FY43" i="3"/>
  <c r="FZ43" i="3"/>
  <c r="GA43" i="3"/>
  <c r="GB43" i="3"/>
  <c r="GC43" i="3"/>
  <c r="GD43" i="3"/>
  <c r="GE43" i="3"/>
  <c r="GF43" i="3"/>
  <c r="GG43" i="3"/>
  <c r="GH43" i="3"/>
  <c r="GI43" i="3"/>
  <c r="GJ43" i="3"/>
  <c r="GK43" i="3"/>
  <c r="GL43" i="3"/>
  <c r="GM43" i="3"/>
  <c r="GN43" i="3"/>
  <c r="GO43" i="3"/>
  <c r="GP43" i="3"/>
  <c r="GQ43" i="3"/>
  <c r="GR43" i="3"/>
  <c r="GS43" i="3"/>
  <c r="GT43" i="3"/>
  <c r="GU43" i="3"/>
  <c r="GV43" i="3"/>
  <c r="GW43" i="3"/>
  <c r="GX43" i="3"/>
  <c r="GY43" i="3"/>
  <c r="GZ43" i="3"/>
  <c r="HA43" i="3"/>
  <c r="HB43" i="3"/>
  <c r="HC43" i="3"/>
  <c r="HD43" i="3"/>
  <c r="HE43" i="3"/>
  <c r="HF43" i="3"/>
  <c r="HG43" i="3"/>
  <c r="HH43" i="3"/>
  <c r="HI43" i="3"/>
  <c r="HJ43" i="3"/>
  <c r="HK43" i="3"/>
  <c r="HL43" i="3"/>
  <c r="HM43" i="3"/>
  <c r="HN43" i="3"/>
  <c r="HO43" i="3"/>
  <c r="HP43" i="3"/>
  <c r="HQ43" i="3"/>
  <c r="HR43" i="3"/>
  <c r="HS43" i="3"/>
  <c r="HT43" i="3"/>
  <c r="HU43" i="3"/>
  <c r="HV43" i="3"/>
  <c r="HW43" i="3"/>
  <c r="HX43" i="3"/>
  <c r="HY43" i="3"/>
  <c r="HZ43" i="3"/>
  <c r="IA43" i="3"/>
  <c r="IB43" i="3"/>
  <c r="IC43" i="3"/>
  <c r="ID43" i="3"/>
  <c r="IE43" i="3"/>
  <c r="IF43" i="3"/>
  <c r="IG43" i="3"/>
  <c r="IH43" i="3"/>
  <c r="II43" i="3"/>
  <c r="IJ43" i="3"/>
  <c r="IK43" i="3"/>
  <c r="IL43" i="3"/>
  <c r="IM43" i="3"/>
  <c r="IN43" i="3"/>
  <c r="IO43" i="3"/>
  <c r="IP43" i="3"/>
  <c r="IQ43" i="3"/>
  <c r="IR43" i="3"/>
  <c r="IS43" i="3"/>
  <c r="IT43" i="3"/>
  <c r="IU43" i="3"/>
  <c r="IV43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DC42" i="3"/>
  <c r="DD42" i="3"/>
  <c r="DE42" i="3"/>
  <c r="DF42" i="3"/>
  <c r="DG42" i="3"/>
  <c r="DH42" i="3"/>
  <c r="DI42" i="3"/>
  <c r="DJ42" i="3"/>
  <c r="DK42" i="3"/>
  <c r="DL42" i="3"/>
  <c r="DM42" i="3"/>
  <c r="DN42" i="3"/>
  <c r="DO42" i="3"/>
  <c r="DP42" i="3"/>
  <c r="DQ42" i="3"/>
  <c r="DR42" i="3"/>
  <c r="DS42" i="3"/>
  <c r="DT42" i="3"/>
  <c r="DU42" i="3"/>
  <c r="DV42" i="3"/>
  <c r="DW42" i="3"/>
  <c r="DX42" i="3"/>
  <c r="DY42" i="3"/>
  <c r="DZ42" i="3"/>
  <c r="EA42" i="3"/>
  <c r="EB42" i="3"/>
  <c r="EC42" i="3"/>
  <c r="ED42" i="3"/>
  <c r="EE42" i="3"/>
  <c r="EF42" i="3"/>
  <c r="EG42" i="3"/>
  <c r="EH42" i="3"/>
  <c r="EI42" i="3"/>
  <c r="EJ42" i="3"/>
  <c r="EK42" i="3"/>
  <c r="EL42" i="3"/>
  <c r="EM42" i="3"/>
  <c r="EN42" i="3"/>
  <c r="EO42" i="3"/>
  <c r="EP42" i="3"/>
  <c r="EQ42" i="3"/>
  <c r="ER42" i="3"/>
  <c r="ES42" i="3"/>
  <c r="ET42" i="3"/>
  <c r="EU42" i="3"/>
  <c r="EV42" i="3"/>
  <c r="EW42" i="3"/>
  <c r="EX42" i="3"/>
  <c r="EY42" i="3"/>
  <c r="EZ42" i="3"/>
  <c r="FA42" i="3"/>
  <c r="FB42" i="3"/>
  <c r="FC42" i="3"/>
  <c r="FD42" i="3"/>
  <c r="FE42" i="3"/>
  <c r="FF42" i="3"/>
  <c r="FG42" i="3"/>
  <c r="FH42" i="3"/>
  <c r="FI42" i="3"/>
  <c r="FJ42" i="3"/>
  <c r="FK42" i="3"/>
  <c r="FL42" i="3"/>
  <c r="FM42" i="3"/>
  <c r="FN42" i="3"/>
  <c r="FO42" i="3"/>
  <c r="FP42" i="3"/>
  <c r="FQ42" i="3"/>
  <c r="FR42" i="3"/>
  <c r="FS42" i="3"/>
  <c r="FT42" i="3"/>
  <c r="FU42" i="3"/>
  <c r="FV42" i="3"/>
  <c r="FW42" i="3"/>
  <c r="FX42" i="3"/>
  <c r="FY42" i="3"/>
  <c r="FZ42" i="3"/>
  <c r="GA42" i="3"/>
  <c r="GB42" i="3"/>
  <c r="GC42" i="3"/>
  <c r="GD42" i="3"/>
  <c r="GE42" i="3"/>
  <c r="GF42" i="3"/>
  <c r="GG42" i="3"/>
  <c r="GH42" i="3"/>
  <c r="GI42" i="3"/>
  <c r="GJ42" i="3"/>
  <c r="GK42" i="3"/>
  <c r="GL42" i="3"/>
  <c r="GM42" i="3"/>
  <c r="GN42" i="3"/>
  <c r="GO42" i="3"/>
  <c r="GP42" i="3"/>
  <c r="GQ42" i="3"/>
  <c r="GR42" i="3"/>
  <c r="GS42" i="3"/>
  <c r="GT42" i="3"/>
  <c r="GU42" i="3"/>
  <c r="GV42" i="3"/>
  <c r="GW42" i="3"/>
  <c r="GX42" i="3"/>
  <c r="GY42" i="3"/>
  <c r="GZ42" i="3"/>
  <c r="HA42" i="3"/>
  <c r="HB42" i="3"/>
  <c r="HC42" i="3"/>
  <c r="HD42" i="3"/>
  <c r="HE42" i="3"/>
  <c r="HF42" i="3"/>
  <c r="HG42" i="3"/>
  <c r="HH42" i="3"/>
  <c r="HI42" i="3"/>
  <c r="HJ42" i="3"/>
  <c r="HK42" i="3"/>
  <c r="HL42" i="3"/>
  <c r="HM42" i="3"/>
  <c r="HN42" i="3"/>
  <c r="HO42" i="3"/>
  <c r="HP42" i="3"/>
  <c r="HQ42" i="3"/>
  <c r="HR42" i="3"/>
  <c r="HS42" i="3"/>
  <c r="HT42" i="3"/>
  <c r="HU42" i="3"/>
  <c r="HV42" i="3"/>
  <c r="HW42" i="3"/>
  <c r="HX42" i="3"/>
  <c r="HY42" i="3"/>
  <c r="HZ42" i="3"/>
  <c r="IA42" i="3"/>
  <c r="IB42" i="3"/>
  <c r="IC42" i="3"/>
  <c r="ID42" i="3"/>
  <c r="IE42" i="3"/>
  <c r="IF42" i="3"/>
  <c r="IG42" i="3"/>
  <c r="IH42" i="3"/>
  <c r="II42" i="3"/>
  <c r="IJ42" i="3"/>
  <c r="IK42" i="3"/>
  <c r="IL42" i="3"/>
  <c r="IM42" i="3"/>
  <c r="IN42" i="3"/>
  <c r="IO42" i="3"/>
  <c r="IP42" i="3"/>
  <c r="IQ42" i="3"/>
  <c r="IR42" i="3"/>
  <c r="IS42" i="3"/>
  <c r="IT42" i="3"/>
  <c r="IU42" i="3"/>
  <c r="IV42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DC41" i="3"/>
  <c r="DD41" i="3"/>
  <c r="DE41" i="3"/>
  <c r="DF41" i="3"/>
  <c r="DG41" i="3"/>
  <c r="DH41" i="3"/>
  <c r="DI41" i="3"/>
  <c r="DJ41" i="3"/>
  <c r="DK41" i="3"/>
  <c r="DL41" i="3"/>
  <c r="DM41" i="3"/>
  <c r="DN41" i="3"/>
  <c r="DO41" i="3"/>
  <c r="DP41" i="3"/>
  <c r="DQ41" i="3"/>
  <c r="DR41" i="3"/>
  <c r="DS41" i="3"/>
  <c r="DT41" i="3"/>
  <c r="DU41" i="3"/>
  <c r="DV41" i="3"/>
  <c r="DW41" i="3"/>
  <c r="DX41" i="3"/>
  <c r="DY41" i="3"/>
  <c r="DZ41" i="3"/>
  <c r="EA41" i="3"/>
  <c r="EB41" i="3"/>
  <c r="EC41" i="3"/>
  <c r="ED41" i="3"/>
  <c r="EE41" i="3"/>
  <c r="EF41" i="3"/>
  <c r="EG41" i="3"/>
  <c r="EH41" i="3"/>
  <c r="EI41" i="3"/>
  <c r="EJ41" i="3"/>
  <c r="EK41" i="3"/>
  <c r="EL41" i="3"/>
  <c r="EM41" i="3"/>
  <c r="EN41" i="3"/>
  <c r="EO41" i="3"/>
  <c r="EP41" i="3"/>
  <c r="EQ41" i="3"/>
  <c r="ER41" i="3"/>
  <c r="ES41" i="3"/>
  <c r="ET41" i="3"/>
  <c r="EU41" i="3"/>
  <c r="EV41" i="3"/>
  <c r="EW41" i="3"/>
  <c r="EX41" i="3"/>
  <c r="EY41" i="3"/>
  <c r="EZ41" i="3"/>
  <c r="FA41" i="3"/>
  <c r="FB41" i="3"/>
  <c r="FC41" i="3"/>
  <c r="FD41" i="3"/>
  <c r="FE41" i="3"/>
  <c r="FF41" i="3"/>
  <c r="FG41" i="3"/>
  <c r="FH41" i="3"/>
  <c r="FI41" i="3"/>
  <c r="FJ41" i="3"/>
  <c r="FK41" i="3"/>
  <c r="FL41" i="3"/>
  <c r="FM41" i="3"/>
  <c r="FN41" i="3"/>
  <c r="FO41" i="3"/>
  <c r="FP41" i="3"/>
  <c r="FQ41" i="3"/>
  <c r="FR41" i="3"/>
  <c r="FS41" i="3"/>
  <c r="FT41" i="3"/>
  <c r="FU41" i="3"/>
  <c r="FV41" i="3"/>
  <c r="FW41" i="3"/>
  <c r="FX41" i="3"/>
  <c r="FY41" i="3"/>
  <c r="FZ41" i="3"/>
  <c r="GA41" i="3"/>
  <c r="GB41" i="3"/>
  <c r="GC41" i="3"/>
  <c r="GD41" i="3"/>
  <c r="GE41" i="3"/>
  <c r="GF41" i="3"/>
  <c r="GG41" i="3"/>
  <c r="GH41" i="3"/>
  <c r="GI41" i="3"/>
  <c r="GJ41" i="3"/>
  <c r="GK41" i="3"/>
  <c r="GL41" i="3"/>
  <c r="GM41" i="3"/>
  <c r="GN41" i="3"/>
  <c r="GO41" i="3"/>
  <c r="GP41" i="3"/>
  <c r="GQ41" i="3"/>
  <c r="GR41" i="3"/>
  <c r="GS41" i="3"/>
  <c r="GT41" i="3"/>
  <c r="GU41" i="3"/>
  <c r="GV41" i="3"/>
  <c r="GW41" i="3"/>
  <c r="GX41" i="3"/>
  <c r="GY41" i="3"/>
  <c r="GZ41" i="3"/>
  <c r="HA41" i="3"/>
  <c r="HB41" i="3"/>
  <c r="HC41" i="3"/>
  <c r="HD41" i="3"/>
  <c r="HE41" i="3"/>
  <c r="HF41" i="3"/>
  <c r="HG41" i="3"/>
  <c r="HH41" i="3"/>
  <c r="HI41" i="3"/>
  <c r="HJ41" i="3"/>
  <c r="HK41" i="3"/>
  <c r="HL41" i="3"/>
  <c r="HM41" i="3"/>
  <c r="HN41" i="3"/>
  <c r="HO41" i="3"/>
  <c r="HP41" i="3"/>
  <c r="HQ41" i="3"/>
  <c r="HR41" i="3"/>
  <c r="HS41" i="3"/>
  <c r="HT41" i="3"/>
  <c r="HU41" i="3"/>
  <c r="HV41" i="3"/>
  <c r="HW41" i="3"/>
  <c r="HX41" i="3"/>
  <c r="HY41" i="3"/>
  <c r="HZ41" i="3"/>
  <c r="IA41" i="3"/>
  <c r="IB41" i="3"/>
  <c r="IC41" i="3"/>
  <c r="ID41" i="3"/>
  <c r="IE41" i="3"/>
  <c r="IF41" i="3"/>
  <c r="IG41" i="3"/>
  <c r="IH41" i="3"/>
  <c r="II41" i="3"/>
  <c r="IJ41" i="3"/>
  <c r="IK41" i="3"/>
  <c r="IL41" i="3"/>
  <c r="IM41" i="3"/>
  <c r="IN41" i="3"/>
  <c r="IO41" i="3"/>
  <c r="IP41" i="3"/>
  <c r="IQ41" i="3"/>
  <c r="IR41" i="3"/>
  <c r="IS41" i="3"/>
  <c r="IT41" i="3"/>
  <c r="IU41" i="3"/>
  <c r="IV41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DC38" i="3"/>
  <c r="DD38" i="3"/>
  <c r="DE38" i="3"/>
  <c r="DF38" i="3"/>
  <c r="DG38" i="3"/>
  <c r="DH38" i="3"/>
  <c r="DI38" i="3"/>
  <c r="DJ38" i="3"/>
  <c r="DK38" i="3"/>
  <c r="DL38" i="3"/>
  <c r="DM38" i="3"/>
  <c r="DN38" i="3"/>
  <c r="DO38" i="3"/>
  <c r="DP38" i="3"/>
  <c r="DQ38" i="3"/>
  <c r="DR38" i="3"/>
  <c r="DS38" i="3"/>
  <c r="DT38" i="3"/>
  <c r="DU38" i="3"/>
  <c r="DV38" i="3"/>
  <c r="DW38" i="3"/>
  <c r="DX38" i="3"/>
  <c r="DY38" i="3"/>
  <c r="DZ38" i="3"/>
  <c r="EA38" i="3"/>
  <c r="EB38" i="3"/>
  <c r="EC38" i="3"/>
  <c r="ED38" i="3"/>
  <c r="EE38" i="3"/>
  <c r="EF38" i="3"/>
  <c r="EG38" i="3"/>
  <c r="EH38" i="3"/>
  <c r="EI38" i="3"/>
  <c r="EJ38" i="3"/>
  <c r="EK38" i="3"/>
  <c r="EL38" i="3"/>
  <c r="EM38" i="3"/>
  <c r="EN38" i="3"/>
  <c r="EO38" i="3"/>
  <c r="EP38" i="3"/>
  <c r="EQ38" i="3"/>
  <c r="ER38" i="3"/>
  <c r="ES38" i="3"/>
  <c r="ET38" i="3"/>
  <c r="EU38" i="3"/>
  <c r="EV38" i="3"/>
  <c r="EW38" i="3"/>
  <c r="EX38" i="3"/>
  <c r="EY38" i="3"/>
  <c r="EZ38" i="3"/>
  <c r="FA38" i="3"/>
  <c r="FB38" i="3"/>
  <c r="FC38" i="3"/>
  <c r="FD38" i="3"/>
  <c r="FE38" i="3"/>
  <c r="FF38" i="3"/>
  <c r="FG38" i="3"/>
  <c r="FH38" i="3"/>
  <c r="FI38" i="3"/>
  <c r="FJ38" i="3"/>
  <c r="FK38" i="3"/>
  <c r="FL38" i="3"/>
  <c r="FM38" i="3"/>
  <c r="FN38" i="3"/>
  <c r="FO38" i="3"/>
  <c r="FP38" i="3"/>
  <c r="FQ38" i="3"/>
  <c r="FR38" i="3"/>
  <c r="FS38" i="3"/>
  <c r="FT38" i="3"/>
  <c r="FU38" i="3"/>
  <c r="FV38" i="3"/>
  <c r="FW38" i="3"/>
  <c r="FX38" i="3"/>
  <c r="FY38" i="3"/>
  <c r="FZ38" i="3"/>
  <c r="GA38" i="3"/>
  <c r="GB38" i="3"/>
  <c r="GC38" i="3"/>
  <c r="GD38" i="3"/>
  <c r="GE38" i="3"/>
  <c r="GF38" i="3"/>
  <c r="GG38" i="3"/>
  <c r="GH38" i="3"/>
  <c r="GI38" i="3"/>
  <c r="GJ38" i="3"/>
  <c r="GK38" i="3"/>
  <c r="GL38" i="3"/>
  <c r="GM38" i="3"/>
  <c r="GN38" i="3"/>
  <c r="GO38" i="3"/>
  <c r="GP38" i="3"/>
  <c r="GQ38" i="3"/>
  <c r="GR38" i="3"/>
  <c r="GS38" i="3"/>
  <c r="GT38" i="3"/>
  <c r="GU38" i="3"/>
  <c r="GV38" i="3"/>
  <c r="GW38" i="3"/>
  <c r="GX38" i="3"/>
  <c r="GY38" i="3"/>
  <c r="GZ38" i="3"/>
  <c r="HA38" i="3"/>
  <c r="HB38" i="3"/>
  <c r="HC38" i="3"/>
  <c r="HD38" i="3"/>
  <c r="HE38" i="3"/>
  <c r="HF38" i="3"/>
  <c r="HG38" i="3"/>
  <c r="HH38" i="3"/>
  <c r="HI38" i="3"/>
  <c r="HJ38" i="3"/>
  <c r="HK38" i="3"/>
  <c r="HL38" i="3"/>
  <c r="HM38" i="3"/>
  <c r="HN38" i="3"/>
  <c r="HO38" i="3"/>
  <c r="HP38" i="3"/>
  <c r="HQ38" i="3"/>
  <c r="HR38" i="3"/>
  <c r="HS38" i="3"/>
  <c r="HT38" i="3"/>
  <c r="HU38" i="3"/>
  <c r="HV38" i="3"/>
  <c r="HW38" i="3"/>
  <c r="HX38" i="3"/>
  <c r="HY38" i="3"/>
  <c r="HZ38" i="3"/>
  <c r="IA38" i="3"/>
  <c r="IB38" i="3"/>
  <c r="IC38" i="3"/>
  <c r="ID38" i="3"/>
  <c r="IE38" i="3"/>
  <c r="IF38" i="3"/>
  <c r="IG38" i="3"/>
  <c r="IH38" i="3"/>
  <c r="II38" i="3"/>
  <c r="IJ38" i="3"/>
  <c r="IK38" i="3"/>
  <c r="IL38" i="3"/>
  <c r="IM38" i="3"/>
  <c r="IN38" i="3"/>
  <c r="IO38" i="3"/>
  <c r="IP38" i="3"/>
  <c r="IQ38" i="3"/>
  <c r="IR38" i="3"/>
  <c r="IS38" i="3"/>
  <c r="IT38" i="3"/>
  <c r="IU38" i="3"/>
  <c r="IV38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DC37" i="3"/>
  <c r="DD37" i="3"/>
  <c r="DE37" i="3"/>
  <c r="DF37" i="3"/>
  <c r="DG37" i="3"/>
  <c r="DH37" i="3"/>
  <c r="DI37" i="3"/>
  <c r="DJ37" i="3"/>
  <c r="DK37" i="3"/>
  <c r="DL37" i="3"/>
  <c r="DM37" i="3"/>
  <c r="DN37" i="3"/>
  <c r="DO37" i="3"/>
  <c r="DP37" i="3"/>
  <c r="DQ37" i="3"/>
  <c r="DR37" i="3"/>
  <c r="DS37" i="3"/>
  <c r="DT37" i="3"/>
  <c r="DU37" i="3"/>
  <c r="DV37" i="3"/>
  <c r="DW37" i="3"/>
  <c r="DX37" i="3"/>
  <c r="DY37" i="3"/>
  <c r="DZ37" i="3"/>
  <c r="EA37" i="3"/>
  <c r="EB37" i="3"/>
  <c r="EC37" i="3"/>
  <c r="ED37" i="3"/>
  <c r="EE37" i="3"/>
  <c r="EF37" i="3"/>
  <c r="EG37" i="3"/>
  <c r="EH37" i="3"/>
  <c r="EI37" i="3"/>
  <c r="EJ37" i="3"/>
  <c r="EK37" i="3"/>
  <c r="EL37" i="3"/>
  <c r="EM37" i="3"/>
  <c r="EN37" i="3"/>
  <c r="EO37" i="3"/>
  <c r="EP37" i="3"/>
  <c r="EQ37" i="3"/>
  <c r="ER37" i="3"/>
  <c r="ES37" i="3"/>
  <c r="ET37" i="3"/>
  <c r="EU37" i="3"/>
  <c r="EV37" i="3"/>
  <c r="EW37" i="3"/>
  <c r="EX37" i="3"/>
  <c r="EY37" i="3"/>
  <c r="EZ37" i="3"/>
  <c r="FA37" i="3"/>
  <c r="FB37" i="3"/>
  <c r="FC37" i="3"/>
  <c r="FD37" i="3"/>
  <c r="FE37" i="3"/>
  <c r="FF37" i="3"/>
  <c r="FG37" i="3"/>
  <c r="FH37" i="3"/>
  <c r="FI37" i="3"/>
  <c r="FJ37" i="3"/>
  <c r="FK37" i="3"/>
  <c r="FL37" i="3"/>
  <c r="FM37" i="3"/>
  <c r="FN37" i="3"/>
  <c r="FO37" i="3"/>
  <c r="FP37" i="3"/>
  <c r="FQ37" i="3"/>
  <c r="FR37" i="3"/>
  <c r="FS37" i="3"/>
  <c r="FT37" i="3"/>
  <c r="FU37" i="3"/>
  <c r="FV37" i="3"/>
  <c r="FW37" i="3"/>
  <c r="FX37" i="3"/>
  <c r="FY37" i="3"/>
  <c r="FZ37" i="3"/>
  <c r="GA37" i="3"/>
  <c r="GB37" i="3"/>
  <c r="GC37" i="3"/>
  <c r="GD37" i="3"/>
  <c r="GE37" i="3"/>
  <c r="GF37" i="3"/>
  <c r="GG37" i="3"/>
  <c r="GH37" i="3"/>
  <c r="GI37" i="3"/>
  <c r="GJ37" i="3"/>
  <c r="GK37" i="3"/>
  <c r="GL37" i="3"/>
  <c r="GM37" i="3"/>
  <c r="GN37" i="3"/>
  <c r="GO37" i="3"/>
  <c r="GP37" i="3"/>
  <c r="GQ37" i="3"/>
  <c r="GR37" i="3"/>
  <c r="GS37" i="3"/>
  <c r="GT37" i="3"/>
  <c r="GU37" i="3"/>
  <c r="GV37" i="3"/>
  <c r="GW37" i="3"/>
  <c r="GX37" i="3"/>
  <c r="GY37" i="3"/>
  <c r="GZ37" i="3"/>
  <c r="HA37" i="3"/>
  <c r="HB37" i="3"/>
  <c r="HC37" i="3"/>
  <c r="HD37" i="3"/>
  <c r="HE37" i="3"/>
  <c r="HF37" i="3"/>
  <c r="HG37" i="3"/>
  <c r="HH37" i="3"/>
  <c r="HI37" i="3"/>
  <c r="HJ37" i="3"/>
  <c r="HK37" i="3"/>
  <c r="HL37" i="3"/>
  <c r="HM37" i="3"/>
  <c r="HN37" i="3"/>
  <c r="HO37" i="3"/>
  <c r="HP37" i="3"/>
  <c r="HQ37" i="3"/>
  <c r="HR37" i="3"/>
  <c r="HS37" i="3"/>
  <c r="HT37" i="3"/>
  <c r="HU37" i="3"/>
  <c r="HV37" i="3"/>
  <c r="HW37" i="3"/>
  <c r="HX37" i="3"/>
  <c r="HY37" i="3"/>
  <c r="HZ37" i="3"/>
  <c r="IA37" i="3"/>
  <c r="IB37" i="3"/>
  <c r="IC37" i="3"/>
  <c r="ID37" i="3"/>
  <c r="IE37" i="3"/>
  <c r="IF37" i="3"/>
  <c r="IG37" i="3"/>
  <c r="IH37" i="3"/>
  <c r="II37" i="3"/>
  <c r="IJ37" i="3"/>
  <c r="IK37" i="3"/>
  <c r="IL37" i="3"/>
  <c r="IM37" i="3"/>
  <c r="IN37" i="3"/>
  <c r="IO37" i="3"/>
  <c r="IP37" i="3"/>
  <c r="IQ37" i="3"/>
  <c r="IR37" i="3"/>
  <c r="IS37" i="3"/>
  <c r="IT37" i="3"/>
  <c r="IU37" i="3"/>
  <c r="IV37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DC36" i="3"/>
  <c r="DD36" i="3"/>
  <c r="DE36" i="3"/>
  <c r="DF36" i="3"/>
  <c r="DG36" i="3"/>
  <c r="DH36" i="3"/>
  <c r="DI36" i="3"/>
  <c r="DJ36" i="3"/>
  <c r="DK36" i="3"/>
  <c r="DL36" i="3"/>
  <c r="DM36" i="3"/>
  <c r="DN36" i="3"/>
  <c r="DO36" i="3"/>
  <c r="DP36" i="3"/>
  <c r="DQ36" i="3"/>
  <c r="DR36" i="3"/>
  <c r="DS36" i="3"/>
  <c r="DT36" i="3"/>
  <c r="DU36" i="3"/>
  <c r="DV36" i="3"/>
  <c r="DW36" i="3"/>
  <c r="DX36" i="3"/>
  <c r="DY36" i="3"/>
  <c r="DZ36" i="3"/>
  <c r="EA36" i="3"/>
  <c r="EB36" i="3"/>
  <c r="EC36" i="3"/>
  <c r="ED36" i="3"/>
  <c r="EE36" i="3"/>
  <c r="EF36" i="3"/>
  <c r="EG36" i="3"/>
  <c r="EH36" i="3"/>
  <c r="EI36" i="3"/>
  <c r="EJ36" i="3"/>
  <c r="EK36" i="3"/>
  <c r="EL36" i="3"/>
  <c r="EM36" i="3"/>
  <c r="EN36" i="3"/>
  <c r="EO36" i="3"/>
  <c r="EP36" i="3"/>
  <c r="EQ36" i="3"/>
  <c r="ER36" i="3"/>
  <c r="ES36" i="3"/>
  <c r="ET36" i="3"/>
  <c r="EU36" i="3"/>
  <c r="EV36" i="3"/>
  <c r="EW36" i="3"/>
  <c r="EX36" i="3"/>
  <c r="EY36" i="3"/>
  <c r="EZ36" i="3"/>
  <c r="FA36" i="3"/>
  <c r="FB36" i="3"/>
  <c r="FC36" i="3"/>
  <c r="FD36" i="3"/>
  <c r="FE36" i="3"/>
  <c r="FF36" i="3"/>
  <c r="FG36" i="3"/>
  <c r="FH36" i="3"/>
  <c r="FI36" i="3"/>
  <c r="FJ36" i="3"/>
  <c r="FK36" i="3"/>
  <c r="FL36" i="3"/>
  <c r="FM36" i="3"/>
  <c r="FN36" i="3"/>
  <c r="FO36" i="3"/>
  <c r="FP36" i="3"/>
  <c r="FQ36" i="3"/>
  <c r="FR36" i="3"/>
  <c r="FS36" i="3"/>
  <c r="FT36" i="3"/>
  <c r="FU36" i="3"/>
  <c r="FV36" i="3"/>
  <c r="FW36" i="3"/>
  <c r="FX36" i="3"/>
  <c r="FY36" i="3"/>
  <c r="FZ36" i="3"/>
  <c r="GA36" i="3"/>
  <c r="GB36" i="3"/>
  <c r="GC36" i="3"/>
  <c r="GD36" i="3"/>
  <c r="GE36" i="3"/>
  <c r="GF36" i="3"/>
  <c r="GG36" i="3"/>
  <c r="GH36" i="3"/>
  <c r="GI36" i="3"/>
  <c r="GJ36" i="3"/>
  <c r="GK36" i="3"/>
  <c r="GL36" i="3"/>
  <c r="GM36" i="3"/>
  <c r="GN36" i="3"/>
  <c r="GO36" i="3"/>
  <c r="GP36" i="3"/>
  <c r="GQ36" i="3"/>
  <c r="GR36" i="3"/>
  <c r="GS36" i="3"/>
  <c r="GT36" i="3"/>
  <c r="GU36" i="3"/>
  <c r="GV36" i="3"/>
  <c r="GW36" i="3"/>
  <c r="GX36" i="3"/>
  <c r="GY36" i="3"/>
  <c r="GZ36" i="3"/>
  <c r="HA36" i="3"/>
  <c r="HB36" i="3"/>
  <c r="HC36" i="3"/>
  <c r="HD36" i="3"/>
  <c r="HE36" i="3"/>
  <c r="HF36" i="3"/>
  <c r="HG36" i="3"/>
  <c r="HH36" i="3"/>
  <c r="HI36" i="3"/>
  <c r="HJ36" i="3"/>
  <c r="HK36" i="3"/>
  <c r="HL36" i="3"/>
  <c r="HM36" i="3"/>
  <c r="HN36" i="3"/>
  <c r="HO36" i="3"/>
  <c r="HP36" i="3"/>
  <c r="HQ36" i="3"/>
  <c r="HR36" i="3"/>
  <c r="HS36" i="3"/>
  <c r="HT36" i="3"/>
  <c r="HU36" i="3"/>
  <c r="HV36" i="3"/>
  <c r="HW36" i="3"/>
  <c r="HX36" i="3"/>
  <c r="HY36" i="3"/>
  <c r="HZ36" i="3"/>
  <c r="IA36" i="3"/>
  <c r="IB36" i="3"/>
  <c r="IC36" i="3"/>
  <c r="ID36" i="3"/>
  <c r="IE36" i="3"/>
  <c r="IF36" i="3"/>
  <c r="IG36" i="3"/>
  <c r="IH36" i="3"/>
  <c r="II36" i="3"/>
  <c r="IJ36" i="3"/>
  <c r="IK36" i="3"/>
  <c r="IL36" i="3"/>
  <c r="IM36" i="3"/>
  <c r="IN36" i="3"/>
  <c r="IO36" i="3"/>
  <c r="IP36" i="3"/>
  <c r="IQ36" i="3"/>
  <c r="IR36" i="3"/>
  <c r="IS36" i="3"/>
  <c r="IT36" i="3"/>
  <c r="IU36" i="3"/>
  <c r="IV36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DC35" i="3"/>
  <c r="DD35" i="3"/>
  <c r="DE35" i="3"/>
  <c r="DF35" i="3"/>
  <c r="DG35" i="3"/>
  <c r="DH35" i="3"/>
  <c r="DI35" i="3"/>
  <c r="DJ35" i="3"/>
  <c r="DK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X35" i="3"/>
  <c r="DY35" i="3"/>
  <c r="DZ35" i="3"/>
  <c r="EA35" i="3"/>
  <c r="EB35" i="3"/>
  <c r="EC35" i="3"/>
  <c r="ED35" i="3"/>
  <c r="EE35" i="3"/>
  <c r="EF35" i="3"/>
  <c r="EG35" i="3"/>
  <c r="EH35" i="3"/>
  <c r="EI35" i="3"/>
  <c r="EJ35" i="3"/>
  <c r="EK35" i="3"/>
  <c r="EL35" i="3"/>
  <c r="EM35" i="3"/>
  <c r="EN35" i="3"/>
  <c r="EO35" i="3"/>
  <c r="EP35" i="3"/>
  <c r="EQ35" i="3"/>
  <c r="ER35" i="3"/>
  <c r="ES35" i="3"/>
  <c r="ET35" i="3"/>
  <c r="EU35" i="3"/>
  <c r="EV35" i="3"/>
  <c r="EW35" i="3"/>
  <c r="EX35" i="3"/>
  <c r="EY35" i="3"/>
  <c r="EZ35" i="3"/>
  <c r="FA35" i="3"/>
  <c r="FB35" i="3"/>
  <c r="FC35" i="3"/>
  <c r="FD35" i="3"/>
  <c r="FE35" i="3"/>
  <c r="FF35" i="3"/>
  <c r="FG35" i="3"/>
  <c r="FH35" i="3"/>
  <c r="FI35" i="3"/>
  <c r="FJ35" i="3"/>
  <c r="FK35" i="3"/>
  <c r="FL35" i="3"/>
  <c r="FM35" i="3"/>
  <c r="FN35" i="3"/>
  <c r="FO35" i="3"/>
  <c r="FP35" i="3"/>
  <c r="FQ35" i="3"/>
  <c r="FR35" i="3"/>
  <c r="FS35" i="3"/>
  <c r="FT35" i="3"/>
  <c r="FU35" i="3"/>
  <c r="FV35" i="3"/>
  <c r="FW35" i="3"/>
  <c r="FX35" i="3"/>
  <c r="FY35" i="3"/>
  <c r="FZ35" i="3"/>
  <c r="GA35" i="3"/>
  <c r="GB35" i="3"/>
  <c r="GC35" i="3"/>
  <c r="GD35" i="3"/>
  <c r="GE35" i="3"/>
  <c r="GF35" i="3"/>
  <c r="GG35" i="3"/>
  <c r="GH35" i="3"/>
  <c r="GI35" i="3"/>
  <c r="GJ35" i="3"/>
  <c r="GK35" i="3"/>
  <c r="GL35" i="3"/>
  <c r="GM35" i="3"/>
  <c r="GN35" i="3"/>
  <c r="GO35" i="3"/>
  <c r="GP35" i="3"/>
  <c r="GQ35" i="3"/>
  <c r="GR35" i="3"/>
  <c r="GS35" i="3"/>
  <c r="GT35" i="3"/>
  <c r="GU35" i="3"/>
  <c r="GV35" i="3"/>
  <c r="GW35" i="3"/>
  <c r="GX35" i="3"/>
  <c r="GY35" i="3"/>
  <c r="GZ35" i="3"/>
  <c r="HA35" i="3"/>
  <c r="HB35" i="3"/>
  <c r="HC35" i="3"/>
  <c r="HD35" i="3"/>
  <c r="HE35" i="3"/>
  <c r="HF35" i="3"/>
  <c r="HG35" i="3"/>
  <c r="HH35" i="3"/>
  <c r="HI35" i="3"/>
  <c r="HJ35" i="3"/>
  <c r="HK35" i="3"/>
  <c r="HL35" i="3"/>
  <c r="HM35" i="3"/>
  <c r="HN35" i="3"/>
  <c r="HO35" i="3"/>
  <c r="HP35" i="3"/>
  <c r="HQ35" i="3"/>
  <c r="HR35" i="3"/>
  <c r="HS35" i="3"/>
  <c r="HT35" i="3"/>
  <c r="HU35" i="3"/>
  <c r="HV35" i="3"/>
  <c r="HW35" i="3"/>
  <c r="HX35" i="3"/>
  <c r="HY35" i="3"/>
  <c r="HZ35" i="3"/>
  <c r="IA35" i="3"/>
  <c r="IB35" i="3"/>
  <c r="IC35" i="3"/>
  <c r="ID35" i="3"/>
  <c r="IE35" i="3"/>
  <c r="IF35" i="3"/>
  <c r="IG35" i="3"/>
  <c r="IH35" i="3"/>
  <c r="II35" i="3"/>
  <c r="IJ35" i="3"/>
  <c r="IK35" i="3"/>
  <c r="IL35" i="3"/>
  <c r="IM35" i="3"/>
  <c r="IN35" i="3"/>
  <c r="IO35" i="3"/>
  <c r="IP35" i="3"/>
  <c r="IQ35" i="3"/>
  <c r="IR35" i="3"/>
  <c r="IS35" i="3"/>
  <c r="IT35" i="3"/>
  <c r="IU35" i="3"/>
  <c r="IV35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J34" i="3"/>
  <c r="DK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Y34" i="3"/>
  <c r="DZ34" i="3"/>
  <c r="EA34" i="3"/>
  <c r="EB34" i="3"/>
  <c r="EC34" i="3"/>
  <c r="ED34" i="3"/>
  <c r="EE34" i="3"/>
  <c r="EF34" i="3"/>
  <c r="EG34" i="3"/>
  <c r="EH34" i="3"/>
  <c r="EI34" i="3"/>
  <c r="EJ34" i="3"/>
  <c r="EK34" i="3"/>
  <c r="EL34" i="3"/>
  <c r="EM34" i="3"/>
  <c r="EN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FL34" i="3"/>
  <c r="FM34" i="3"/>
  <c r="FN34" i="3"/>
  <c r="FO34" i="3"/>
  <c r="FP34" i="3"/>
  <c r="FQ34" i="3"/>
  <c r="FR34" i="3"/>
  <c r="FS34" i="3"/>
  <c r="FT34" i="3"/>
  <c r="FU34" i="3"/>
  <c r="FV34" i="3"/>
  <c r="FW34" i="3"/>
  <c r="FX34" i="3"/>
  <c r="FY34" i="3"/>
  <c r="FZ34" i="3"/>
  <c r="GA34" i="3"/>
  <c r="GB34" i="3"/>
  <c r="GC34" i="3"/>
  <c r="GD34" i="3"/>
  <c r="GE34" i="3"/>
  <c r="GF34" i="3"/>
  <c r="GG34" i="3"/>
  <c r="GH34" i="3"/>
  <c r="GI34" i="3"/>
  <c r="GJ34" i="3"/>
  <c r="GK34" i="3"/>
  <c r="GL34" i="3"/>
  <c r="GM34" i="3"/>
  <c r="GN34" i="3"/>
  <c r="GO34" i="3"/>
  <c r="GP34" i="3"/>
  <c r="GQ34" i="3"/>
  <c r="GR34" i="3"/>
  <c r="GS34" i="3"/>
  <c r="GT34" i="3"/>
  <c r="GU34" i="3"/>
  <c r="GV34" i="3"/>
  <c r="GW34" i="3"/>
  <c r="GX34" i="3"/>
  <c r="GY34" i="3"/>
  <c r="GZ34" i="3"/>
  <c r="HA34" i="3"/>
  <c r="HB34" i="3"/>
  <c r="HC34" i="3"/>
  <c r="HD34" i="3"/>
  <c r="HE34" i="3"/>
  <c r="HF34" i="3"/>
  <c r="HG34" i="3"/>
  <c r="HH34" i="3"/>
  <c r="HI34" i="3"/>
  <c r="HJ34" i="3"/>
  <c r="HK34" i="3"/>
  <c r="HL34" i="3"/>
  <c r="HM34" i="3"/>
  <c r="HN34" i="3"/>
  <c r="HO34" i="3"/>
  <c r="HP34" i="3"/>
  <c r="HQ34" i="3"/>
  <c r="HR34" i="3"/>
  <c r="HS34" i="3"/>
  <c r="HT34" i="3"/>
  <c r="HU34" i="3"/>
  <c r="HV34" i="3"/>
  <c r="HW34" i="3"/>
  <c r="HX34" i="3"/>
  <c r="HY34" i="3"/>
  <c r="HZ34" i="3"/>
  <c r="IA34" i="3"/>
  <c r="IB34" i="3"/>
  <c r="IC34" i="3"/>
  <c r="ID34" i="3"/>
  <c r="IE34" i="3"/>
  <c r="IF34" i="3"/>
  <c r="IG34" i="3"/>
  <c r="IH34" i="3"/>
  <c r="II34" i="3"/>
  <c r="IJ34" i="3"/>
  <c r="IK34" i="3"/>
  <c r="IL34" i="3"/>
  <c r="IM34" i="3"/>
  <c r="IN34" i="3"/>
  <c r="IO34" i="3"/>
  <c r="IP34" i="3"/>
  <c r="IQ34" i="3"/>
  <c r="IR34" i="3"/>
  <c r="IS34" i="3"/>
  <c r="IT34" i="3"/>
  <c r="IU34" i="3"/>
  <c r="IV34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DC33" i="3"/>
  <c r="DD33" i="3"/>
  <c r="DE33" i="3"/>
  <c r="DF33" i="3"/>
  <c r="DG33" i="3"/>
  <c r="DH33" i="3"/>
  <c r="DI33" i="3"/>
  <c r="DJ33" i="3"/>
  <c r="DK33" i="3"/>
  <c r="DL33" i="3"/>
  <c r="DM33" i="3"/>
  <c r="DN33" i="3"/>
  <c r="DO33" i="3"/>
  <c r="DP33" i="3"/>
  <c r="DQ33" i="3"/>
  <c r="DR33" i="3"/>
  <c r="DS33" i="3"/>
  <c r="DT33" i="3"/>
  <c r="DU33" i="3"/>
  <c r="DV33" i="3"/>
  <c r="DW33" i="3"/>
  <c r="DX33" i="3"/>
  <c r="DY33" i="3"/>
  <c r="DZ33" i="3"/>
  <c r="EA33" i="3"/>
  <c r="EB33" i="3"/>
  <c r="EC33" i="3"/>
  <c r="ED33" i="3"/>
  <c r="EE33" i="3"/>
  <c r="EF33" i="3"/>
  <c r="EG33" i="3"/>
  <c r="EH33" i="3"/>
  <c r="EI33" i="3"/>
  <c r="EJ33" i="3"/>
  <c r="EK33" i="3"/>
  <c r="EL33" i="3"/>
  <c r="EM33" i="3"/>
  <c r="EN33" i="3"/>
  <c r="EO33" i="3"/>
  <c r="EP33" i="3"/>
  <c r="EQ33" i="3"/>
  <c r="ER33" i="3"/>
  <c r="ES33" i="3"/>
  <c r="ET33" i="3"/>
  <c r="EU33" i="3"/>
  <c r="EV33" i="3"/>
  <c r="EW33" i="3"/>
  <c r="EX33" i="3"/>
  <c r="EY33" i="3"/>
  <c r="EZ33" i="3"/>
  <c r="FA33" i="3"/>
  <c r="FB33" i="3"/>
  <c r="FC33" i="3"/>
  <c r="FD33" i="3"/>
  <c r="FE33" i="3"/>
  <c r="FF33" i="3"/>
  <c r="FG33" i="3"/>
  <c r="FH33" i="3"/>
  <c r="FI33" i="3"/>
  <c r="FJ33" i="3"/>
  <c r="FK33" i="3"/>
  <c r="FL33" i="3"/>
  <c r="FM33" i="3"/>
  <c r="FN33" i="3"/>
  <c r="FO33" i="3"/>
  <c r="FP33" i="3"/>
  <c r="FQ33" i="3"/>
  <c r="FR33" i="3"/>
  <c r="FS33" i="3"/>
  <c r="FT33" i="3"/>
  <c r="FU33" i="3"/>
  <c r="FV33" i="3"/>
  <c r="FW33" i="3"/>
  <c r="FX33" i="3"/>
  <c r="FY33" i="3"/>
  <c r="FZ33" i="3"/>
  <c r="GA33" i="3"/>
  <c r="GB33" i="3"/>
  <c r="GC33" i="3"/>
  <c r="GD33" i="3"/>
  <c r="GE33" i="3"/>
  <c r="GF33" i="3"/>
  <c r="GG33" i="3"/>
  <c r="GH33" i="3"/>
  <c r="GI33" i="3"/>
  <c r="GJ33" i="3"/>
  <c r="GK33" i="3"/>
  <c r="GL33" i="3"/>
  <c r="GM33" i="3"/>
  <c r="GN33" i="3"/>
  <c r="GO33" i="3"/>
  <c r="GP33" i="3"/>
  <c r="GQ33" i="3"/>
  <c r="GR33" i="3"/>
  <c r="GS33" i="3"/>
  <c r="GT33" i="3"/>
  <c r="GU33" i="3"/>
  <c r="GV33" i="3"/>
  <c r="GW33" i="3"/>
  <c r="GX33" i="3"/>
  <c r="GY33" i="3"/>
  <c r="GZ33" i="3"/>
  <c r="HA33" i="3"/>
  <c r="HB33" i="3"/>
  <c r="HC33" i="3"/>
  <c r="HD33" i="3"/>
  <c r="HE33" i="3"/>
  <c r="HF33" i="3"/>
  <c r="HG33" i="3"/>
  <c r="HH33" i="3"/>
  <c r="HI33" i="3"/>
  <c r="HJ33" i="3"/>
  <c r="HK33" i="3"/>
  <c r="HL33" i="3"/>
  <c r="HM33" i="3"/>
  <c r="HN33" i="3"/>
  <c r="HO33" i="3"/>
  <c r="HP33" i="3"/>
  <c r="HQ33" i="3"/>
  <c r="HR33" i="3"/>
  <c r="HS33" i="3"/>
  <c r="HT33" i="3"/>
  <c r="HU33" i="3"/>
  <c r="HV33" i="3"/>
  <c r="HW33" i="3"/>
  <c r="HX33" i="3"/>
  <c r="HY33" i="3"/>
  <c r="HZ33" i="3"/>
  <c r="IA33" i="3"/>
  <c r="IB33" i="3"/>
  <c r="IC33" i="3"/>
  <c r="ID33" i="3"/>
  <c r="IE33" i="3"/>
  <c r="IF33" i="3"/>
  <c r="IG33" i="3"/>
  <c r="IH33" i="3"/>
  <c r="II33" i="3"/>
  <c r="IJ33" i="3"/>
  <c r="IK33" i="3"/>
  <c r="IL33" i="3"/>
  <c r="IM33" i="3"/>
  <c r="IN33" i="3"/>
  <c r="IO33" i="3"/>
  <c r="IP33" i="3"/>
  <c r="IQ33" i="3"/>
  <c r="IR33" i="3"/>
  <c r="IS33" i="3"/>
  <c r="IT33" i="3"/>
  <c r="IU33" i="3"/>
  <c r="IV33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DC32" i="3"/>
  <c r="DD32" i="3"/>
  <c r="DE32" i="3"/>
  <c r="DF32" i="3"/>
  <c r="DG32" i="3"/>
  <c r="DH32" i="3"/>
  <c r="DI32" i="3"/>
  <c r="DJ32" i="3"/>
  <c r="DK32" i="3"/>
  <c r="DL32" i="3"/>
  <c r="DM32" i="3"/>
  <c r="DN32" i="3"/>
  <c r="DO32" i="3"/>
  <c r="DP32" i="3"/>
  <c r="DQ32" i="3"/>
  <c r="DR32" i="3"/>
  <c r="DS32" i="3"/>
  <c r="DT32" i="3"/>
  <c r="DU32" i="3"/>
  <c r="DV32" i="3"/>
  <c r="DW32" i="3"/>
  <c r="DX32" i="3"/>
  <c r="DY32" i="3"/>
  <c r="DZ32" i="3"/>
  <c r="EA32" i="3"/>
  <c r="EB32" i="3"/>
  <c r="EC32" i="3"/>
  <c r="ED32" i="3"/>
  <c r="EE32" i="3"/>
  <c r="EF32" i="3"/>
  <c r="EG32" i="3"/>
  <c r="EH32" i="3"/>
  <c r="EI32" i="3"/>
  <c r="EJ32" i="3"/>
  <c r="EK32" i="3"/>
  <c r="EL32" i="3"/>
  <c r="EM32" i="3"/>
  <c r="EN32" i="3"/>
  <c r="EO32" i="3"/>
  <c r="EP32" i="3"/>
  <c r="EQ32" i="3"/>
  <c r="ER32" i="3"/>
  <c r="ES32" i="3"/>
  <c r="ET32" i="3"/>
  <c r="EU32" i="3"/>
  <c r="EV32" i="3"/>
  <c r="EW32" i="3"/>
  <c r="EX32" i="3"/>
  <c r="EY32" i="3"/>
  <c r="EZ32" i="3"/>
  <c r="FA32" i="3"/>
  <c r="FB32" i="3"/>
  <c r="FC32" i="3"/>
  <c r="FD32" i="3"/>
  <c r="FE32" i="3"/>
  <c r="FF32" i="3"/>
  <c r="FG32" i="3"/>
  <c r="FH32" i="3"/>
  <c r="FI32" i="3"/>
  <c r="FJ32" i="3"/>
  <c r="FK32" i="3"/>
  <c r="FL32" i="3"/>
  <c r="FM32" i="3"/>
  <c r="FN32" i="3"/>
  <c r="FO32" i="3"/>
  <c r="FP32" i="3"/>
  <c r="FQ32" i="3"/>
  <c r="FR32" i="3"/>
  <c r="FS32" i="3"/>
  <c r="FT32" i="3"/>
  <c r="FU32" i="3"/>
  <c r="FV32" i="3"/>
  <c r="FW32" i="3"/>
  <c r="FX32" i="3"/>
  <c r="FY32" i="3"/>
  <c r="FZ32" i="3"/>
  <c r="GA32" i="3"/>
  <c r="GB32" i="3"/>
  <c r="GC32" i="3"/>
  <c r="GD32" i="3"/>
  <c r="GE32" i="3"/>
  <c r="GF32" i="3"/>
  <c r="GG32" i="3"/>
  <c r="GH32" i="3"/>
  <c r="GI32" i="3"/>
  <c r="GJ32" i="3"/>
  <c r="GK32" i="3"/>
  <c r="GL32" i="3"/>
  <c r="GM32" i="3"/>
  <c r="GN32" i="3"/>
  <c r="GO32" i="3"/>
  <c r="GP32" i="3"/>
  <c r="GQ32" i="3"/>
  <c r="GR32" i="3"/>
  <c r="GS32" i="3"/>
  <c r="GT32" i="3"/>
  <c r="GU32" i="3"/>
  <c r="GV32" i="3"/>
  <c r="GW32" i="3"/>
  <c r="GX32" i="3"/>
  <c r="GY32" i="3"/>
  <c r="GZ32" i="3"/>
  <c r="HA32" i="3"/>
  <c r="HB32" i="3"/>
  <c r="HC32" i="3"/>
  <c r="HD32" i="3"/>
  <c r="HE32" i="3"/>
  <c r="HF32" i="3"/>
  <c r="HG32" i="3"/>
  <c r="HH32" i="3"/>
  <c r="HI32" i="3"/>
  <c r="HJ32" i="3"/>
  <c r="HK32" i="3"/>
  <c r="HL32" i="3"/>
  <c r="HM32" i="3"/>
  <c r="HN32" i="3"/>
  <c r="HO32" i="3"/>
  <c r="HP32" i="3"/>
  <c r="HQ32" i="3"/>
  <c r="HR32" i="3"/>
  <c r="HS32" i="3"/>
  <c r="HT32" i="3"/>
  <c r="HU32" i="3"/>
  <c r="HV32" i="3"/>
  <c r="HW32" i="3"/>
  <c r="HX32" i="3"/>
  <c r="HY32" i="3"/>
  <c r="HZ32" i="3"/>
  <c r="IA32" i="3"/>
  <c r="IB32" i="3"/>
  <c r="IC32" i="3"/>
  <c r="ID32" i="3"/>
  <c r="IE32" i="3"/>
  <c r="IF32" i="3"/>
  <c r="IG32" i="3"/>
  <c r="IH32" i="3"/>
  <c r="II32" i="3"/>
  <c r="IJ32" i="3"/>
  <c r="IK32" i="3"/>
  <c r="IL32" i="3"/>
  <c r="IM32" i="3"/>
  <c r="IN32" i="3"/>
  <c r="IO32" i="3"/>
  <c r="IP32" i="3"/>
  <c r="IQ32" i="3"/>
  <c r="IR32" i="3"/>
  <c r="IS32" i="3"/>
  <c r="IT32" i="3"/>
  <c r="IU32" i="3"/>
  <c r="IV32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DC31" i="3"/>
  <c r="DD31" i="3"/>
  <c r="DE31" i="3"/>
  <c r="DF31" i="3"/>
  <c r="DG31" i="3"/>
  <c r="DH31" i="3"/>
  <c r="DI31" i="3"/>
  <c r="DJ31" i="3"/>
  <c r="DK31" i="3"/>
  <c r="DL31" i="3"/>
  <c r="DM31" i="3"/>
  <c r="DN31" i="3"/>
  <c r="DO31" i="3"/>
  <c r="DP31" i="3"/>
  <c r="DQ31" i="3"/>
  <c r="DR31" i="3"/>
  <c r="DS31" i="3"/>
  <c r="DT31" i="3"/>
  <c r="DU31" i="3"/>
  <c r="DV31" i="3"/>
  <c r="DW31" i="3"/>
  <c r="DX31" i="3"/>
  <c r="DY31" i="3"/>
  <c r="DZ31" i="3"/>
  <c r="EA31" i="3"/>
  <c r="EB31" i="3"/>
  <c r="EC31" i="3"/>
  <c r="ED31" i="3"/>
  <c r="EE31" i="3"/>
  <c r="EF31" i="3"/>
  <c r="EG31" i="3"/>
  <c r="EH31" i="3"/>
  <c r="EI31" i="3"/>
  <c r="EJ31" i="3"/>
  <c r="EK31" i="3"/>
  <c r="EL31" i="3"/>
  <c r="EM31" i="3"/>
  <c r="EN31" i="3"/>
  <c r="EO31" i="3"/>
  <c r="EP31" i="3"/>
  <c r="EQ31" i="3"/>
  <c r="ER31" i="3"/>
  <c r="ES31" i="3"/>
  <c r="ET31" i="3"/>
  <c r="EU31" i="3"/>
  <c r="EV31" i="3"/>
  <c r="EW31" i="3"/>
  <c r="EX31" i="3"/>
  <c r="EY31" i="3"/>
  <c r="EZ31" i="3"/>
  <c r="FA31" i="3"/>
  <c r="FB31" i="3"/>
  <c r="FC31" i="3"/>
  <c r="FD31" i="3"/>
  <c r="FE31" i="3"/>
  <c r="FF31" i="3"/>
  <c r="FG31" i="3"/>
  <c r="FH31" i="3"/>
  <c r="FI31" i="3"/>
  <c r="FJ31" i="3"/>
  <c r="FK31" i="3"/>
  <c r="FL31" i="3"/>
  <c r="FM31" i="3"/>
  <c r="FN31" i="3"/>
  <c r="FO31" i="3"/>
  <c r="FP31" i="3"/>
  <c r="FQ31" i="3"/>
  <c r="FR31" i="3"/>
  <c r="FS31" i="3"/>
  <c r="FT31" i="3"/>
  <c r="FU31" i="3"/>
  <c r="FV31" i="3"/>
  <c r="FW31" i="3"/>
  <c r="FX31" i="3"/>
  <c r="FY31" i="3"/>
  <c r="FZ31" i="3"/>
  <c r="GA31" i="3"/>
  <c r="GB31" i="3"/>
  <c r="GC31" i="3"/>
  <c r="GD31" i="3"/>
  <c r="GE31" i="3"/>
  <c r="GF31" i="3"/>
  <c r="GG31" i="3"/>
  <c r="GH31" i="3"/>
  <c r="GI31" i="3"/>
  <c r="GJ31" i="3"/>
  <c r="GK31" i="3"/>
  <c r="GL31" i="3"/>
  <c r="GM31" i="3"/>
  <c r="GN31" i="3"/>
  <c r="GO31" i="3"/>
  <c r="GP31" i="3"/>
  <c r="GQ31" i="3"/>
  <c r="GR31" i="3"/>
  <c r="GS31" i="3"/>
  <c r="GT31" i="3"/>
  <c r="GU31" i="3"/>
  <c r="GV31" i="3"/>
  <c r="GW31" i="3"/>
  <c r="GX31" i="3"/>
  <c r="GY31" i="3"/>
  <c r="GZ31" i="3"/>
  <c r="HA31" i="3"/>
  <c r="HB31" i="3"/>
  <c r="HC31" i="3"/>
  <c r="HD31" i="3"/>
  <c r="HE31" i="3"/>
  <c r="HF31" i="3"/>
  <c r="HG31" i="3"/>
  <c r="HH31" i="3"/>
  <c r="HI31" i="3"/>
  <c r="HJ31" i="3"/>
  <c r="HK31" i="3"/>
  <c r="HL31" i="3"/>
  <c r="HM31" i="3"/>
  <c r="HN31" i="3"/>
  <c r="HO31" i="3"/>
  <c r="HP31" i="3"/>
  <c r="HQ31" i="3"/>
  <c r="HR31" i="3"/>
  <c r="HS31" i="3"/>
  <c r="HT31" i="3"/>
  <c r="HU31" i="3"/>
  <c r="HV31" i="3"/>
  <c r="HW31" i="3"/>
  <c r="HX31" i="3"/>
  <c r="HY31" i="3"/>
  <c r="HZ31" i="3"/>
  <c r="IA31" i="3"/>
  <c r="IB31" i="3"/>
  <c r="IC31" i="3"/>
  <c r="ID31" i="3"/>
  <c r="IE31" i="3"/>
  <c r="IF31" i="3"/>
  <c r="IG31" i="3"/>
  <c r="IH31" i="3"/>
  <c r="II31" i="3"/>
  <c r="IJ31" i="3"/>
  <c r="IK31" i="3"/>
  <c r="IL31" i="3"/>
  <c r="IM31" i="3"/>
  <c r="IN31" i="3"/>
  <c r="IO31" i="3"/>
  <c r="IP31" i="3"/>
  <c r="IQ31" i="3"/>
  <c r="IR31" i="3"/>
  <c r="IS31" i="3"/>
  <c r="IT31" i="3"/>
  <c r="IU31" i="3"/>
  <c r="IV31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P30" i="3"/>
  <c r="DQ30" i="3"/>
  <c r="DR30" i="3"/>
  <c r="DS30" i="3"/>
  <c r="DT30" i="3"/>
  <c r="DU30" i="3"/>
  <c r="DV30" i="3"/>
  <c r="DW30" i="3"/>
  <c r="DX30" i="3"/>
  <c r="DY30" i="3"/>
  <c r="DZ30" i="3"/>
  <c r="EA30" i="3"/>
  <c r="EB30" i="3"/>
  <c r="EC30" i="3"/>
  <c r="ED30" i="3"/>
  <c r="EE30" i="3"/>
  <c r="EF30" i="3"/>
  <c r="EG30" i="3"/>
  <c r="EH30" i="3"/>
  <c r="EI30" i="3"/>
  <c r="EJ30" i="3"/>
  <c r="EK30" i="3"/>
  <c r="EL30" i="3"/>
  <c r="EM30" i="3"/>
  <c r="EN30" i="3"/>
  <c r="EO30" i="3"/>
  <c r="EP30" i="3"/>
  <c r="EQ30" i="3"/>
  <c r="ER30" i="3"/>
  <c r="ES30" i="3"/>
  <c r="ET30" i="3"/>
  <c r="EU30" i="3"/>
  <c r="EV30" i="3"/>
  <c r="EW30" i="3"/>
  <c r="EX30" i="3"/>
  <c r="EY30" i="3"/>
  <c r="EZ30" i="3"/>
  <c r="FA30" i="3"/>
  <c r="FB30" i="3"/>
  <c r="FC30" i="3"/>
  <c r="FD30" i="3"/>
  <c r="FE30" i="3"/>
  <c r="FF30" i="3"/>
  <c r="FG30" i="3"/>
  <c r="FH30" i="3"/>
  <c r="FI30" i="3"/>
  <c r="FJ30" i="3"/>
  <c r="FK30" i="3"/>
  <c r="FL30" i="3"/>
  <c r="FM30" i="3"/>
  <c r="FN30" i="3"/>
  <c r="FO30" i="3"/>
  <c r="FP30" i="3"/>
  <c r="FQ30" i="3"/>
  <c r="FR30" i="3"/>
  <c r="FS30" i="3"/>
  <c r="FT30" i="3"/>
  <c r="FU30" i="3"/>
  <c r="FV30" i="3"/>
  <c r="FW30" i="3"/>
  <c r="FX30" i="3"/>
  <c r="FY30" i="3"/>
  <c r="FZ30" i="3"/>
  <c r="GA30" i="3"/>
  <c r="GB30" i="3"/>
  <c r="GC30" i="3"/>
  <c r="GD30" i="3"/>
  <c r="GE30" i="3"/>
  <c r="GF30" i="3"/>
  <c r="GG30" i="3"/>
  <c r="GH30" i="3"/>
  <c r="GI30" i="3"/>
  <c r="GJ30" i="3"/>
  <c r="GK30" i="3"/>
  <c r="GL30" i="3"/>
  <c r="GM30" i="3"/>
  <c r="GN30" i="3"/>
  <c r="GO30" i="3"/>
  <c r="GP30" i="3"/>
  <c r="GQ30" i="3"/>
  <c r="GR30" i="3"/>
  <c r="GS30" i="3"/>
  <c r="GT30" i="3"/>
  <c r="GU30" i="3"/>
  <c r="GV30" i="3"/>
  <c r="GW30" i="3"/>
  <c r="GX30" i="3"/>
  <c r="GY30" i="3"/>
  <c r="GZ30" i="3"/>
  <c r="HA30" i="3"/>
  <c r="HB30" i="3"/>
  <c r="HC30" i="3"/>
  <c r="HD30" i="3"/>
  <c r="HE30" i="3"/>
  <c r="HF30" i="3"/>
  <c r="HG30" i="3"/>
  <c r="HH30" i="3"/>
  <c r="HI30" i="3"/>
  <c r="HJ30" i="3"/>
  <c r="HK30" i="3"/>
  <c r="HL30" i="3"/>
  <c r="HM30" i="3"/>
  <c r="HN30" i="3"/>
  <c r="HO30" i="3"/>
  <c r="HP30" i="3"/>
  <c r="HQ30" i="3"/>
  <c r="HR30" i="3"/>
  <c r="HS30" i="3"/>
  <c r="HT30" i="3"/>
  <c r="HU30" i="3"/>
  <c r="HV30" i="3"/>
  <c r="HW30" i="3"/>
  <c r="HX30" i="3"/>
  <c r="HY30" i="3"/>
  <c r="HZ30" i="3"/>
  <c r="IA30" i="3"/>
  <c r="IB30" i="3"/>
  <c r="IC30" i="3"/>
  <c r="ID30" i="3"/>
  <c r="IE30" i="3"/>
  <c r="IF30" i="3"/>
  <c r="IG30" i="3"/>
  <c r="IH30" i="3"/>
  <c r="II30" i="3"/>
  <c r="IJ30" i="3"/>
  <c r="IK30" i="3"/>
  <c r="IL30" i="3"/>
  <c r="IM30" i="3"/>
  <c r="IN30" i="3"/>
  <c r="IO30" i="3"/>
  <c r="IP30" i="3"/>
  <c r="IQ30" i="3"/>
  <c r="IR30" i="3"/>
  <c r="IS30" i="3"/>
  <c r="IT30" i="3"/>
  <c r="IU30" i="3"/>
  <c r="IV30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DC29" i="3"/>
  <c r="DD29" i="3"/>
  <c r="DE29" i="3"/>
  <c r="DF29" i="3"/>
  <c r="DG29" i="3"/>
  <c r="DH29" i="3"/>
  <c r="DI29" i="3"/>
  <c r="DJ29" i="3"/>
  <c r="DK29" i="3"/>
  <c r="DL29" i="3"/>
  <c r="DM29" i="3"/>
  <c r="DN29" i="3"/>
  <c r="DO29" i="3"/>
  <c r="DP29" i="3"/>
  <c r="DQ29" i="3"/>
  <c r="DR29" i="3"/>
  <c r="DS29" i="3"/>
  <c r="DT29" i="3"/>
  <c r="DU29" i="3"/>
  <c r="DV29" i="3"/>
  <c r="DW29" i="3"/>
  <c r="DX29" i="3"/>
  <c r="DY29" i="3"/>
  <c r="DZ29" i="3"/>
  <c r="EA29" i="3"/>
  <c r="EB29" i="3"/>
  <c r="EC29" i="3"/>
  <c r="ED29" i="3"/>
  <c r="EE29" i="3"/>
  <c r="EF29" i="3"/>
  <c r="EG29" i="3"/>
  <c r="EH29" i="3"/>
  <c r="EI29" i="3"/>
  <c r="EJ29" i="3"/>
  <c r="EK29" i="3"/>
  <c r="EL29" i="3"/>
  <c r="EM29" i="3"/>
  <c r="EN29" i="3"/>
  <c r="EO29" i="3"/>
  <c r="EP29" i="3"/>
  <c r="EQ29" i="3"/>
  <c r="ER29" i="3"/>
  <c r="ES29" i="3"/>
  <c r="ET29" i="3"/>
  <c r="EU29" i="3"/>
  <c r="EV29" i="3"/>
  <c r="EW29" i="3"/>
  <c r="EX29" i="3"/>
  <c r="EY29" i="3"/>
  <c r="EZ29" i="3"/>
  <c r="FA29" i="3"/>
  <c r="FB29" i="3"/>
  <c r="FC29" i="3"/>
  <c r="FD29" i="3"/>
  <c r="FE29" i="3"/>
  <c r="FF29" i="3"/>
  <c r="FG29" i="3"/>
  <c r="FH29" i="3"/>
  <c r="FI29" i="3"/>
  <c r="FJ29" i="3"/>
  <c r="FK29" i="3"/>
  <c r="FL29" i="3"/>
  <c r="FM29" i="3"/>
  <c r="FN29" i="3"/>
  <c r="FO29" i="3"/>
  <c r="FP29" i="3"/>
  <c r="FQ29" i="3"/>
  <c r="FR29" i="3"/>
  <c r="FS29" i="3"/>
  <c r="FT29" i="3"/>
  <c r="FU29" i="3"/>
  <c r="FV29" i="3"/>
  <c r="FW29" i="3"/>
  <c r="FX29" i="3"/>
  <c r="FY29" i="3"/>
  <c r="FZ29" i="3"/>
  <c r="GA29" i="3"/>
  <c r="GB29" i="3"/>
  <c r="GC29" i="3"/>
  <c r="GD29" i="3"/>
  <c r="GE29" i="3"/>
  <c r="GF29" i="3"/>
  <c r="GG29" i="3"/>
  <c r="GH29" i="3"/>
  <c r="GI29" i="3"/>
  <c r="GJ29" i="3"/>
  <c r="GK29" i="3"/>
  <c r="GL29" i="3"/>
  <c r="GM29" i="3"/>
  <c r="GN29" i="3"/>
  <c r="GO29" i="3"/>
  <c r="GP29" i="3"/>
  <c r="GQ29" i="3"/>
  <c r="GR29" i="3"/>
  <c r="GS29" i="3"/>
  <c r="GT29" i="3"/>
  <c r="GU29" i="3"/>
  <c r="GV29" i="3"/>
  <c r="GW29" i="3"/>
  <c r="GX29" i="3"/>
  <c r="GY29" i="3"/>
  <c r="GZ29" i="3"/>
  <c r="HA29" i="3"/>
  <c r="HB29" i="3"/>
  <c r="HC29" i="3"/>
  <c r="HD29" i="3"/>
  <c r="HE29" i="3"/>
  <c r="HF29" i="3"/>
  <c r="HG29" i="3"/>
  <c r="HH29" i="3"/>
  <c r="HI29" i="3"/>
  <c r="HJ29" i="3"/>
  <c r="HK29" i="3"/>
  <c r="HL29" i="3"/>
  <c r="HM29" i="3"/>
  <c r="HN29" i="3"/>
  <c r="HO29" i="3"/>
  <c r="HP29" i="3"/>
  <c r="HQ29" i="3"/>
  <c r="HR29" i="3"/>
  <c r="HS29" i="3"/>
  <c r="HT29" i="3"/>
  <c r="HU29" i="3"/>
  <c r="HV29" i="3"/>
  <c r="HW29" i="3"/>
  <c r="HX29" i="3"/>
  <c r="HY29" i="3"/>
  <c r="HZ29" i="3"/>
  <c r="IA29" i="3"/>
  <c r="IB29" i="3"/>
  <c r="IC29" i="3"/>
  <c r="ID29" i="3"/>
  <c r="IE29" i="3"/>
  <c r="IF29" i="3"/>
  <c r="IG29" i="3"/>
  <c r="IH29" i="3"/>
  <c r="II29" i="3"/>
  <c r="IJ29" i="3"/>
  <c r="IK29" i="3"/>
  <c r="IL29" i="3"/>
  <c r="IM29" i="3"/>
  <c r="IN29" i="3"/>
  <c r="IO29" i="3"/>
  <c r="IP29" i="3"/>
  <c r="IQ29" i="3"/>
  <c r="IR29" i="3"/>
  <c r="IS29" i="3"/>
  <c r="IT29" i="3"/>
  <c r="IU29" i="3"/>
  <c r="IV29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DC28" i="3"/>
  <c r="DD28" i="3"/>
  <c r="DE28" i="3"/>
  <c r="DF28" i="3"/>
  <c r="DG28" i="3"/>
  <c r="DH28" i="3"/>
  <c r="DI28" i="3"/>
  <c r="DJ28" i="3"/>
  <c r="DK28" i="3"/>
  <c r="DL28" i="3"/>
  <c r="DM28" i="3"/>
  <c r="DN28" i="3"/>
  <c r="DO28" i="3"/>
  <c r="DP28" i="3"/>
  <c r="DQ28" i="3"/>
  <c r="DR28" i="3"/>
  <c r="DS28" i="3"/>
  <c r="DT28" i="3"/>
  <c r="DU28" i="3"/>
  <c r="DV28" i="3"/>
  <c r="DW28" i="3"/>
  <c r="DX28" i="3"/>
  <c r="DY28" i="3"/>
  <c r="DZ28" i="3"/>
  <c r="EA28" i="3"/>
  <c r="EB28" i="3"/>
  <c r="EC28" i="3"/>
  <c r="ED28" i="3"/>
  <c r="EE28" i="3"/>
  <c r="EF28" i="3"/>
  <c r="EG28" i="3"/>
  <c r="EH28" i="3"/>
  <c r="EI28" i="3"/>
  <c r="EJ28" i="3"/>
  <c r="EK28" i="3"/>
  <c r="EL28" i="3"/>
  <c r="EM28" i="3"/>
  <c r="EN28" i="3"/>
  <c r="EO28" i="3"/>
  <c r="EP28" i="3"/>
  <c r="EQ28" i="3"/>
  <c r="ER28" i="3"/>
  <c r="ES28" i="3"/>
  <c r="ET28" i="3"/>
  <c r="EU28" i="3"/>
  <c r="EV28" i="3"/>
  <c r="EW28" i="3"/>
  <c r="EX28" i="3"/>
  <c r="EY28" i="3"/>
  <c r="EZ28" i="3"/>
  <c r="FA28" i="3"/>
  <c r="FB28" i="3"/>
  <c r="FC28" i="3"/>
  <c r="FD28" i="3"/>
  <c r="FE28" i="3"/>
  <c r="FF28" i="3"/>
  <c r="FG28" i="3"/>
  <c r="FH28" i="3"/>
  <c r="FI28" i="3"/>
  <c r="FJ28" i="3"/>
  <c r="FK28" i="3"/>
  <c r="FL28" i="3"/>
  <c r="FM28" i="3"/>
  <c r="FN28" i="3"/>
  <c r="FO28" i="3"/>
  <c r="FP28" i="3"/>
  <c r="FQ28" i="3"/>
  <c r="FR28" i="3"/>
  <c r="FS28" i="3"/>
  <c r="FT28" i="3"/>
  <c r="FU28" i="3"/>
  <c r="FV28" i="3"/>
  <c r="FW28" i="3"/>
  <c r="FX28" i="3"/>
  <c r="FY28" i="3"/>
  <c r="FZ28" i="3"/>
  <c r="GA28" i="3"/>
  <c r="GB28" i="3"/>
  <c r="GC28" i="3"/>
  <c r="GD28" i="3"/>
  <c r="GE28" i="3"/>
  <c r="GF28" i="3"/>
  <c r="GG28" i="3"/>
  <c r="GH28" i="3"/>
  <c r="GI28" i="3"/>
  <c r="GJ28" i="3"/>
  <c r="GK28" i="3"/>
  <c r="GL28" i="3"/>
  <c r="GM28" i="3"/>
  <c r="GN28" i="3"/>
  <c r="GO28" i="3"/>
  <c r="GP28" i="3"/>
  <c r="GQ28" i="3"/>
  <c r="GR28" i="3"/>
  <c r="GS28" i="3"/>
  <c r="GT28" i="3"/>
  <c r="GU28" i="3"/>
  <c r="GV28" i="3"/>
  <c r="GW28" i="3"/>
  <c r="GX28" i="3"/>
  <c r="GY28" i="3"/>
  <c r="GZ28" i="3"/>
  <c r="HA28" i="3"/>
  <c r="HB28" i="3"/>
  <c r="HC28" i="3"/>
  <c r="HD28" i="3"/>
  <c r="HE28" i="3"/>
  <c r="HF28" i="3"/>
  <c r="HG28" i="3"/>
  <c r="HH28" i="3"/>
  <c r="HI28" i="3"/>
  <c r="HJ28" i="3"/>
  <c r="HK28" i="3"/>
  <c r="HL28" i="3"/>
  <c r="HM28" i="3"/>
  <c r="HN28" i="3"/>
  <c r="HO28" i="3"/>
  <c r="HP28" i="3"/>
  <c r="HQ28" i="3"/>
  <c r="HR28" i="3"/>
  <c r="HS28" i="3"/>
  <c r="HT28" i="3"/>
  <c r="HU28" i="3"/>
  <c r="HV28" i="3"/>
  <c r="HW28" i="3"/>
  <c r="HX28" i="3"/>
  <c r="HY28" i="3"/>
  <c r="HZ28" i="3"/>
  <c r="IA28" i="3"/>
  <c r="IB28" i="3"/>
  <c r="IC28" i="3"/>
  <c r="ID28" i="3"/>
  <c r="IE28" i="3"/>
  <c r="IF28" i="3"/>
  <c r="IG28" i="3"/>
  <c r="IH28" i="3"/>
  <c r="II28" i="3"/>
  <c r="IJ28" i="3"/>
  <c r="IK28" i="3"/>
  <c r="IL28" i="3"/>
  <c r="IM28" i="3"/>
  <c r="IN28" i="3"/>
  <c r="IO28" i="3"/>
  <c r="IP28" i="3"/>
  <c r="IQ28" i="3"/>
  <c r="IR28" i="3"/>
  <c r="IS28" i="3"/>
  <c r="IT28" i="3"/>
  <c r="IU28" i="3"/>
  <c r="IV28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DC27" i="3"/>
  <c r="DD27" i="3"/>
  <c r="DE27" i="3"/>
  <c r="DF27" i="3"/>
  <c r="DG27" i="3"/>
  <c r="DH27" i="3"/>
  <c r="DI27" i="3"/>
  <c r="DJ27" i="3"/>
  <c r="DK27" i="3"/>
  <c r="DL27" i="3"/>
  <c r="DM27" i="3"/>
  <c r="DN27" i="3"/>
  <c r="DO27" i="3"/>
  <c r="DP27" i="3"/>
  <c r="DQ27" i="3"/>
  <c r="DR27" i="3"/>
  <c r="DS27" i="3"/>
  <c r="DT27" i="3"/>
  <c r="DU27" i="3"/>
  <c r="DV27" i="3"/>
  <c r="DW27" i="3"/>
  <c r="DX27" i="3"/>
  <c r="DY27" i="3"/>
  <c r="DZ27" i="3"/>
  <c r="EA27" i="3"/>
  <c r="EB27" i="3"/>
  <c r="EC27" i="3"/>
  <c r="ED27" i="3"/>
  <c r="EE27" i="3"/>
  <c r="EF27" i="3"/>
  <c r="EG27" i="3"/>
  <c r="EH27" i="3"/>
  <c r="EI27" i="3"/>
  <c r="EJ27" i="3"/>
  <c r="EK27" i="3"/>
  <c r="EL27" i="3"/>
  <c r="EM27" i="3"/>
  <c r="EN27" i="3"/>
  <c r="EO27" i="3"/>
  <c r="EP27" i="3"/>
  <c r="EQ27" i="3"/>
  <c r="ER27" i="3"/>
  <c r="ES27" i="3"/>
  <c r="ET27" i="3"/>
  <c r="EU27" i="3"/>
  <c r="EV27" i="3"/>
  <c r="EW27" i="3"/>
  <c r="EX27" i="3"/>
  <c r="EY27" i="3"/>
  <c r="EZ27" i="3"/>
  <c r="FA27" i="3"/>
  <c r="FB27" i="3"/>
  <c r="FC27" i="3"/>
  <c r="FD27" i="3"/>
  <c r="FE27" i="3"/>
  <c r="FF27" i="3"/>
  <c r="FG27" i="3"/>
  <c r="FH27" i="3"/>
  <c r="FI27" i="3"/>
  <c r="FJ27" i="3"/>
  <c r="FK27" i="3"/>
  <c r="FL27" i="3"/>
  <c r="FM27" i="3"/>
  <c r="FN27" i="3"/>
  <c r="FO27" i="3"/>
  <c r="FP27" i="3"/>
  <c r="FQ27" i="3"/>
  <c r="FR27" i="3"/>
  <c r="FS27" i="3"/>
  <c r="FT27" i="3"/>
  <c r="FU27" i="3"/>
  <c r="FV27" i="3"/>
  <c r="FW27" i="3"/>
  <c r="FX27" i="3"/>
  <c r="FY27" i="3"/>
  <c r="FZ27" i="3"/>
  <c r="GA27" i="3"/>
  <c r="GB27" i="3"/>
  <c r="GC27" i="3"/>
  <c r="GD27" i="3"/>
  <c r="GE27" i="3"/>
  <c r="GF27" i="3"/>
  <c r="GG27" i="3"/>
  <c r="GH27" i="3"/>
  <c r="GI27" i="3"/>
  <c r="GJ27" i="3"/>
  <c r="GK27" i="3"/>
  <c r="GL27" i="3"/>
  <c r="GM27" i="3"/>
  <c r="GN27" i="3"/>
  <c r="GO27" i="3"/>
  <c r="GP27" i="3"/>
  <c r="GQ27" i="3"/>
  <c r="GR27" i="3"/>
  <c r="GS27" i="3"/>
  <c r="GT27" i="3"/>
  <c r="GU27" i="3"/>
  <c r="GV27" i="3"/>
  <c r="GW27" i="3"/>
  <c r="GX27" i="3"/>
  <c r="GY27" i="3"/>
  <c r="GZ27" i="3"/>
  <c r="HA27" i="3"/>
  <c r="HB27" i="3"/>
  <c r="HC27" i="3"/>
  <c r="HD27" i="3"/>
  <c r="HE27" i="3"/>
  <c r="HF27" i="3"/>
  <c r="HG27" i="3"/>
  <c r="HH27" i="3"/>
  <c r="HI27" i="3"/>
  <c r="HJ27" i="3"/>
  <c r="HK27" i="3"/>
  <c r="HL27" i="3"/>
  <c r="HM27" i="3"/>
  <c r="HN27" i="3"/>
  <c r="HO27" i="3"/>
  <c r="HP27" i="3"/>
  <c r="HQ27" i="3"/>
  <c r="HR27" i="3"/>
  <c r="HS27" i="3"/>
  <c r="HT27" i="3"/>
  <c r="HU27" i="3"/>
  <c r="HV27" i="3"/>
  <c r="HW27" i="3"/>
  <c r="HX27" i="3"/>
  <c r="HY27" i="3"/>
  <c r="HZ27" i="3"/>
  <c r="IA27" i="3"/>
  <c r="IB27" i="3"/>
  <c r="IC27" i="3"/>
  <c r="ID27" i="3"/>
  <c r="IE27" i="3"/>
  <c r="IF27" i="3"/>
  <c r="IG27" i="3"/>
  <c r="IH27" i="3"/>
  <c r="II27" i="3"/>
  <c r="IJ27" i="3"/>
  <c r="IK27" i="3"/>
  <c r="IL27" i="3"/>
  <c r="IM27" i="3"/>
  <c r="IN27" i="3"/>
  <c r="IO27" i="3"/>
  <c r="IP27" i="3"/>
  <c r="IQ27" i="3"/>
  <c r="IR27" i="3"/>
  <c r="IS27" i="3"/>
  <c r="IT27" i="3"/>
  <c r="IU27" i="3"/>
  <c r="IV27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DC26" i="3"/>
  <c r="DD26" i="3"/>
  <c r="DE26" i="3"/>
  <c r="DF26" i="3"/>
  <c r="DG26" i="3"/>
  <c r="DH26" i="3"/>
  <c r="DI26" i="3"/>
  <c r="DJ26" i="3"/>
  <c r="DK26" i="3"/>
  <c r="DL26" i="3"/>
  <c r="DM26" i="3"/>
  <c r="DN26" i="3"/>
  <c r="DO26" i="3"/>
  <c r="DP26" i="3"/>
  <c r="DQ26" i="3"/>
  <c r="DR26" i="3"/>
  <c r="DS26" i="3"/>
  <c r="DT26" i="3"/>
  <c r="DU26" i="3"/>
  <c r="DV26" i="3"/>
  <c r="DW26" i="3"/>
  <c r="DX26" i="3"/>
  <c r="DY26" i="3"/>
  <c r="DZ26" i="3"/>
  <c r="EA26" i="3"/>
  <c r="EB26" i="3"/>
  <c r="EC26" i="3"/>
  <c r="ED26" i="3"/>
  <c r="EE26" i="3"/>
  <c r="EF26" i="3"/>
  <c r="EG26" i="3"/>
  <c r="EH26" i="3"/>
  <c r="EI26" i="3"/>
  <c r="EJ26" i="3"/>
  <c r="EK26" i="3"/>
  <c r="EL26" i="3"/>
  <c r="EM26" i="3"/>
  <c r="EN26" i="3"/>
  <c r="EO26" i="3"/>
  <c r="EP26" i="3"/>
  <c r="EQ26" i="3"/>
  <c r="ER26" i="3"/>
  <c r="ES26" i="3"/>
  <c r="ET26" i="3"/>
  <c r="EU26" i="3"/>
  <c r="EV26" i="3"/>
  <c r="EW26" i="3"/>
  <c r="EX26" i="3"/>
  <c r="EY26" i="3"/>
  <c r="EZ26" i="3"/>
  <c r="FA26" i="3"/>
  <c r="FB26" i="3"/>
  <c r="FC26" i="3"/>
  <c r="FD26" i="3"/>
  <c r="FE26" i="3"/>
  <c r="FF26" i="3"/>
  <c r="FG26" i="3"/>
  <c r="FH26" i="3"/>
  <c r="FI26" i="3"/>
  <c r="FJ26" i="3"/>
  <c r="FK26" i="3"/>
  <c r="FL26" i="3"/>
  <c r="FM26" i="3"/>
  <c r="FN26" i="3"/>
  <c r="FO26" i="3"/>
  <c r="FP26" i="3"/>
  <c r="FQ26" i="3"/>
  <c r="FR26" i="3"/>
  <c r="FS26" i="3"/>
  <c r="FT26" i="3"/>
  <c r="FU26" i="3"/>
  <c r="FV26" i="3"/>
  <c r="FW26" i="3"/>
  <c r="FX26" i="3"/>
  <c r="FY26" i="3"/>
  <c r="FZ26" i="3"/>
  <c r="GA26" i="3"/>
  <c r="GB26" i="3"/>
  <c r="GC26" i="3"/>
  <c r="GD26" i="3"/>
  <c r="GE26" i="3"/>
  <c r="GF26" i="3"/>
  <c r="GG26" i="3"/>
  <c r="GH26" i="3"/>
  <c r="GI26" i="3"/>
  <c r="GJ26" i="3"/>
  <c r="GK26" i="3"/>
  <c r="GL26" i="3"/>
  <c r="GM26" i="3"/>
  <c r="GN26" i="3"/>
  <c r="GO26" i="3"/>
  <c r="GP26" i="3"/>
  <c r="GQ26" i="3"/>
  <c r="GR26" i="3"/>
  <c r="GS26" i="3"/>
  <c r="GT26" i="3"/>
  <c r="GU26" i="3"/>
  <c r="GV26" i="3"/>
  <c r="GW26" i="3"/>
  <c r="GX26" i="3"/>
  <c r="GY26" i="3"/>
  <c r="GZ26" i="3"/>
  <c r="HA26" i="3"/>
  <c r="HB26" i="3"/>
  <c r="HC26" i="3"/>
  <c r="HD26" i="3"/>
  <c r="HE26" i="3"/>
  <c r="HF26" i="3"/>
  <c r="HG26" i="3"/>
  <c r="HH26" i="3"/>
  <c r="HI26" i="3"/>
  <c r="HJ26" i="3"/>
  <c r="HK26" i="3"/>
  <c r="HL26" i="3"/>
  <c r="HM26" i="3"/>
  <c r="HN26" i="3"/>
  <c r="HO26" i="3"/>
  <c r="HP26" i="3"/>
  <c r="HQ26" i="3"/>
  <c r="HR26" i="3"/>
  <c r="HS26" i="3"/>
  <c r="HT26" i="3"/>
  <c r="HU26" i="3"/>
  <c r="HV26" i="3"/>
  <c r="HW26" i="3"/>
  <c r="HX26" i="3"/>
  <c r="HY26" i="3"/>
  <c r="HZ26" i="3"/>
  <c r="IA26" i="3"/>
  <c r="IB26" i="3"/>
  <c r="IC26" i="3"/>
  <c r="ID26" i="3"/>
  <c r="IE26" i="3"/>
  <c r="IF26" i="3"/>
  <c r="IG26" i="3"/>
  <c r="IH26" i="3"/>
  <c r="II26" i="3"/>
  <c r="IJ26" i="3"/>
  <c r="IK26" i="3"/>
  <c r="IL26" i="3"/>
  <c r="IM26" i="3"/>
  <c r="IN26" i="3"/>
  <c r="IO26" i="3"/>
  <c r="IP26" i="3"/>
  <c r="IQ26" i="3"/>
  <c r="IR26" i="3"/>
  <c r="IS26" i="3"/>
  <c r="IT26" i="3"/>
  <c r="IU26" i="3"/>
  <c r="IV26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DC25" i="3"/>
  <c r="DD25" i="3"/>
  <c r="DE25" i="3"/>
  <c r="DF25" i="3"/>
  <c r="DG25" i="3"/>
  <c r="DH25" i="3"/>
  <c r="DI25" i="3"/>
  <c r="DJ25" i="3"/>
  <c r="DK25" i="3"/>
  <c r="DL25" i="3"/>
  <c r="DM25" i="3"/>
  <c r="DN25" i="3"/>
  <c r="DO25" i="3"/>
  <c r="DP25" i="3"/>
  <c r="DQ25" i="3"/>
  <c r="DR25" i="3"/>
  <c r="DS25" i="3"/>
  <c r="DT25" i="3"/>
  <c r="DU25" i="3"/>
  <c r="DV25" i="3"/>
  <c r="DW25" i="3"/>
  <c r="DX25" i="3"/>
  <c r="DY25" i="3"/>
  <c r="DZ25" i="3"/>
  <c r="EA25" i="3"/>
  <c r="EB25" i="3"/>
  <c r="EC25" i="3"/>
  <c r="ED25" i="3"/>
  <c r="EE25" i="3"/>
  <c r="EF25" i="3"/>
  <c r="EG25" i="3"/>
  <c r="EH25" i="3"/>
  <c r="EI25" i="3"/>
  <c r="EJ25" i="3"/>
  <c r="EK25" i="3"/>
  <c r="EL25" i="3"/>
  <c r="EM25" i="3"/>
  <c r="EN25" i="3"/>
  <c r="EO25" i="3"/>
  <c r="EP25" i="3"/>
  <c r="EQ25" i="3"/>
  <c r="ER25" i="3"/>
  <c r="ES25" i="3"/>
  <c r="ET25" i="3"/>
  <c r="EU25" i="3"/>
  <c r="EV25" i="3"/>
  <c r="EW25" i="3"/>
  <c r="EX25" i="3"/>
  <c r="EY25" i="3"/>
  <c r="EZ25" i="3"/>
  <c r="FA25" i="3"/>
  <c r="FB25" i="3"/>
  <c r="FC25" i="3"/>
  <c r="FD25" i="3"/>
  <c r="FE25" i="3"/>
  <c r="FF25" i="3"/>
  <c r="FG25" i="3"/>
  <c r="FH25" i="3"/>
  <c r="FI25" i="3"/>
  <c r="FJ25" i="3"/>
  <c r="FK25" i="3"/>
  <c r="FL25" i="3"/>
  <c r="FM25" i="3"/>
  <c r="FN25" i="3"/>
  <c r="FO25" i="3"/>
  <c r="FP25" i="3"/>
  <c r="FQ25" i="3"/>
  <c r="FR25" i="3"/>
  <c r="FS25" i="3"/>
  <c r="FT25" i="3"/>
  <c r="FU25" i="3"/>
  <c r="FV25" i="3"/>
  <c r="FW25" i="3"/>
  <c r="FX25" i="3"/>
  <c r="FY25" i="3"/>
  <c r="FZ25" i="3"/>
  <c r="GA25" i="3"/>
  <c r="GB25" i="3"/>
  <c r="GC25" i="3"/>
  <c r="GD25" i="3"/>
  <c r="GE25" i="3"/>
  <c r="GF25" i="3"/>
  <c r="GG25" i="3"/>
  <c r="GH25" i="3"/>
  <c r="GI25" i="3"/>
  <c r="GJ25" i="3"/>
  <c r="GK25" i="3"/>
  <c r="GL25" i="3"/>
  <c r="GM25" i="3"/>
  <c r="GN25" i="3"/>
  <c r="GO25" i="3"/>
  <c r="GP25" i="3"/>
  <c r="GQ25" i="3"/>
  <c r="GR25" i="3"/>
  <c r="GS25" i="3"/>
  <c r="GT25" i="3"/>
  <c r="GU25" i="3"/>
  <c r="GV25" i="3"/>
  <c r="GW25" i="3"/>
  <c r="GX25" i="3"/>
  <c r="GY25" i="3"/>
  <c r="GZ25" i="3"/>
  <c r="HA25" i="3"/>
  <c r="HB25" i="3"/>
  <c r="HC25" i="3"/>
  <c r="HD25" i="3"/>
  <c r="HE25" i="3"/>
  <c r="HF25" i="3"/>
  <c r="HG25" i="3"/>
  <c r="HH25" i="3"/>
  <c r="HI25" i="3"/>
  <c r="HJ25" i="3"/>
  <c r="HK25" i="3"/>
  <c r="HL25" i="3"/>
  <c r="HM25" i="3"/>
  <c r="HN25" i="3"/>
  <c r="HO25" i="3"/>
  <c r="HP25" i="3"/>
  <c r="HQ25" i="3"/>
  <c r="HR25" i="3"/>
  <c r="HS25" i="3"/>
  <c r="HT25" i="3"/>
  <c r="HU25" i="3"/>
  <c r="HV25" i="3"/>
  <c r="HW25" i="3"/>
  <c r="HX25" i="3"/>
  <c r="HY25" i="3"/>
  <c r="HZ25" i="3"/>
  <c r="IA25" i="3"/>
  <c r="IB25" i="3"/>
  <c r="IC25" i="3"/>
  <c r="ID25" i="3"/>
  <c r="IE25" i="3"/>
  <c r="IF25" i="3"/>
  <c r="IG25" i="3"/>
  <c r="IH25" i="3"/>
  <c r="II25" i="3"/>
  <c r="IJ25" i="3"/>
  <c r="IK25" i="3"/>
  <c r="IL25" i="3"/>
  <c r="IM25" i="3"/>
  <c r="IN25" i="3"/>
  <c r="IO25" i="3"/>
  <c r="IP25" i="3"/>
  <c r="IQ25" i="3"/>
  <c r="IR25" i="3"/>
  <c r="IS25" i="3"/>
  <c r="IT25" i="3"/>
  <c r="IU25" i="3"/>
  <c r="IV25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DC24" i="3"/>
  <c r="DD24" i="3"/>
  <c r="DE24" i="3"/>
  <c r="DF24" i="3"/>
  <c r="DG24" i="3"/>
  <c r="DH24" i="3"/>
  <c r="DI24" i="3"/>
  <c r="DJ24" i="3"/>
  <c r="DK24" i="3"/>
  <c r="DL24" i="3"/>
  <c r="DM24" i="3"/>
  <c r="DN24" i="3"/>
  <c r="DO24" i="3"/>
  <c r="DP24" i="3"/>
  <c r="DQ24" i="3"/>
  <c r="DR24" i="3"/>
  <c r="DS24" i="3"/>
  <c r="DT24" i="3"/>
  <c r="DU24" i="3"/>
  <c r="DV24" i="3"/>
  <c r="DW24" i="3"/>
  <c r="DX24" i="3"/>
  <c r="DY24" i="3"/>
  <c r="DZ24" i="3"/>
  <c r="EA24" i="3"/>
  <c r="EB24" i="3"/>
  <c r="EC24" i="3"/>
  <c r="ED24" i="3"/>
  <c r="EE24" i="3"/>
  <c r="EF24" i="3"/>
  <c r="EG24" i="3"/>
  <c r="EH24" i="3"/>
  <c r="EI24" i="3"/>
  <c r="EJ24" i="3"/>
  <c r="EK24" i="3"/>
  <c r="EL24" i="3"/>
  <c r="EM24" i="3"/>
  <c r="EN24" i="3"/>
  <c r="EO24" i="3"/>
  <c r="EP24" i="3"/>
  <c r="EQ24" i="3"/>
  <c r="ER24" i="3"/>
  <c r="ES24" i="3"/>
  <c r="ET24" i="3"/>
  <c r="EU24" i="3"/>
  <c r="EV24" i="3"/>
  <c r="EW24" i="3"/>
  <c r="EX24" i="3"/>
  <c r="EY24" i="3"/>
  <c r="EZ24" i="3"/>
  <c r="FA24" i="3"/>
  <c r="FB24" i="3"/>
  <c r="FC24" i="3"/>
  <c r="FD24" i="3"/>
  <c r="FE24" i="3"/>
  <c r="FF24" i="3"/>
  <c r="FG24" i="3"/>
  <c r="FH24" i="3"/>
  <c r="FI24" i="3"/>
  <c r="FJ24" i="3"/>
  <c r="FK24" i="3"/>
  <c r="FL24" i="3"/>
  <c r="FM24" i="3"/>
  <c r="FN24" i="3"/>
  <c r="FO24" i="3"/>
  <c r="FP24" i="3"/>
  <c r="FQ24" i="3"/>
  <c r="FR24" i="3"/>
  <c r="FS24" i="3"/>
  <c r="FT24" i="3"/>
  <c r="FU24" i="3"/>
  <c r="FV24" i="3"/>
  <c r="FW24" i="3"/>
  <c r="FX24" i="3"/>
  <c r="FY24" i="3"/>
  <c r="FZ24" i="3"/>
  <c r="GA24" i="3"/>
  <c r="GB24" i="3"/>
  <c r="GC24" i="3"/>
  <c r="GD24" i="3"/>
  <c r="GE24" i="3"/>
  <c r="GF24" i="3"/>
  <c r="GG24" i="3"/>
  <c r="GH24" i="3"/>
  <c r="GI24" i="3"/>
  <c r="GJ24" i="3"/>
  <c r="GK24" i="3"/>
  <c r="GL24" i="3"/>
  <c r="GM24" i="3"/>
  <c r="GN24" i="3"/>
  <c r="GO24" i="3"/>
  <c r="GP24" i="3"/>
  <c r="GQ24" i="3"/>
  <c r="GR24" i="3"/>
  <c r="GS24" i="3"/>
  <c r="GT24" i="3"/>
  <c r="GU24" i="3"/>
  <c r="GV24" i="3"/>
  <c r="GW24" i="3"/>
  <c r="GX24" i="3"/>
  <c r="GY24" i="3"/>
  <c r="GZ24" i="3"/>
  <c r="HA24" i="3"/>
  <c r="HB24" i="3"/>
  <c r="HC24" i="3"/>
  <c r="HD24" i="3"/>
  <c r="HE24" i="3"/>
  <c r="HF24" i="3"/>
  <c r="HG24" i="3"/>
  <c r="HH24" i="3"/>
  <c r="HI24" i="3"/>
  <c r="HJ24" i="3"/>
  <c r="HK24" i="3"/>
  <c r="HL24" i="3"/>
  <c r="HM24" i="3"/>
  <c r="HN24" i="3"/>
  <c r="HO24" i="3"/>
  <c r="HP24" i="3"/>
  <c r="HQ24" i="3"/>
  <c r="HR24" i="3"/>
  <c r="HS24" i="3"/>
  <c r="HT24" i="3"/>
  <c r="HU24" i="3"/>
  <c r="HV24" i="3"/>
  <c r="HW24" i="3"/>
  <c r="HX24" i="3"/>
  <c r="HY24" i="3"/>
  <c r="HZ24" i="3"/>
  <c r="IA24" i="3"/>
  <c r="IB24" i="3"/>
  <c r="IC24" i="3"/>
  <c r="ID24" i="3"/>
  <c r="IE24" i="3"/>
  <c r="IF24" i="3"/>
  <c r="IG24" i="3"/>
  <c r="IH24" i="3"/>
  <c r="II24" i="3"/>
  <c r="IJ24" i="3"/>
  <c r="IK24" i="3"/>
  <c r="IL24" i="3"/>
  <c r="IM24" i="3"/>
  <c r="IN24" i="3"/>
  <c r="IO24" i="3"/>
  <c r="IP24" i="3"/>
  <c r="IQ24" i="3"/>
  <c r="IR24" i="3"/>
  <c r="IS24" i="3"/>
  <c r="IT24" i="3"/>
  <c r="IU24" i="3"/>
  <c r="IV24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DC23" i="3"/>
  <c r="DD23" i="3"/>
  <c r="DE23" i="3"/>
  <c r="DF23" i="3"/>
  <c r="DG23" i="3"/>
  <c r="DH23" i="3"/>
  <c r="DI23" i="3"/>
  <c r="DJ23" i="3"/>
  <c r="DK23" i="3"/>
  <c r="DL23" i="3"/>
  <c r="DM23" i="3"/>
  <c r="DN23" i="3"/>
  <c r="DO23" i="3"/>
  <c r="DP23" i="3"/>
  <c r="DQ23" i="3"/>
  <c r="DR23" i="3"/>
  <c r="DS23" i="3"/>
  <c r="DT23" i="3"/>
  <c r="DU23" i="3"/>
  <c r="DV23" i="3"/>
  <c r="DW23" i="3"/>
  <c r="DX23" i="3"/>
  <c r="DY23" i="3"/>
  <c r="DZ23" i="3"/>
  <c r="EA23" i="3"/>
  <c r="EB23" i="3"/>
  <c r="EC23" i="3"/>
  <c r="ED23" i="3"/>
  <c r="EE23" i="3"/>
  <c r="EF23" i="3"/>
  <c r="EG23" i="3"/>
  <c r="EH23" i="3"/>
  <c r="EI23" i="3"/>
  <c r="EJ23" i="3"/>
  <c r="EK23" i="3"/>
  <c r="EL23" i="3"/>
  <c r="EM23" i="3"/>
  <c r="EN23" i="3"/>
  <c r="EO23" i="3"/>
  <c r="EP23" i="3"/>
  <c r="EQ23" i="3"/>
  <c r="ER23" i="3"/>
  <c r="ES23" i="3"/>
  <c r="ET23" i="3"/>
  <c r="EU23" i="3"/>
  <c r="EV23" i="3"/>
  <c r="EW23" i="3"/>
  <c r="EX23" i="3"/>
  <c r="EY23" i="3"/>
  <c r="EZ23" i="3"/>
  <c r="FA23" i="3"/>
  <c r="FB23" i="3"/>
  <c r="FC23" i="3"/>
  <c r="FD23" i="3"/>
  <c r="FE23" i="3"/>
  <c r="FF23" i="3"/>
  <c r="FG23" i="3"/>
  <c r="FH23" i="3"/>
  <c r="FI23" i="3"/>
  <c r="FJ23" i="3"/>
  <c r="FK23" i="3"/>
  <c r="FL23" i="3"/>
  <c r="FM23" i="3"/>
  <c r="FN23" i="3"/>
  <c r="FO23" i="3"/>
  <c r="FP23" i="3"/>
  <c r="FQ23" i="3"/>
  <c r="FR23" i="3"/>
  <c r="FS23" i="3"/>
  <c r="FT23" i="3"/>
  <c r="FU23" i="3"/>
  <c r="FV23" i="3"/>
  <c r="FW23" i="3"/>
  <c r="FX23" i="3"/>
  <c r="FY23" i="3"/>
  <c r="FZ23" i="3"/>
  <c r="GA23" i="3"/>
  <c r="GB23" i="3"/>
  <c r="GC23" i="3"/>
  <c r="GD23" i="3"/>
  <c r="GE23" i="3"/>
  <c r="GF23" i="3"/>
  <c r="GG23" i="3"/>
  <c r="GH23" i="3"/>
  <c r="GI23" i="3"/>
  <c r="GJ23" i="3"/>
  <c r="GK23" i="3"/>
  <c r="GL23" i="3"/>
  <c r="GM23" i="3"/>
  <c r="GN23" i="3"/>
  <c r="GO23" i="3"/>
  <c r="GP23" i="3"/>
  <c r="GQ23" i="3"/>
  <c r="GR23" i="3"/>
  <c r="GS23" i="3"/>
  <c r="GT23" i="3"/>
  <c r="GU23" i="3"/>
  <c r="GV23" i="3"/>
  <c r="GW23" i="3"/>
  <c r="GX23" i="3"/>
  <c r="GY23" i="3"/>
  <c r="GZ23" i="3"/>
  <c r="HA23" i="3"/>
  <c r="HB23" i="3"/>
  <c r="HC23" i="3"/>
  <c r="HD23" i="3"/>
  <c r="HE23" i="3"/>
  <c r="HF23" i="3"/>
  <c r="HG23" i="3"/>
  <c r="HH23" i="3"/>
  <c r="HI23" i="3"/>
  <c r="HJ23" i="3"/>
  <c r="HK23" i="3"/>
  <c r="HL23" i="3"/>
  <c r="HM23" i="3"/>
  <c r="HN23" i="3"/>
  <c r="HO23" i="3"/>
  <c r="HP23" i="3"/>
  <c r="HQ23" i="3"/>
  <c r="HR23" i="3"/>
  <c r="HS23" i="3"/>
  <c r="HT23" i="3"/>
  <c r="HU23" i="3"/>
  <c r="HV23" i="3"/>
  <c r="HW23" i="3"/>
  <c r="HX23" i="3"/>
  <c r="HY23" i="3"/>
  <c r="HZ23" i="3"/>
  <c r="IA23" i="3"/>
  <c r="IB23" i="3"/>
  <c r="IC23" i="3"/>
  <c r="ID23" i="3"/>
  <c r="IE23" i="3"/>
  <c r="IF23" i="3"/>
  <c r="IG23" i="3"/>
  <c r="IH23" i="3"/>
  <c r="II23" i="3"/>
  <c r="IJ23" i="3"/>
  <c r="IK23" i="3"/>
  <c r="IL23" i="3"/>
  <c r="IM23" i="3"/>
  <c r="IN23" i="3"/>
  <c r="IO23" i="3"/>
  <c r="IP23" i="3"/>
  <c r="IQ23" i="3"/>
  <c r="IR23" i="3"/>
  <c r="IS23" i="3"/>
  <c r="IT23" i="3"/>
  <c r="IU23" i="3"/>
  <c r="IV23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DC22" i="3"/>
  <c r="DD22" i="3"/>
  <c r="DE22" i="3"/>
  <c r="DF22" i="3"/>
  <c r="DG22" i="3"/>
  <c r="DH22" i="3"/>
  <c r="DI22" i="3"/>
  <c r="DJ22" i="3"/>
  <c r="DK22" i="3"/>
  <c r="DL22" i="3"/>
  <c r="DM22" i="3"/>
  <c r="DN22" i="3"/>
  <c r="DO22" i="3"/>
  <c r="DP22" i="3"/>
  <c r="DQ22" i="3"/>
  <c r="DR22" i="3"/>
  <c r="DS22" i="3"/>
  <c r="DT22" i="3"/>
  <c r="DU22" i="3"/>
  <c r="DV22" i="3"/>
  <c r="DW22" i="3"/>
  <c r="DX22" i="3"/>
  <c r="DY22" i="3"/>
  <c r="DZ22" i="3"/>
  <c r="EA22" i="3"/>
  <c r="EB22" i="3"/>
  <c r="EC22" i="3"/>
  <c r="ED22" i="3"/>
  <c r="EE22" i="3"/>
  <c r="EF22" i="3"/>
  <c r="EG22" i="3"/>
  <c r="EH22" i="3"/>
  <c r="EI22" i="3"/>
  <c r="EJ22" i="3"/>
  <c r="EK22" i="3"/>
  <c r="EL22" i="3"/>
  <c r="EM22" i="3"/>
  <c r="EN22" i="3"/>
  <c r="EO22" i="3"/>
  <c r="EP22" i="3"/>
  <c r="EQ22" i="3"/>
  <c r="ER22" i="3"/>
  <c r="ES22" i="3"/>
  <c r="ET22" i="3"/>
  <c r="EU22" i="3"/>
  <c r="EV22" i="3"/>
  <c r="EW22" i="3"/>
  <c r="EX22" i="3"/>
  <c r="EY22" i="3"/>
  <c r="EZ22" i="3"/>
  <c r="FA22" i="3"/>
  <c r="FB22" i="3"/>
  <c r="FC22" i="3"/>
  <c r="FD22" i="3"/>
  <c r="FE22" i="3"/>
  <c r="FF22" i="3"/>
  <c r="FG22" i="3"/>
  <c r="FH22" i="3"/>
  <c r="FI22" i="3"/>
  <c r="FJ22" i="3"/>
  <c r="FK22" i="3"/>
  <c r="FL22" i="3"/>
  <c r="FM22" i="3"/>
  <c r="FN22" i="3"/>
  <c r="FO22" i="3"/>
  <c r="FP22" i="3"/>
  <c r="FQ22" i="3"/>
  <c r="FR22" i="3"/>
  <c r="FS22" i="3"/>
  <c r="FT22" i="3"/>
  <c r="FU22" i="3"/>
  <c r="FV22" i="3"/>
  <c r="FW22" i="3"/>
  <c r="FX22" i="3"/>
  <c r="FY22" i="3"/>
  <c r="FZ22" i="3"/>
  <c r="GA22" i="3"/>
  <c r="GB22" i="3"/>
  <c r="GC22" i="3"/>
  <c r="GD22" i="3"/>
  <c r="GE22" i="3"/>
  <c r="GF22" i="3"/>
  <c r="GG22" i="3"/>
  <c r="GH22" i="3"/>
  <c r="GI22" i="3"/>
  <c r="GJ22" i="3"/>
  <c r="GK22" i="3"/>
  <c r="GL22" i="3"/>
  <c r="GM22" i="3"/>
  <c r="GN22" i="3"/>
  <c r="GO22" i="3"/>
  <c r="GP22" i="3"/>
  <c r="GQ22" i="3"/>
  <c r="GR22" i="3"/>
  <c r="GS22" i="3"/>
  <c r="GT22" i="3"/>
  <c r="GU22" i="3"/>
  <c r="GV22" i="3"/>
  <c r="GW22" i="3"/>
  <c r="GX22" i="3"/>
  <c r="GY22" i="3"/>
  <c r="GZ22" i="3"/>
  <c r="HA22" i="3"/>
  <c r="HB22" i="3"/>
  <c r="HC22" i="3"/>
  <c r="HD22" i="3"/>
  <c r="HE22" i="3"/>
  <c r="HF22" i="3"/>
  <c r="HG22" i="3"/>
  <c r="HH22" i="3"/>
  <c r="HI22" i="3"/>
  <c r="HJ22" i="3"/>
  <c r="HK22" i="3"/>
  <c r="HL22" i="3"/>
  <c r="HM22" i="3"/>
  <c r="HN22" i="3"/>
  <c r="HO22" i="3"/>
  <c r="HP22" i="3"/>
  <c r="HQ22" i="3"/>
  <c r="HR22" i="3"/>
  <c r="HS22" i="3"/>
  <c r="HT22" i="3"/>
  <c r="HU22" i="3"/>
  <c r="HV22" i="3"/>
  <c r="HW22" i="3"/>
  <c r="HX22" i="3"/>
  <c r="HY22" i="3"/>
  <c r="HZ22" i="3"/>
  <c r="IA22" i="3"/>
  <c r="IB22" i="3"/>
  <c r="IC22" i="3"/>
  <c r="ID22" i="3"/>
  <c r="IE22" i="3"/>
  <c r="IF22" i="3"/>
  <c r="IG22" i="3"/>
  <c r="IH22" i="3"/>
  <c r="II22" i="3"/>
  <c r="IJ22" i="3"/>
  <c r="IK22" i="3"/>
  <c r="IL22" i="3"/>
  <c r="IM22" i="3"/>
  <c r="IN22" i="3"/>
  <c r="IO22" i="3"/>
  <c r="IP22" i="3"/>
  <c r="IQ22" i="3"/>
  <c r="IR22" i="3"/>
  <c r="IS22" i="3"/>
  <c r="IT22" i="3"/>
  <c r="IU22" i="3"/>
  <c r="IV22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DC21" i="3"/>
  <c r="DD21" i="3"/>
  <c r="DE21" i="3"/>
  <c r="DF21" i="3"/>
  <c r="DG21" i="3"/>
  <c r="DH21" i="3"/>
  <c r="DI21" i="3"/>
  <c r="DJ21" i="3"/>
  <c r="DK21" i="3"/>
  <c r="DL21" i="3"/>
  <c r="DM21" i="3"/>
  <c r="DN21" i="3"/>
  <c r="DO21" i="3"/>
  <c r="DP21" i="3"/>
  <c r="DQ21" i="3"/>
  <c r="DR21" i="3"/>
  <c r="DS21" i="3"/>
  <c r="DT21" i="3"/>
  <c r="DU21" i="3"/>
  <c r="DV21" i="3"/>
  <c r="DW21" i="3"/>
  <c r="DX21" i="3"/>
  <c r="DY21" i="3"/>
  <c r="DZ21" i="3"/>
  <c r="EA21" i="3"/>
  <c r="EB21" i="3"/>
  <c r="EC21" i="3"/>
  <c r="ED21" i="3"/>
  <c r="EE21" i="3"/>
  <c r="EF21" i="3"/>
  <c r="EG21" i="3"/>
  <c r="EH21" i="3"/>
  <c r="EI21" i="3"/>
  <c r="EJ21" i="3"/>
  <c r="EK21" i="3"/>
  <c r="EL21" i="3"/>
  <c r="EM21" i="3"/>
  <c r="EN21" i="3"/>
  <c r="EO21" i="3"/>
  <c r="EP21" i="3"/>
  <c r="EQ21" i="3"/>
  <c r="ER21" i="3"/>
  <c r="ES21" i="3"/>
  <c r="ET21" i="3"/>
  <c r="EU21" i="3"/>
  <c r="EV21" i="3"/>
  <c r="EW21" i="3"/>
  <c r="EX21" i="3"/>
  <c r="EY21" i="3"/>
  <c r="EZ21" i="3"/>
  <c r="FA21" i="3"/>
  <c r="FB21" i="3"/>
  <c r="FC21" i="3"/>
  <c r="FD21" i="3"/>
  <c r="FE21" i="3"/>
  <c r="FF21" i="3"/>
  <c r="FG21" i="3"/>
  <c r="FH21" i="3"/>
  <c r="FI21" i="3"/>
  <c r="FJ21" i="3"/>
  <c r="FK21" i="3"/>
  <c r="FL21" i="3"/>
  <c r="FM21" i="3"/>
  <c r="FN21" i="3"/>
  <c r="FO21" i="3"/>
  <c r="FP21" i="3"/>
  <c r="FQ21" i="3"/>
  <c r="FR21" i="3"/>
  <c r="FS21" i="3"/>
  <c r="FT21" i="3"/>
  <c r="FU21" i="3"/>
  <c r="FV21" i="3"/>
  <c r="FW21" i="3"/>
  <c r="FX21" i="3"/>
  <c r="FY21" i="3"/>
  <c r="FZ21" i="3"/>
  <c r="GA21" i="3"/>
  <c r="GB21" i="3"/>
  <c r="GC21" i="3"/>
  <c r="GD21" i="3"/>
  <c r="GE21" i="3"/>
  <c r="GF21" i="3"/>
  <c r="GG21" i="3"/>
  <c r="GH21" i="3"/>
  <c r="GI21" i="3"/>
  <c r="GJ21" i="3"/>
  <c r="GK21" i="3"/>
  <c r="GL21" i="3"/>
  <c r="GM21" i="3"/>
  <c r="GN21" i="3"/>
  <c r="GO21" i="3"/>
  <c r="GP21" i="3"/>
  <c r="GQ21" i="3"/>
  <c r="GR21" i="3"/>
  <c r="GS21" i="3"/>
  <c r="GT21" i="3"/>
  <c r="GU21" i="3"/>
  <c r="GV21" i="3"/>
  <c r="GW21" i="3"/>
  <c r="GX21" i="3"/>
  <c r="GY21" i="3"/>
  <c r="GZ21" i="3"/>
  <c r="HA21" i="3"/>
  <c r="HB21" i="3"/>
  <c r="HC21" i="3"/>
  <c r="HD21" i="3"/>
  <c r="HE21" i="3"/>
  <c r="HF21" i="3"/>
  <c r="HG21" i="3"/>
  <c r="HH21" i="3"/>
  <c r="HI21" i="3"/>
  <c r="HJ21" i="3"/>
  <c r="HK21" i="3"/>
  <c r="HL21" i="3"/>
  <c r="HM21" i="3"/>
  <c r="HN21" i="3"/>
  <c r="HO21" i="3"/>
  <c r="HP21" i="3"/>
  <c r="HQ21" i="3"/>
  <c r="HR21" i="3"/>
  <c r="HS21" i="3"/>
  <c r="HT21" i="3"/>
  <c r="HU21" i="3"/>
  <c r="HV21" i="3"/>
  <c r="HW21" i="3"/>
  <c r="HX21" i="3"/>
  <c r="HY21" i="3"/>
  <c r="HZ21" i="3"/>
  <c r="IA21" i="3"/>
  <c r="IB21" i="3"/>
  <c r="IC21" i="3"/>
  <c r="ID21" i="3"/>
  <c r="IE21" i="3"/>
  <c r="IF21" i="3"/>
  <c r="IG21" i="3"/>
  <c r="IH21" i="3"/>
  <c r="II21" i="3"/>
  <c r="IJ21" i="3"/>
  <c r="IK21" i="3"/>
  <c r="IL21" i="3"/>
  <c r="IM21" i="3"/>
  <c r="IN21" i="3"/>
  <c r="IO21" i="3"/>
  <c r="IP21" i="3"/>
  <c r="IQ21" i="3"/>
  <c r="IR21" i="3"/>
  <c r="IS21" i="3"/>
  <c r="IT21" i="3"/>
  <c r="IU21" i="3"/>
  <c r="IV21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EU20" i="3"/>
  <c r="EV20" i="3"/>
  <c r="EW20" i="3"/>
  <c r="EX20" i="3"/>
  <c r="EY20" i="3"/>
  <c r="EZ20" i="3"/>
  <c r="FA20" i="3"/>
  <c r="FB20" i="3"/>
  <c r="FC20" i="3"/>
  <c r="FD20" i="3"/>
  <c r="FE20" i="3"/>
  <c r="FF20" i="3"/>
  <c r="FG20" i="3"/>
  <c r="FH20" i="3"/>
  <c r="FI20" i="3"/>
  <c r="FJ20" i="3"/>
  <c r="FK20" i="3"/>
  <c r="FL20" i="3"/>
  <c r="FM20" i="3"/>
  <c r="FN20" i="3"/>
  <c r="FO20" i="3"/>
  <c r="FP20" i="3"/>
  <c r="FQ20" i="3"/>
  <c r="FR20" i="3"/>
  <c r="FS20" i="3"/>
  <c r="FT20" i="3"/>
  <c r="FU20" i="3"/>
  <c r="FV20" i="3"/>
  <c r="FW20" i="3"/>
  <c r="FX20" i="3"/>
  <c r="FY20" i="3"/>
  <c r="FZ20" i="3"/>
  <c r="GA20" i="3"/>
  <c r="GB20" i="3"/>
  <c r="GC20" i="3"/>
  <c r="GD20" i="3"/>
  <c r="GE20" i="3"/>
  <c r="GF20" i="3"/>
  <c r="GG20" i="3"/>
  <c r="GH20" i="3"/>
  <c r="GI20" i="3"/>
  <c r="GJ20" i="3"/>
  <c r="GK20" i="3"/>
  <c r="GL20" i="3"/>
  <c r="GM20" i="3"/>
  <c r="GN20" i="3"/>
  <c r="GO20" i="3"/>
  <c r="GP20" i="3"/>
  <c r="GQ20" i="3"/>
  <c r="GR20" i="3"/>
  <c r="GS20" i="3"/>
  <c r="GT20" i="3"/>
  <c r="GU20" i="3"/>
  <c r="GV20" i="3"/>
  <c r="GW20" i="3"/>
  <c r="GX20" i="3"/>
  <c r="GY20" i="3"/>
  <c r="GZ20" i="3"/>
  <c r="HA20" i="3"/>
  <c r="HB20" i="3"/>
  <c r="HC20" i="3"/>
  <c r="HD20" i="3"/>
  <c r="HE20" i="3"/>
  <c r="HF20" i="3"/>
  <c r="HG20" i="3"/>
  <c r="HH20" i="3"/>
  <c r="HI20" i="3"/>
  <c r="HJ20" i="3"/>
  <c r="HK20" i="3"/>
  <c r="HL20" i="3"/>
  <c r="HM20" i="3"/>
  <c r="HN20" i="3"/>
  <c r="HO20" i="3"/>
  <c r="HP20" i="3"/>
  <c r="HQ20" i="3"/>
  <c r="HR20" i="3"/>
  <c r="HS20" i="3"/>
  <c r="HT20" i="3"/>
  <c r="HU20" i="3"/>
  <c r="HV20" i="3"/>
  <c r="HW20" i="3"/>
  <c r="HX20" i="3"/>
  <c r="HY20" i="3"/>
  <c r="HZ20" i="3"/>
  <c r="IA20" i="3"/>
  <c r="IB20" i="3"/>
  <c r="IC20" i="3"/>
  <c r="ID20" i="3"/>
  <c r="IE20" i="3"/>
  <c r="IF20" i="3"/>
  <c r="IG20" i="3"/>
  <c r="IH20" i="3"/>
  <c r="II20" i="3"/>
  <c r="IJ20" i="3"/>
  <c r="IK20" i="3"/>
  <c r="IL20" i="3"/>
  <c r="IM20" i="3"/>
  <c r="IN20" i="3"/>
  <c r="IO20" i="3"/>
  <c r="IP20" i="3"/>
  <c r="IQ20" i="3"/>
  <c r="IR20" i="3"/>
  <c r="IS20" i="3"/>
  <c r="IT20" i="3"/>
  <c r="IU20" i="3"/>
  <c r="IV20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DC19" i="3"/>
  <c r="DD19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DR19" i="3"/>
  <c r="DS19" i="3"/>
  <c r="DT19" i="3"/>
  <c r="DU19" i="3"/>
  <c r="DV19" i="3"/>
  <c r="DW19" i="3"/>
  <c r="DX19" i="3"/>
  <c r="DY19" i="3"/>
  <c r="DZ19" i="3"/>
  <c r="EA19" i="3"/>
  <c r="EB19" i="3"/>
  <c r="EC19" i="3"/>
  <c r="ED19" i="3"/>
  <c r="EE19" i="3"/>
  <c r="EF19" i="3"/>
  <c r="EG19" i="3"/>
  <c r="EH19" i="3"/>
  <c r="EI19" i="3"/>
  <c r="EJ19" i="3"/>
  <c r="EK19" i="3"/>
  <c r="EL19" i="3"/>
  <c r="EM19" i="3"/>
  <c r="EN19" i="3"/>
  <c r="EO19" i="3"/>
  <c r="EP19" i="3"/>
  <c r="EQ19" i="3"/>
  <c r="ER19" i="3"/>
  <c r="ES19" i="3"/>
  <c r="ET19" i="3"/>
  <c r="EU19" i="3"/>
  <c r="EV19" i="3"/>
  <c r="EW19" i="3"/>
  <c r="EX19" i="3"/>
  <c r="EY19" i="3"/>
  <c r="EZ19" i="3"/>
  <c r="FA19" i="3"/>
  <c r="FB19" i="3"/>
  <c r="FC19" i="3"/>
  <c r="FD19" i="3"/>
  <c r="FE19" i="3"/>
  <c r="FF19" i="3"/>
  <c r="FG19" i="3"/>
  <c r="FH19" i="3"/>
  <c r="FI19" i="3"/>
  <c r="FJ19" i="3"/>
  <c r="FK19" i="3"/>
  <c r="FL19" i="3"/>
  <c r="FM19" i="3"/>
  <c r="FN19" i="3"/>
  <c r="FO19" i="3"/>
  <c r="FP19" i="3"/>
  <c r="FQ19" i="3"/>
  <c r="FR19" i="3"/>
  <c r="FS19" i="3"/>
  <c r="FT19" i="3"/>
  <c r="FU19" i="3"/>
  <c r="FV19" i="3"/>
  <c r="FW19" i="3"/>
  <c r="FX19" i="3"/>
  <c r="FY19" i="3"/>
  <c r="FZ19" i="3"/>
  <c r="GA19" i="3"/>
  <c r="GB19" i="3"/>
  <c r="GC19" i="3"/>
  <c r="GD19" i="3"/>
  <c r="GE19" i="3"/>
  <c r="GF19" i="3"/>
  <c r="GG19" i="3"/>
  <c r="GH19" i="3"/>
  <c r="GI19" i="3"/>
  <c r="GJ19" i="3"/>
  <c r="GK19" i="3"/>
  <c r="GL19" i="3"/>
  <c r="GM19" i="3"/>
  <c r="GN19" i="3"/>
  <c r="GO19" i="3"/>
  <c r="GP19" i="3"/>
  <c r="GQ19" i="3"/>
  <c r="GR19" i="3"/>
  <c r="GS19" i="3"/>
  <c r="GT19" i="3"/>
  <c r="GU19" i="3"/>
  <c r="GV19" i="3"/>
  <c r="GW19" i="3"/>
  <c r="GX19" i="3"/>
  <c r="GY19" i="3"/>
  <c r="GZ19" i="3"/>
  <c r="HA19" i="3"/>
  <c r="HB19" i="3"/>
  <c r="HC19" i="3"/>
  <c r="HD19" i="3"/>
  <c r="HE19" i="3"/>
  <c r="HF19" i="3"/>
  <c r="HG19" i="3"/>
  <c r="HH19" i="3"/>
  <c r="HI19" i="3"/>
  <c r="HJ19" i="3"/>
  <c r="HK19" i="3"/>
  <c r="HL19" i="3"/>
  <c r="HM19" i="3"/>
  <c r="HN19" i="3"/>
  <c r="HO19" i="3"/>
  <c r="HP19" i="3"/>
  <c r="HQ19" i="3"/>
  <c r="HR19" i="3"/>
  <c r="HS19" i="3"/>
  <c r="HT19" i="3"/>
  <c r="HU19" i="3"/>
  <c r="HV19" i="3"/>
  <c r="HW19" i="3"/>
  <c r="HX19" i="3"/>
  <c r="HY19" i="3"/>
  <c r="HZ19" i="3"/>
  <c r="IA19" i="3"/>
  <c r="IB19" i="3"/>
  <c r="IC19" i="3"/>
  <c r="ID19" i="3"/>
  <c r="IE19" i="3"/>
  <c r="IF19" i="3"/>
  <c r="IG19" i="3"/>
  <c r="IH19" i="3"/>
  <c r="II19" i="3"/>
  <c r="IJ19" i="3"/>
  <c r="IK19" i="3"/>
  <c r="IL19" i="3"/>
  <c r="IM19" i="3"/>
  <c r="IN19" i="3"/>
  <c r="IO19" i="3"/>
  <c r="IP19" i="3"/>
  <c r="IQ19" i="3"/>
  <c r="IR19" i="3"/>
  <c r="IS19" i="3"/>
  <c r="IT19" i="3"/>
  <c r="IU19" i="3"/>
  <c r="IV19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DC18" i="3"/>
  <c r="DD18" i="3"/>
  <c r="DE18" i="3"/>
  <c r="DF18" i="3"/>
  <c r="DG18" i="3"/>
  <c r="DH18" i="3"/>
  <c r="DI18" i="3"/>
  <c r="DJ18" i="3"/>
  <c r="DK18" i="3"/>
  <c r="DL18" i="3"/>
  <c r="DM18" i="3"/>
  <c r="DN18" i="3"/>
  <c r="DO18" i="3"/>
  <c r="DP18" i="3"/>
  <c r="DQ18" i="3"/>
  <c r="DR18" i="3"/>
  <c r="DS18" i="3"/>
  <c r="DT18" i="3"/>
  <c r="DU18" i="3"/>
  <c r="DV18" i="3"/>
  <c r="DW18" i="3"/>
  <c r="DX18" i="3"/>
  <c r="DY18" i="3"/>
  <c r="DZ18" i="3"/>
  <c r="EA18" i="3"/>
  <c r="EB18" i="3"/>
  <c r="EC18" i="3"/>
  <c r="ED18" i="3"/>
  <c r="EE18" i="3"/>
  <c r="EF18" i="3"/>
  <c r="EG18" i="3"/>
  <c r="EH18" i="3"/>
  <c r="EI18" i="3"/>
  <c r="EJ18" i="3"/>
  <c r="EK18" i="3"/>
  <c r="EL18" i="3"/>
  <c r="EM18" i="3"/>
  <c r="EN18" i="3"/>
  <c r="EO18" i="3"/>
  <c r="EP18" i="3"/>
  <c r="EQ18" i="3"/>
  <c r="ER18" i="3"/>
  <c r="ES18" i="3"/>
  <c r="ET18" i="3"/>
  <c r="EU18" i="3"/>
  <c r="EV18" i="3"/>
  <c r="EW18" i="3"/>
  <c r="EX18" i="3"/>
  <c r="EY18" i="3"/>
  <c r="EZ18" i="3"/>
  <c r="FA18" i="3"/>
  <c r="FB18" i="3"/>
  <c r="FC18" i="3"/>
  <c r="FD18" i="3"/>
  <c r="FE18" i="3"/>
  <c r="FF18" i="3"/>
  <c r="FG18" i="3"/>
  <c r="FH18" i="3"/>
  <c r="FI18" i="3"/>
  <c r="FJ18" i="3"/>
  <c r="FK18" i="3"/>
  <c r="FL18" i="3"/>
  <c r="FM18" i="3"/>
  <c r="FN18" i="3"/>
  <c r="FO18" i="3"/>
  <c r="FP18" i="3"/>
  <c r="FQ18" i="3"/>
  <c r="FR18" i="3"/>
  <c r="FS18" i="3"/>
  <c r="FT18" i="3"/>
  <c r="FU18" i="3"/>
  <c r="FV18" i="3"/>
  <c r="FW18" i="3"/>
  <c r="FX18" i="3"/>
  <c r="FY18" i="3"/>
  <c r="FZ18" i="3"/>
  <c r="GA18" i="3"/>
  <c r="GB18" i="3"/>
  <c r="GC18" i="3"/>
  <c r="GD18" i="3"/>
  <c r="GE18" i="3"/>
  <c r="GF18" i="3"/>
  <c r="GG18" i="3"/>
  <c r="GH18" i="3"/>
  <c r="GI18" i="3"/>
  <c r="GJ18" i="3"/>
  <c r="GK18" i="3"/>
  <c r="GL18" i="3"/>
  <c r="GM18" i="3"/>
  <c r="GN18" i="3"/>
  <c r="GO18" i="3"/>
  <c r="GP18" i="3"/>
  <c r="GQ18" i="3"/>
  <c r="GR18" i="3"/>
  <c r="GS18" i="3"/>
  <c r="GT18" i="3"/>
  <c r="GU18" i="3"/>
  <c r="GV18" i="3"/>
  <c r="GW18" i="3"/>
  <c r="GX18" i="3"/>
  <c r="GY18" i="3"/>
  <c r="GZ18" i="3"/>
  <c r="HA18" i="3"/>
  <c r="HB18" i="3"/>
  <c r="HC18" i="3"/>
  <c r="HD18" i="3"/>
  <c r="HE18" i="3"/>
  <c r="HF18" i="3"/>
  <c r="HG18" i="3"/>
  <c r="HH18" i="3"/>
  <c r="HI18" i="3"/>
  <c r="HJ18" i="3"/>
  <c r="HK18" i="3"/>
  <c r="HL18" i="3"/>
  <c r="HM18" i="3"/>
  <c r="HN18" i="3"/>
  <c r="HO18" i="3"/>
  <c r="HP18" i="3"/>
  <c r="HQ18" i="3"/>
  <c r="HR18" i="3"/>
  <c r="HS18" i="3"/>
  <c r="HT18" i="3"/>
  <c r="HU18" i="3"/>
  <c r="HV18" i="3"/>
  <c r="HW18" i="3"/>
  <c r="HX18" i="3"/>
  <c r="HY18" i="3"/>
  <c r="HZ18" i="3"/>
  <c r="IA18" i="3"/>
  <c r="IB18" i="3"/>
  <c r="IC18" i="3"/>
  <c r="ID18" i="3"/>
  <c r="IE18" i="3"/>
  <c r="IF18" i="3"/>
  <c r="IG18" i="3"/>
  <c r="IH18" i="3"/>
  <c r="II18" i="3"/>
  <c r="IJ18" i="3"/>
  <c r="IK18" i="3"/>
  <c r="IL18" i="3"/>
  <c r="IM18" i="3"/>
  <c r="IN18" i="3"/>
  <c r="IO18" i="3"/>
  <c r="IP18" i="3"/>
  <c r="IQ18" i="3"/>
  <c r="IR18" i="3"/>
  <c r="IS18" i="3"/>
  <c r="IT18" i="3"/>
  <c r="IU18" i="3"/>
  <c r="IV18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DC17" i="3"/>
  <c r="DD17" i="3"/>
  <c r="DE17" i="3"/>
  <c r="DF17" i="3"/>
  <c r="DG17" i="3"/>
  <c r="DH17" i="3"/>
  <c r="DI17" i="3"/>
  <c r="DJ17" i="3"/>
  <c r="DK17" i="3"/>
  <c r="DL17" i="3"/>
  <c r="DM17" i="3"/>
  <c r="DN17" i="3"/>
  <c r="DO17" i="3"/>
  <c r="DP17" i="3"/>
  <c r="DQ17" i="3"/>
  <c r="DR17" i="3"/>
  <c r="DS17" i="3"/>
  <c r="DT17" i="3"/>
  <c r="DU17" i="3"/>
  <c r="DV17" i="3"/>
  <c r="DW17" i="3"/>
  <c r="DX17" i="3"/>
  <c r="DY17" i="3"/>
  <c r="DZ17" i="3"/>
  <c r="EA17" i="3"/>
  <c r="EB17" i="3"/>
  <c r="EC17" i="3"/>
  <c r="ED17" i="3"/>
  <c r="EE17" i="3"/>
  <c r="EF17" i="3"/>
  <c r="EG17" i="3"/>
  <c r="EH17" i="3"/>
  <c r="EI17" i="3"/>
  <c r="EJ17" i="3"/>
  <c r="EK17" i="3"/>
  <c r="EL17" i="3"/>
  <c r="EM17" i="3"/>
  <c r="EN17" i="3"/>
  <c r="EO17" i="3"/>
  <c r="EP17" i="3"/>
  <c r="EQ17" i="3"/>
  <c r="ER17" i="3"/>
  <c r="ES17" i="3"/>
  <c r="ET17" i="3"/>
  <c r="EU17" i="3"/>
  <c r="EV17" i="3"/>
  <c r="EW17" i="3"/>
  <c r="EX17" i="3"/>
  <c r="EY17" i="3"/>
  <c r="EZ17" i="3"/>
  <c r="FA17" i="3"/>
  <c r="FB17" i="3"/>
  <c r="FC17" i="3"/>
  <c r="FD17" i="3"/>
  <c r="FE17" i="3"/>
  <c r="FF17" i="3"/>
  <c r="FG17" i="3"/>
  <c r="FH17" i="3"/>
  <c r="FI17" i="3"/>
  <c r="FJ17" i="3"/>
  <c r="FK17" i="3"/>
  <c r="FL17" i="3"/>
  <c r="FM17" i="3"/>
  <c r="FN17" i="3"/>
  <c r="FO17" i="3"/>
  <c r="FP17" i="3"/>
  <c r="FQ17" i="3"/>
  <c r="FR17" i="3"/>
  <c r="FS17" i="3"/>
  <c r="FT17" i="3"/>
  <c r="FU17" i="3"/>
  <c r="FV17" i="3"/>
  <c r="FW17" i="3"/>
  <c r="FX17" i="3"/>
  <c r="FY17" i="3"/>
  <c r="FZ17" i="3"/>
  <c r="GA17" i="3"/>
  <c r="GB17" i="3"/>
  <c r="GC17" i="3"/>
  <c r="GD17" i="3"/>
  <c r="GE17" i="3"/>
  <c r="GF17" i="3"/>
  <c r="GG17" i="3"/>
  <c r="GH17" i="3"/>
  <c r="GI17" i="3"/>
  <c r="GJ17" i="3"/>
  <c r="GK17" i="3"/>
  <c r="GL17" i="3"/>
  <c r="GM17" i="3"/>
  <c r="GN17" i="3"/>
  <c r="GO17" i="3"/>
  <c r="GP17" i="3"/>
  <c r="GQ17" i="3"/>
  <c r="GR17" i="3"/>
  <c r="GS17" i="3"/>
  <c r="GT17" i="3"/>
  <c r="GU17" i="3"/>
  <c r="GV17" i="3"/>
  <c r="GW17" i="3"/>
  <c r="GX17" i="3"/>
  <c r="GY17" i="3"/>
  <c r="GZ17" i="3"/>
  <c r="HA17" i="3"/>
  <c r="HB17" i="3"/>
  <c r="HC17" i="3"/>
  <c r="HD17" i="3"/>
  <c r="HE17" i="3"/>
  <c r="HF17" i="3"/>
  <c r="HG17" i="3"/>
  <c r="HH17" i="3"/>
  <c r="HI17" i="3"/>
  <c r="HJ17" i="3"/>
  <c r="HK17" i="3"/>
  <c r="HL17" i="3"/>
  <c r="HM17" i="3"/>
  <c r="HN17" i="3"/>
  <c r="HO17" i="3"/>
  <c r="HP17" i="3"/>
  <c r="HQ17" i="3"/>
  <c r="HR17" i="3"/>
  <c r="HS17" i="3"/>
  <c r="HT17" i="3"/>
  <c r="HU17" i="3"/>
  <c r="HV17" i="3"/>
  <c r="HW17" i="3"/>
  <c r="HX17" i="3"/>
  <c r="HY17" i="3"/>
  <c r="HZ17" i="3"/>
  <c r="IA17" i="3"/>
  <c r="IB17" i="3"/>
  <c r="IC17" i="3"/>
  <c r="ID17" i="3"/>
  <c r="IE17" i="3"/>
  <c r="IF17" i="3"/>
  <c r="IG17" i="3"/>
  <c r="IH17" i="3"/>
  <c r="II17" i="3"/>
  <c r="IJ17" i="3"/>
  <c r="IK17" i="3"/>
  <c r="IL17" i="3"/>
  <c r="IM17" i="3"/>
  <c r="IN17" i="3"/>
  <c r="IO17" i="3"/>
  <c r="IP17" i="3"/>
  <c r="IQ17" i="3"/>
  <c r="IR17" i="3"/>
  <c r="IS17" i="3"/>
  <c r="IT17" i="3"/>
  <c r="IU17" i="3"/>
  <c r="IV17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DC16" i="3"/>
  <c r="DD16" i="3"/>
  <c r="DE16" i="3"/>
  <c r="DF16" i="3"/>
  <c r="DG16" i="3"/>
  <c r="DH16" i="3"/>
  <c r="DI16" i="3"/>
  <c r="DJ16" i="3"/>
  <c r="DK16" i="3"/>
  <c r="DL16" i="3"/>
  <c r="DM16" i="3"/>
  <c r="DN16" i="3"/>
  <c r="DO16" i="3"/>
  <c r="DP16" i="3"/>
  <c r="DQ16" i="3"/>
  <c r="DR16" i="3"/>
  <c r="DS16" i="3"/>
  <c r="DT16" i="3"/>
  <c r="DU16" i="3"/>
  <c r="DV16" i="3"/>
  <c r="DW16" i="3"/>
  <c r="DX16" i="3"/>
  <c r="DY16" i="3"/>
  <c r="DZ16" i="3"/>
  <c r="EA16" i="3"/>
  <c r="EB16" i="3"/>
  <c r="EC16" i="3"/>
  <c r="ED16" i="3"/>
  <c r="EE16" i="3"/>
  <c r="EF16" i="3"/>
  <c r="EG16" i="3"/>
  <c r="EH16" i="3"/>
  <c r="EI16" i="3"/>
  <c r="EJ16" i="3"/>
  <c r="EK16" i="3"/>
  <c r="EL16" i="3"/>
  <c r="EM16" i="3"/>
  <c r="EN16" i="3"/>
  <c r="EO16" i="3"/>
  <c r="EP16" i="3"/>
  <c r="EQ16" i="3"/>
  <c r="ER16" i="3"/>
  <c r="ES16" i="3"/>
  <c r="ET16" i="3"/>
  <c r="EU16" i="3"/>
  <c r="EV16" i="3"/>
  <c r="EW16" i="3"/>
  <c r="EX16" i="3"/>
  <c r="EY16" i="3"/>
  <c r="EZ16" i="3"/>
  <c r="FA16" i="3"/>
  <c r="FB16" i="3"/>
  <c r="FC16" i="3"/>
  <c r="FD16" i="3"/>
  <c r="FE16" i="3"/>
  <c r="FF16" i="3"/>
  <c r="FG16" i="3"/>
  <c r="FH16" i="3"/>
  <c r="FI16" i="3"/>
  <c r="FJ16" i="3"/>
  <c r="FK16" i="3"/>
  <c r="FL16" i="3"/>
  <c r="FM16" i="3"/>
  <c r="FN16" i="3"/>
  <c r="FO16" i="3"/>
  <c r="FP16" i="3"/>
  <c r="FQ16" i="3"/>
  <c r="FR16" i="3"/>
  <c r="FS16" i="3"/>
  <c r="FT16" i="3"/>
  <c r="FU16" i="3"/>
  <c r="FV16" i="3"/>
  <c r="FW16" i="3"/>
  <c r="FX16" i="3"/>
  <c r="FY16" i="3"/>
  <c r="FZ16" i="3"/>
  <c r="GA16" i="3"/>
  <c r="GB16" i="3"/>
  <c r="GC16" i="3"/>
  <c r="GD16" i="3"/>
  <c r="GE16" i="3"/>
  <c r="GF16" i="3"/>
  <c r="GG16" i="3"/>
  <c r="GH16" i="3"/>
  <c r="GI16" i="3"/>
  <c r="GJ16" i="3"/>
  <c r="GK16" i="3"/>
  <c r="GL16" i="3"/>
  <c r="GM16" i="3"/>
  <c r="GN16" i="3"/>
  <c r="GO16" i="3"/>
  <c r="GP16" i="3"/>
  <c r="GQ16" i="3"/>
  <c r="GR16" i="3"/>
  <c r="GS16" i="3"/>
  <c r="GT16" i="3"/>
  <c r="GU16" i="3"/>
  <c r="GV16" i="3"/>
  <c r="GW16" i="3"/>
  <c r="GX16" i="3"/>
  <c r="GY16" i="3"/>
  <c r="GZ16" i="3"/>
  <c r="HA16" i="3"/>
  <c r="HB16" i="3"/>
  <c r="HC16" i="3"/>
  <c r="HD16" i="3"/>
  <c r="HE16" i="3"/>
  <c r="HF16" i="3"/>
  <c r="HG16" i="3"/>
  <c r="HH16" i="3"/>
  <c r="HI16" i="3"/>
  <c r="HJ16" i="3"/>
  <c r="HK16" i="3"/>
  <c r="HL16" i="3"/>
  <c r="HM16" i="3"/>
  <c r="HN16" i="3"/>
  <c r="HO16" i="3"/>
  <c r="HP16" i="3"/>
  <c r="HQ16" i="3"/>
  <c r="HR16" i="3"/>
  <c r="HS16" i="3"/>
  <c r="HT16" i="3"/>
  <c r="HU16" i="3"/>
  <c r="HV16" i="3"/>
  <c r="HW16" i="3"/>
  <c r="HX16" i="3"/>
  <c r="HY16" i="3"/>
  <c r="HZ16" i="3"/>
  <c r="IA16" i="3"/>
  <c r="IB16" i="3"/>
  <c r="IC16" i="3"/>
  <c r="ID16" i="3"/>
  <c r="IE16" i="3"/>
  <c r="IF16" i="3"/>
  <c r="IG16" i="3"/>
  <c r="IH16" i="3"/>
  <c r="II16" i="3"/>
  <c r="IJ16" i="3"/>
  <c r="IK16" i="3"/>
  <c r="IL16" i="3"/>
  <c r="IM16" i="3"/>
  <c r="IN16" i="3"/>
  <c r="IO16" i="3"/>
  <c r="IP16" i="3"/>
  <c r="IQ16" i="3"/>
  <c r="IR16" i="3"/>
  <c r="IS16" i="3"/>
  <c r="IT16" i="3"/>
  <c r="IU16" i="3"/>
  <c r="IV16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DC15" i="3"/>
  <c r="DD15" i="3"/>
  <c r="DE15" i="3"/>
  <c r="DF15" i="3"/>
  <c r="DG15" i="3"/>
  <c r="DH15" i="3"/>
  <c r="DI15" i="3"/>
  <c r="DJ15" i="3"/>
  <c r="DK15" i="3"/>
  <c r="DL15" i="3"/>
  <c r="DM15" i="3"/>
  <c r="DN15" i="3"/>
  <c r="DO15" i="3"/>
  <c r="DP15" i="3"/>
  <c r="DQ15" i="3"/>
  <c r="DR15" i="3"/>
  <c r="DS15" i="3"/>
  <c r="DT15" i="3"/>
  <c r="DU15" i="3"/>
  <c r="DV15" i="3"/>
  <c r="DW15" i="3"/>
  <c r="DX15" i="3"/>
  <c r="DY15" i="3"/>
  <c r="DZ15" i="3"/>
  <c r="EA15" i="3"/>
  <c r="EB15" i="3"/>
  <c r="EC15" i="3"/>
  <c r="ED15" i="3"/>
  <c r="EE15" i="3"/>
  <c r="EF15" i="3"/>
  <c r="EG15" i="3"/>
  <c r="EH15" i="3"/>
  <c r="EI15" i="3"/>
  <c r="EJ15" i="3"/>
  <c r="EK15" i="3"/>
  <c r="EL15" i="3"/>
  <c r="EM15" i="3"/>
  <c r="EN15" i="3"/>
  <c r="EO15" i="3"/>
  <c r="EP15" i="3"/>
  <c r="EQ15" i="3"/>
  <c r="ER15" i="3"/>
  <c r="ES15" i="3"/>
  <c r="ET15" i="3"/>
  <c r="EU15" i="3"/>
  <c r="EV15" i="3"/>
  <c r="EW15" i="3"/>
  <c r="EX15" i="3"/>
  <c r="EY15" i="3"/>
  <c r="EZ15" i="3"/>
  <c r="FA15" i="3"/>
  <c r="FB15" i="3"/>
  <c r="FC15" i="3"/>
  <c r="FD15" i="3"/>
  <c r="FE15" i="3"/>
  <c r="FF15" i="3"/>
  <c r="FG15" i="3"/>
  <c r="FH15" i="3"/>
  <c r="FI15" i="3"/>
  <c r="FJ15" i="3"/>
  <c r="FK15" i="3"/>
  <c r="FL15" i="3"/>
  <c r="FM15" i="3"/>
  <c r="FN15" i="3"/>
  <c r="FO15" i="3"/>
  <c r="FP15" i="3"/>
  <c r="FQ15" i="3"/>
  <c r="FR15" i="3"/>
  <c r="FS15" i="3"/>
  <c r="FT15" i="3"/>
  <c r="FU15" i="3"/>
  <c r="FV15" i="3"/>
  <c r="FW15" i="3"/>
  <c r="FX15" i="3"/>
  <c r="FY15" i="3"/>
  <c r="FZ15" i="3"/>
  <c r="GA15" i="3"/>
  <c r="GB15" i="3"/>
  <c r="GC15" i="3"/>
  <c r="GD15" i="3"/>
  <c r="GE15" i="3"/>
  <c r="GF15" i="3"/>
  <c r="GG15" i="3"/>
  <c r="GH15" i="3"/>
  <c r="GI15" i="3"/>
  <c r="GJ15" i="3"/>
  <c r="GK15" i="3"/>
  <c r="GL15" i="3"/>
  <c r="GM15" i="3"/>
  <c r="GN15" i="3"/>
  <c r="GO15" i="3"/>
  <c r="GP15" i="3"/>
  <c r="GQ15" i="3"/>
  <c r="GR15" i="3"/>
  <c r="GS15" i="3"/>
  <c r="GT15" i="3"/>
  <c r="GU15" i="3"/>
  <c r="GV15" i="3"/>
  <c r="GW15" i="3"/>
  <c r="GX15" i="3"/>
  <c r="GY15" i="3"/>
  <c r="GZ15" i="3"/>
  <c r="HA15" i="3"/>
  <c r="HB15" i="3"/>
  <c r="HC15" i="3"/>
  <c r="HD15" i="3"/>
  <c r="HE15" i="3"/>
  <c r="HF15" i="3"/>
  <c r="HG15" i="3"/>
  <c r="HH15" i="3"/>
  <c r="HI15" i="3"/>
  <c r="HJ15" i="3"/>
  <c r="HK15" i="3"/>
  <c r="HL15" i="3"/>
  <c r="HM15" i="3"/>
  <c r="HN15" i="3"/>
  <c r="HO15" i="3"/>
  <c r="HP15" i="3"/>
  <c r="HQ15" i="3"/>
  <c r="HR15" i="3"/>
  <c r="HS15" i="3"/>
  <c r="HT15" i="3"/>
  <c r="HU15" i="3"/>
  <c r="HV15" i="3"/>
  <c r="HW15" i="3"/>
  <c r="HX15" i="3"/>
  <c r="HY15" i="3"/>
  <c r="HZ15" i="3"/>
  <c r="IA15" i="3"/>
  <c r="IB15" i="3"/>
  <c r="IC15" i="3"/>
  <c r="ID15" i="3"/>
  <c r="IE15" i="3"/>
  <c r="IF15" i="3"/>
  <c r="IG15" i="3"/>
  <c r="IH15" i="3"/>
  <c r="II15" i="3"/>
  <c r="IJ15" i="3"/>
  <c r="IK15" i="3"/>
  <c r="IL15" i="3"/>
  <c r="IM15" i="3"/>
  <c r="IN15" i="3"/>
  <c r="IO15" i="3"/>
  <c r="IP15" i="3"/>
  <c r="IQ15" i="3"/>
  <c r="IR15" i="3"/>
  <c r="IS15" i="3"/>
  <c r="IT15" i="3"/>
  <c r="IU15" i="3"/>
  <c r="IV15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DC14" i="3"/>
  <c r="DD14" i="3"/>
  <c r="DE14" i="3"/>
  <c r="DF14" i="3"/>
  <c r="DG14" i="3"/>
  <c r="DH14" i="3"/>
  <c r="DI14" i="3"/>
  <c r="DJ14" i="3"/>
  <c r="DK14" i="3"/>
  <c r="DL14" i="3"/>
  <c r="DM14" i="3"/>
  <c r="DN14" i="3"/>
  <c r="DO14" i="3"/>
  <c r="DP14" i="3"/>
  <c r="DQ14" i="3"/>
  <c r="DR14" i="3"/>
  <c r="DS14" i="3"/>
  <c r="DT14" i="3"/>
  <c r="DU14" i="3"/>
  <c r="DV14" i="3"/>
  <c r="DW14" i="3"/>
  <c r="DX14" i="3"/>
  <c r="DY14" i="3"/>
  <c r="DZ14" i="3"/>
  <c r="EA14" i="3"/>
  <c r="EB14" i="3"/>
  <c r="EC14" i="3"/>
  <c r="ED14" i="3"/>
  <c r="EE14" i="3"/>
  <c r="EF14" i="3"/>
  <c r="EG14" i="3"/>
  <c r="EH14" i="3"/>
  <c r="EI14" i="3"/>
  <c r="EJ14" i="3"/>
  <c r="EK14" i="3"/>
  <c r="EL14" i="3"/>
  <c r="EM14" i="3"/>
  <c r="EN14" i="3"/>
  <c r="EO14" i="3"/>
  <c r="EP14" i="3"/>
  <c r="EQ14" i="3"/>
  <c r="ER14" i="3"/>
  <c r="ES14" i="3"/>
  <c r="ET14" i="3"/>
  <c r="EU14" i="3"/>
  <c r="EV14" i="3"/>
  <c r="EW14" i="3"/>
  <c r="EX14" i="3"/>
  <c r="EY14" i="3"/>
  <c r="EZ14" i="3"/>
  <c r="FA14" i="3"/>
  <c r="FB14" i="3"/>
  <c r="FC14" i="3"/>
  <c r="FD14" i="3"/>
  <c r="FE14" i="3"/>
  <c r="FF14" i="3"/>
  <c r="FG14" i="3"/>
  <c r="FH14" i="3"/>
  <c r="FI14" i="3"/>
  <c r="FJ14" i="3"/>
  <c r="FK14" i="3"/>
  <c r="FL14" i="3"/>
  <c r="FM14" i="3"/>
  <c r="FN14" i="3"/>
  <c r="FO14" i="3"/>
  <c r="FP14" i="3"/>
  <c r="FQ14" i="3"/>
  <c r="FR14" i="3"/>
  <c r="FS14" i="3"/>
  <c r="FT14" i="3"/>
  <c r="FU14" i="3"/>
  <c r="FV14" i="3"/>
  <c r="FW14" i="3"/>
  <c r="FX14" i="3"/>
  <c r="FY14" i="3"/>
  <c r="FZ14" i="3"/>
  <c r="GA14" i="3"/>
  <c r="GB14" i="3"/>
  <c r="GC14" i="3"/>
  <c r="GD14" i="3"/>
  <c r="GE14" i="3"/>
  <c r="GF14" i="3"/>
  <c r="GG14" i="3"/>
  <c r="GH14" i="3"/>
  <c r="GI14" i="3"/>
  <c r="GJ14" i="3"/>
  <c r="GK14" i="3"/>
  <c r="GL14" i="3"/>
  <c r="GM14" i="3"/>
  <c r="GN14" i="3"/>
  <c r="GO14" i="3"/>
  <c r="GP14" i="3"/>
  <c r="GQ14" i="3"/>
  <c r="GR14" i="3"/>
  <c r="GS14" i="3"/>
  <c r="GT14" i="3"/>
  <c r="GU14" i="3"/>
  <c r="GV14" i="3"/>
  <c r="GW14" i="3"/>
  <c r="GX14" i="3"/>
  <c r="GY14" i="3"/>
  <c r="GZ14" i="3"/>
  <c r="HA14" i="3"/>
  <c r="HB14" i="3"/>
  <c r="HC14" i="3"/>
  <c r="HD14" i="3"/>
  <c r="HE14" i="3"/>
  <c r="HF14" i="3"/>
  <c r="HG14" i="3"/>
  <c r="HH14" i="3"/>
  <c r="HI14" i="3"/>
  <c r="HJ14" i="3"/>
  <c r="HK14" i="3"/>
  <c r="HL14" i="3"/>
  <c r="HM14" i="3"/>
  <c r="HN14" i="3"/>
  <c r="HO14" i="3"/>
  <c r="HP14" i="3"/>
  <c r="HQ14" i="3"/>
  <c r="HR14" i="3"/>
  <c r="HS14" i="3"/>
  <c r="HT14" i="3"/>
  <c r="HU14" i="3"/>
  <c r="HV14" i="3"/>
  <c r="HW14" i="3"/>
  <c r="HX14" i="3"/>
  <c r="HY14" i="3"/>
  <c r="HZ14" i="3"/>
  <c r="IA14" i="3"/>
  <c r="IB14" i="3"/>
  <c r="IC14" i="3"/>
  <c r="ID14" i="3"/>
  <c r="IE14" i="3"/>
  <c r="IF14" i="3"/>
  <c r="IG14" i="3"/>
  <c r="IH14" i="3"/>
  <c r="II14" i="3"/>
  <c r="IJ14" i="3"/>
  <c r="IK14" i="3"/>
  <c r="IL14" i="3"/>
  <c r="IM14" i="3"/>
  <c r="IN14" i="3"/>
  <c r="IO14" i="3"/>
  <c r="IP14" i="3"/>
  <c r="IQ14" i="3"/>
  <c r="IR14" i="3"/>
  <c r="IS14" i="3"/>
  <c r="IT14" i="3"/>
  <c r="IU14" i="3"/>
  <c r="IV14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DC13" i="3"/>
  <c r="DD13" i="3"/>
  <c r="DE13" i="3"/>
  <c r="DF13" i="3"/>
  <c r="DG13" i="3"/>
  <c r="DH13" i="3"/>
  <c r="DI13" i="3"/>
  <c r="DJ13" i="3"/>
  <c r="DK13" i="3"/>
  <c r="DL13" i="3"/>
  <c r="DM13" i="3"/>
  <c r="DN13" i="3"/>
  <c r="DO13" i="3"/>
  <c r="DP13" i="3"/>
  <c r="DQ13" i="3"/>
  <c r="DR13" i="3"/>
  <c r="DS13" i="3"/>
  <c r="DT13" i="3"/>
  <c r="DU13" i="3"/>
  <c r="DV13" i="3"/>
  <c r="DW13" i="3"/>
  <c r="DX13" i="3"/>
  <c r="DY13" i="3"/>
  <c r="DZ13" i="3"/>
  <c r="EA13" i="3"/>
  <c r="EB13" i="3"/>
  <c r="EC13" i="3"/>
  <c r="ED13" i="3"/>
  <c r="EE13" i="3"/>
  <c r="EF13" i="3"/>
  <c r="EG13" i="3"/>
  <c r="EH13" i="3"/>
  <c r="EI13" i="3"/>
  <c r="EJ13" i="3"/>
  <c r="EK13" i="3"/>
  <c r="EL13" i="3"/>
  <c r="EM13" i="3"/>
  <c r="EN13" i="3"/>
  <c r="EO13" i="3"/>
  <c r="EP13" i="3"/>
  <c r="EQ13" i="3"/>
  <c r="ER13" i="3"/>
  <c r="ES13" i="3"/>
  <c r="ET13" i="3"/>
  <c r="EU13" i="3"/>
  <c r="EV13" i="3"/>
  <c r="EW13" i="3"/>
  <c r="EX13" i="3"/>
  <c r="EY13" i="3"/>
  <c r="EZ13" i="3"/>
  <c r="FA13" i="3"/>
  <c r="FB13" i="3"/>
  <c r="FC13" i="3"/>
  <c r="FD13" i="3"/>
  <c r="FE13" i="3"/>
  <c r="FF13" i="3"/>
  <c r="FG13" i="3"/>
  <c r="FH13" i="3"/>
  <c r="FI13" i="3"/>
  <c r="FJ13" i="3"/>
  <c r="FK13" i="3"/>
  <c r="FL13" i="3"/>
  <c r="FM13" i="3"/>
  <c r="FN13" i="3"/>
  <c r="FO13" i="3"/>
  <c r="FP13" i="3"/>
  <c r="FQ13" i="3"/>
  <c r="FR13" i="3"/>
  <c r="FS13" i="3"/>
  <c r="FT13" i="3"/>
  <c r="FU13" i="3"/>
  <c r="FV13" i="3"/>
  <c r="FW13" i="3"/>
  <c r="FX13" i="3"/>
  <c r="FY13" i="3"/>
  <c r="FZ13" i="3"/>
  <c r="GA13" i="3"/>
  <c r="GB13" i="3"/>
  <c r="GC13" i="3"/>
  <c r="GD13" i="3"/>
  <c r="GE13" i="3"/>
  <c r="GF13" i="3"/>
  <c r="GG13" i="3"/>
  <c r="GH13" i="3"/>
  <c r="GI13" i="3"/>
  <c r="GJ13" i="3"/>
  <c r="GK13" i="3"/>
  <c r="GL13" i="3"/>
  <c r="GM13" i="3"/>
  <c r="GN13" i="3"/>
  <c r="GO13" i="3"/>
  <c r="GP13" i="3"/>
  <c r="GQ13" i="3"/>
  <c r="GR13" i="3"/>
  <c r="GS13" i="3"/>
  <c r="GT13" i="3"/>
  <c r="GU13" i="3"/>
  <c r="GV13" i="3"/>
  <c r="GW13" i="3"/>
  <c r="GX13" i="3"/>
  <c r="GY13" i="3"/>
  <c r="GZ13" i="3"/>
  <c r="HA13" i="3"/>
  <c r="HB13" i="3"/>
  <c r="HC13" i="3"/>
  <c r="HD13" i="3"/>
  <c r="HE13" i="3"/>
  <c r="HF13" i="3"/>
  <c r="HG13" i="3"/>
  <c r="HH13" i="3"/>
  <c r="HI13" i="3"/>
  <c r="HJ13" i="3"/>
  <c r="HK13" i="3"/>
  <c r="HL13" i="3"/>
  <c r="HM13" i="3"/>
  <c r="HN13" i="3"/>
  <c r="HO13" i="3"/>
  <c r="HP13" i="3"/>
  <c r="HQ13" i="3"/>
  <c r="HR13" i="3"/>
  <c r="HS13" i="3"/>
  <c r="HT13" i="3"/>
  <c r="HU13" i="3"/>
  <c r="HV13" i="3"/>
  <c r="HW13" i="3"/>
  <c r="HX13" i="3"/>
  <c r="HY13" i="3"/>
  <c r="HZ13" i="3"/>
  <c r="IA13" i="3"/>
  <c r="IB13" i="3"/>
  <c r="IC13" i="3"/>
  <c r="ID13" i="3"/>
  <c r="IE13" i="3"/>
  <c r="IF13" i="3"/>
  <c r="IG13" i="3"/>
  <c r="IH13" i="3"/>
  <c r="II13" i="3"/>
  <c r="IJ13" i="3"/>
  <c r="IK13" i="3"/>
  <c r="IL13" i="3"/>
  <c r="IM13" i="3"/>
  <c r="IN13" i="3"/>
  <c r="IO13" i="3"/>
  <c r="IP13" i="3"/>
  <c r="IQ13" i="3"/>
  <c r="IR13" i="3"/>
  <c r="IS13" i="3"/>
  <c r="IT13" i="3"/>
  <c r="IU13" i="3"/>
  <c r="IV13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DC12" i="3"/>
  <c r="DD12" i="3"/>
  <c r="DE12" i="3"/>
  <c r="DF12" i="3"/>
  <c r="DG12" i="3"/>
  <c r="DH12" i="3"/>
  <c r="DI12" i="3"/>
  <c r="DJ12" i="3"/>
  <c r="DK12" i="3"/>
  <c r="DL12" i="3"/>
  <c r="DM12" i="3"/>
  <c r="DN12" i="3"/>
  <c r="DO12" i="3"/>
  <c r="DP12" i="3"/>
  <c r="DQ12" i="3"/>
  <c r="DR12" i="3"/>
  <c r="DS12" i="3"/>
  <c r="DT12" i="3"/>
  <c r="DU12" i="3"/>
  <c r="DV12" i="3"/>
  <c r="DW12" i="3"/>
  <c r="DX12" i="3"/>
  <c r="DY12" i="3"/>
  <c r="DZ12" i="3"/>
  <c r="EA12" i="3"/>
  <c r="EB12" i="3"/>
  <c r="EC12" i="3"/>
  <c r="ED12" i="3"/>
  <c r="EE12" i="3"/>
  <c r="EF12" i="3"/>
  <c r="EG12" i="3"/>
  <c r="EH12" i="3"/>
  <c r="EI12" i="3"/>
  <c r="EJ12" i="3"/>
  <c r="EK12" i="3"/>
  <c r="EL12" i="3"/>
  <c r="EM12" i="3"/>
  <c r="EN12" i="3"/>
  <c r="EO12" i="3"/>
  <c r="EP12" i="3"/>
  <c r="EQ12" i="3"/>
  <c r="ER12" i="3"/>
  <c r="ES12" i="3"/>
  <c r="ET12" i="3"/>
  <c r="EU12" i="3"/>
  <c r="EV12" i="3"/>
  <c r="EW12" i="3"/>
  <c r="EX12" i="3"/>
  <c r="EY12" i="3"/>
  <c r="EZ12" i="3"/>
  <c r="FA12" i="3"/>
  <c r="FB12" i="3"/>
  <c r="FC12" i="3"/>
  <c r="FD12" i="3"/>
  <c r="FE12" i="3"/>
  <c r="FF12" i="3"/>
  <c r="FG12" i="3"/>
  <c r="FH12" i="3"/>
  <c r="FI12" i="3"/>
  <c r="FJ12" i="3"/>
  <c r="FK12" i="3"/>
  <c r="FL12" i="3"/>
  <c r="FM12" i="3"/>
  <c r="FN12" i="3"/>
  <c r="FO12" i="3"/>
  <c r="FP12" i="3"/>
  <c r="FQ12" i="3"/>
  <c r="FR12" i="3"/>
  <c r="FS12" i="3"/>
  <c r="FT12" i="3"/>
  <c r="FU12" i="3"/>
  <c r="FV12" i="3"/>
  <c r="FW12" i="3"/>
  <c r="FX12" i="3"/>
  <c r="FY12" i="3"/>
  <c r="FZ12" i="3"/>
  <c r="GA12" i="3"/>
  <c r="GB12" i="3"/>
  <c r="GC12" i="3"/>
  <c r="GD12" i="3"/>
  <c r="GE12" i="3"/>
  <c r="GF12" i="3"/>
  <c r="GG12" i="3"/>
  <c r="GH12" i="3"/>
  <c r="GI12" i="3"/>
  <c r="GJ12" i="3"/>
  <c r="GK12" i="3"/>
  <c r="GL12" i="3"/>
  <c r="GM12" i="3"/>
  <c r="GN12" i="3"/>
  <c r="GO12" i="3"/>
  <c r="GP12" i="3"/>
  <c r="GQ12" i="3"/>
  <c r="GR12" i="3"/>
  <c r="GS12" i="3"/>
  <c r="GT12" i="3"/>
  <c r="GU12" i="3"/>
  <c r="GV12" i="3"/>
  <c r="GW12" i="3"/>
  <c r="GX12" i="3"/>
  <c r="GY12" i="3"/>
  <c r="GZ12" i="3"/>
  <c r="HA12" i="3"/>
  <c r="HB12" i="3"/>
  <c r="HC12" i="3"/>
  <c r="HD12" i="3"/>
  <c r="HE12" i="3"/>
  <c r="HF12" i="3"/>
  <c r="HG12" i="3"/>
  <c r="HH12" i="3"/>
  <c r="HI12" i="3"/>
  <c r="HJ12" i="3"/>
  <c r="HK12" i="3"/>
  <c r="HL12" i="3"/>
  <c r="HM12" i="3"/>
  <c r="HN12" i="3"/>
  <c r="HO12" i="3"/>
  <c r="HP12" i="3"/>
  <c r="HQ12" i="3"/>
  <c r="HR12" i="3"/>
  <c r="HS12" i="3"/>
  <c r="HT12" i="3"/>
  <c r="HU12" i="3"/>
  <c r="HV12" i="3"/>
  <c r="HW12" i="3"/>
  <c r="HX12" i="3"/>
  <c r="HY12" i="3"/>
  <c r="HZ12" i="3"/>
  <c r="IA12" i="3"/>
  <c r="IB12" i="3"/>
  <c r="IC12" i="3"/>
  <c r="ID12" i="3"/>
  <c r="IE12" i="3"/>
  <c r="IF12" i="3"/>
  <c r="IG12" i="3"/>
  <c r="IH12" i="3"/>
  <c r="II12" i="3"/>
  <c r="IJ12" i="3"/>
  <c r="IK12" i="3"/>
  <c r="IL12" i="3"/>
  <c r="IM12" i="3"/>
  <c r="IN12" i="3"/>
  <c r="IO12" i="3"/>
  <c r="IP12" i="3"/>
  <c r="IQ12" i="3"/>
  <c r="IR12" i="3"/>
  <c r="IS12" i="3"/>
  <c r="IT12" i="3"/>
  <c r="IU12" i="3"/>
  <c r="IV12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DC11" i="3"/>
  <c r="DD11" i="3"/>
  <c r="DE11" i="3"/>
  <c r="DF11" i="3"/>
  <c r="DG11" i="3"/>
  <c r="DH11" i="3"/>
  <c r="DI11" i="3"/>
  <c r="DJ11" i="3"/>
  <c r="DK11" i="3"/>
  <c r="DL11" i="3"/>
  <c r="DM11" i="3"/>
  <c r="DN11" i="3"/>
  <c r="DO11" i="3"/>
  <c r="DP11" i="3"/>
  <c r="DQ11" i="3"/>
  <c r="DR11" i="3"/>
  <c r="DS11" i="3"/>
  <c r="DT11" i="3"/>
  <c r="DU11" i="3"/>
  <c r="DV11" i="3"/>
  <c r="DW11" i="3"/>
  <c r="DX11" i="3"/>
  <c r="DY11" i="3"/>
  <c r="DZ11" i="3"/>
  <c r="EA11" i="3"/>
  <c r="EB11" i="3"/>
  <c r="EC11" i="3"/>
  <c r="ED11" i="3"/>
  <c r="EE11" i="3"/>
  <c r="EF11" i="3"/>
  <c r="EG11" i="3"/>
  <c r="EH11" i="3"/>
  <c r="EI11" i="3"/>
  <c r="EJ11" i="3"/>
  <c r="EK11" i="3"/>
  <c r="EL11" i="3"/>
  <c r="EM11" i="3"/>
  <c r="EN11" i="3"/>
  <c r="EO11" i="3"/>
  <c r="EP11" i="3"/>
  <c r="EQ11" i="3"/>
  <c r="ER11" i="3"/>
  <c r="ES11" i="3"/>
  <c r="ET11" i="3"/>
  <c r="EU11" i="3"/>
  <c r="EV11" i="3"/>
  <c r="EW11" i="3"/>
  <c r="EX11" i="3"/>
  <c r="EY11" i="3"/>
  <c r="EZ11" i="3"/>
  <c r="FA11" i="3"/>
  <c r="FB11" i="3"/>
  <c r="FC11" i="3"/>
  <c r="FD11" i="3"/>
  <c r="FE11" i="3"/>
  <c r="FF11" i="3"/>
  <c r="FG11" i="3"/>
  <c r="FH11" i="3"/>
  <c r="FI11" i="3"/>
  <c r="FJ11" i="3"/>
  <c r="FK11" i="3"/>
  <c r="FL11" i="3"/>
  <c r="FM11" i="3"/>
  <c r="FN11" i="3"/>
  <c r="FO11" i="3"/>
  <c r="FP11" i="3"/>
  <c r="FQ11" i="3"/>
  <c r="FR11" i="3"/>
  <c r="FS11" i="3"/>
  <c r="FT11" i="3"/>
  <c r="FU11" i="3"/>
  <c r="FV11" i="3"/>
  <c r="FW11" i="3"/>
  <c r="FX11" i="3"/>
  <c r="FY11" i="3"/>
  <c r="FZ11" i="3"/>
  <c r="GA11" i="3"/>
  <c r="GB11" i="3"/>
  <c r="GC11" i="3"/>
  <c r="GD11" i="3"/>
  <c r="GE11" i="3"/>
  <c r="GF11" i="3"/>
  <c r="GG11" i="3"/>
  <c r="GH11" i="3"/>
  <c r="GI11" i="3"/>
  <c r="GJ11" i="3"/>
  <c r="GK11" i="3"/>
  <c r="GL11" i="3"/>
  <c r="GM11" i="3"/>
  <c r="GN11" i="3"/>
  <c r="GO11" i="3"/>
  <c r="GP11" i="3"/>
  <c r="GQ11" i="3"/>
  <c r="GR11" i="3"/>
  <c r="GS11" i="3"/>
  <c r="GT11" i="3"/>
  <c r="GU11" i="3"/>
  <c r="GV11" i="3"/>
  <c r="GW11" i="3"/>
  <c r="GX11" i="3"/>
  <c r="GY11" i="3"/>
  <c r="GZ11" i="3"/>
  <c r="HA11" i="3"/>
  <c r="HB11" i="3"/>
  <c r="HC11" i="3"/>
  <c r="HD11" i="3"/>
  <c r="HE11" i="3"/>
  <c r="HF11" i="3"/>
  <c r="HG11" i="3"/>
  <c r="HH11" i="3"/>
  <c r="HI11" i="3"/>
  <c r="HJ11" i="3"/>
  <c r="HK11" i="3"/>
  <c r="HL11" i="3"/>
  <c r="HM11" i="3"/>
  <c r="HN11" i="3"/>
  <c r="HO11" i="3"/>
  <c r="HP11" i="3"/>
  <c r="HQ11" i="3"/>
  <c r="HR11" i="3"/>
  <c r="HS11" i="3"/>
  <c r="HT11" i="3"/>
  <c r="HU11" i="3"/>
  <c r="HV11" i="3"/>
  <c r="HW11" i="3"/>
  <c r="HX11" i="3"/>
  <c r="HY11" i="3"/>
  <c r="HZ11" i="3"/>
  <c r="IA11" i="3"/>
  <c r="IB11" i="3"/>
  <c r="IC11" i="3"/>
  <c r="ID11" i="3"/>
  <c r="IE11" i="3"/>
  <c r="IF11" i="3"/>
  <c r="IG11" i="3"/>
  <c r="IH11" i="3"/>
  <c r="II11" i="3"/>
  <c r="IJ11" i="3"/>
  <c r="IK11" i="3"/>
  <c r="IL11" i="3"/>
  <c r="IM11" i="3"/>
  <c r="IN11" i="3"/>
  <c r="IO11" i="3"/>
  <c r="IP11" i="3"/>
  <c r="IQ11" i="3"/>
  <c r="IR11" i="3"/>
  <c r="IS11" i="3"/>
  <c r="IT11" i="3"/>
  <c r="IU11" i="3"/>
  <c r="IV11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DC10" i="3"/>
  <c r="DD10" i="3"/>
  <c r="DE10" i="3"/>
  <c r="DF10" i="3"/>
  <c r="DG10" i="3"/>
  <c r="DH10" i="3"/>
  <c r="DI10" i="3"/>
  <c r="DJ10" i="3"/>
  <c r="DK10" i="3"/>
  <c r="DL10" i="3"/>
  <c r="DM10" i="3"/>
  <c r="DN10" i="3"/>
  <c r="DO10" i="3"/>
  <c r="DP10" i="3"/>
  <c r="DQ10" i="3"/>
  <c r="DR10" i="3"/>
  <c r="DS10" i="3"/>
  <c r="DT10" i="3"/>
  <c r="DU10" i="3"/>
  <c r="DV10" i="3"/>
  <c r="DW10" i="3"/>
  <c r="DX10" i="3"/>
  <c r="DY10" i="3"/>
  <c r="DZ10" i="3"/>
  <c r="EA10" i="3"/>
  <c r="EB10" i="3"/>
  <c r="EC10" i="3"/>
  <c r="ED10" i="3"/>
  <c r="EE10" i="3"/>
  <c r="EF10" i="3"/>
  <c r="EG10" i="3"/>
  <c r="EH10" i="3"/>
  <c r="EI10" i="3"/>
  <c r="EJ10" i="3"/>
  <c r="EK10" i="3"/>
  <c r="EL10" i="3"/>
  <c r="EM10" i="3"/>
  <c r="EN10" i="3"/>
  <c r="EO10" i="3"/>
  <c r="EP10" i="3"/>
  <c r="EQ10" i="3"/>
  <c r="ER10" i="3"/>
  <c r="ES10" i="3"/>
  <c r="ET10" i="3"/>
  <c r="EU10" i="3"/>
  <c r="EV10" i="3"/>
  <c r="EW10" i="3"/>
  <c r="EX10" i="3"/>
  <c r="EY10" i="3"/>
  <c r="EZ10" i="3"/>
  <c r="FA10" i="3"/>
  <c r="FB10" i="3"/>
  <c r="FC10" i="3"/>
  <c r="FD10" i="3"/>
  <c r="FE10" i="3"/>
  <c r="FF10" i="3"/>
  <c r="FG10" i="3"/>
  <c r="FH10" i="3"/>
  <c r="FI10" i="3"/>
  <c r="FJ10" i="3"/>
  <c r="FK10" i="3"/>
  <c r="FL10" i="3"/>
  <c r="FM10" i="3"/>
  <c r="FN10" i="3"/>
  <c r="FO10" i="3"/>
  <c r="FP10" i="3"/>
  <c r="FQ10" i="3"/>
  <c r="FR10" i="3"/>
  <c r="FS10" i="3"/>
  <c r="FT10" i="3"/>
  <c r="FU10" i="3"/>
  <c r="FV10" i="3"/>
  <c r="FW10" i="3"/>
  <c r="FX10" i="3"/>
  <c r="FY10" i="3"/>
  <c r="FZ10" i="3"/>
  <c r="GA10" i="3"/>
  <c r="GB10" i="3"/>
  <c r="GC10" i="3"/>
  <c r="GD10" i="3"/>
  <c r="GE10" i="3"/>
  <c r="GF10" i="3"/>
  <c r="GG10" i="3"/>
  <c r="GH10" i="3"/>
  <c r="GI10" i="3"/>
  <c r="GJ10" i="3"/>
  <c r="GK10" i="3"/>
  <c r="GL10" i="3"/>
  <c r="GM10" i="3"/>
  <c r="GN10" i="3"/>
  <c r="GO10" i="3"/>
  <c r="GP10" i="3"/>
  <c r="GQ10" i="3"/>
  <c r="GR10" i="3"/>
  <c r="GS10" i="3"/>
  <c r="GT10" i="3"/>
  <c r="GU10" i="3"/>
  <c r="GV10" i="3"/>
  <c r="GW10" i="3"/>
  <c r="GX10" i="3"/>
  <c r="GY10" i="3"/>
  <c r="GZ10" i="3"/>
  <c r="HA10" i="3"/>
  <c r="HB10" i="3"/>
  <c r="HC10" i="3"/>
  <c r="HD10" i="3"/>
  <c r="HE10" i="3"/>
  <c r="HF10" i="3"/>
  <c r="HG10" i="3"/>
  <c r="HH10" i="3"/>
  <c r="HI10" i="3"/>
  <c r="HJ10" i="3"/>
  <c r="HK10" i="3"/>
  <c r="HL10" i="3"/>
  <c r="HM10" i="3"/>
  <c r="HN10" i="3"/>
  <c r="HO10" i="3"/>
  <c r="HP10" i="3"/>
  <c r="HQ10" i="3"/>
  <c r="HR10" i="3"/>
  <c r="HS10" i="3"/>
  <c r="HT10" i="3"/>
  <c r="HU10" i="3"/>
  <c r="HV10" i="3"/>
  <c r="HW10" i="3"/>
  <c r="HX10" i="3"/>
  <c r="HY10" i="3"/>
  <c r="HZ10" i="3"/>
  <c r="IA10" i="3"/>
  <c r="IB10" i="3"/>
  <c r="IC10" i="3"/>
  <c r="ID10" i="3"/>
  <c r="IE10" i="3"/>
  <c r="IF10" i="3"/>
  <c r="IG10" i="3"/>
  <c r="IH10" i="3"/>
  <c r="II10" i="3"/>
  <c r="IJ10" i="3"/>
  <c r="IK10" i="3"/>
  <c r="IL10" i="3"/>
  <c r="IM10" i="3"/>
  <c r="IN10" i="3"/>
  <c r="IO10" i="3"/>
  <c r="IP10" i="3"/>
  <c r="IQ10" i="3"/>
  <c r="IR10" i="3"/>
  <c r="IS10" i="3"/>
  <c r="IT10" i="3"/>
  <c r="IU10" i="3"/>
  <c r="IV10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DC9" i="3"/>
  <c r="DD9" i="3"/>
  <c r="DE9" i="3"/>
  <c r="DF9" i="3"/>
  <c r="DG9" i="3"/>
  <c r="DH9" i="3"/>
  <c r="DI9" i="3"/>
  <c r="DJ9" i="3"/>
  <c r="DK9" i="3"/>
  <c r="DL9" i="3"/>
  <c r="DM9" i="3"/>
  <c r="DN9" i="3"/>
  <c r="DO9" i="3"/>
  <c r="DP9" i="3"/>
  <c r="DQ9" i="3"/>
  <c r="DR9" i="3"/>
  <c r="DS9" i="3"/>
  <c r="DT9" i="3"/>
  <c r="DU9" i="3"/>
  <c r="DV9" i="3"/>
  <c r="DW9" i="3"/>
  <c r="DX9" i="3"/>
  <c r="DY9" i="3"/>
  <c r="DZ9" i="3"/>
  <c r="EA9" i="3"/>
  <c r="EB9" i="3"/>
  <c r="EC9" i="3"/>
  <c r="ED9" i="3"/>
  <c r="EE9" i="3"/>
  <c r="EF9" i="3"/>
  <c r="EG9" i="3"/>
  <c r="EH9" i="3"/>
  <c r="EI9" i="3"/>
  <c r="EJ9" i="3"/>
  <c r="EK9" i="3"/>
  <c r="EL9" i="3"/>
  <c r="EM9" i="3"/>
  <c r="EN9" i="3"/>
  <c r="EO9" i="3"/>
  <c r="EP9" i="3"/>
  <c r="EQ9" i="3"/>
  <c r="ER9" i="3"/>
  <c r="ES9" i="3"/>
  <c r="ET9" i="3"/>
  <c r="EU9" i="3"/>
  <c r="EV9" i="3"/>
  <c r="EW9" i="3"/>
  <c r="EX9" i="3"/>
  <c r="EY9" i="3"/>
  <c r="EZ9" i="3"/>
  <c r="FA9" i="3"/>
  <c r="FB9" i="3"/>
  <c r="FC9" i="3"/>
  <c r="FD9" i="3"/>
  <c r="FE9" i="3"/>
  <c r="FF9" i="3"/>
  <c r="FG9" i="3"/>
  <c r="FH9" i="3"/>
  <c r="FI9" i="3"/>
  <c r="FJ9" i="3"/>
  <c r="FK9" i="3"/>
  <c r="FL9" i="3"/>
  <c r="FM9" i="3"/>
  <c r="FN9" i="3"/>
  <c r="FO9" i="3"/>
  <c r="FP9" i="3"/>
  <c r="FQ9" i="3"/>
  <c r="FR9" i="3"/>
  <c r="FS9" i="3"/>
  <c r="FT9" i="3"/>
  <c r="FU9" i="3"/>
  <c r="FV9" i="3"/>
  <c r="FW9" i="3"/>
  <c r="FX9" i="3"/>
  <c r="FY9" i="3"/>
  <c r="FZ9" i="3"/>
  <c r="GA9" i="3"/>
  <c r="GB9" i="3"/>
  <c r="GC9" i="3"/>
  <c r="GD9" i="3"/>
  <c r="GE9" i="3"/>
  <c r="GF9" i="3"/>
  <c r="GG9" i="3"/>
  <c r="GH9" i="3"/>
  <c r="GI9" i="3"/>
  <c r="GJ9" i="3"/>
  <c r="GK9" i="3"/>
  <c r="GL9" i="3"/>
  <c r="GM9" i="3"/>
  <c r="GN9" i="3"/>
  <c r="GO9" i="3"/>
  <c r="GP9" i="3"/>
  <c r="GQ9" i="3"/>
  <c r="GR9" i="3"/>
  <c r="GS9" i="3"/>
  <c r="GT9" i="3"/>
  <c r="GU9" i="3"/>
  <c r="GV9" i="3"/>
  <c r="GW9" i="3"/>
  <c r="GX9" i="3"/>
  <c r="GY9" i="3"/>
  <c r="GZ9" i="3"/>
  <c r="HA9" i="3"/>
  <c r="HB9" i="3"/>
  <c r="HC9" i="3"/>
  <c r="HD9" i="3"/>
  <c r="HE9" i="3"/>
  <c r="HF9" i="3"/>
  <c r="HG9" i="3"/>
  <c r="HH9" i="3"/>
  <c r="HI9" i="3"/>
  <c r="HJ9" i="3"/>
  <c r="HK9" i="3"/>
  <c r="HL9" i="3"/>
  <c r="HM9" i="3"/>
  <c r="HN9" i="3"/>
  <c r="HO9" i="3"/>
  <c r="HP9" i="3"/>
  <c r="HQ9" i="3"/>
  <c r="HR9" i="3"/>
  <c r="HS9" i="3"/>
  <c r="HT9" i="3"/>
  <c r="HU9" i="3"/>
  <c r="HV9" i="3"/>
  <c r="HW9" i="3"/>
  <c r="HX9" i="3"/>
  <c r="HY9" i="3"/>
  <c r="HZ9" i="3"/>
  <c r="IA9" i="3"/>
  <c r="IB9" i="3"/>
  <c r="IC9" i="3"/>
  <c r="ID9" i="3"/>
  <c r="IE9" i="3"/>
  <c r="IF9" i="3"/>
  <c r="IG9" i="3"/>
  <c r="IH9" i="3"/>
  <c r="II9" i="3"/>
  <c r="IJ9" i="3"/>
  <c r="IK9" i="3"/>
  <c r="IL9" i="3"/>
  <c r="IM9" i="3"/>
  <c r="IN9" i="3"/>
  <c r="IO9" i="3"/>
  <c r="IP9" i="3"/>
  <c r="IQ9" i="3"/>
  <c r="IR9" i="3"/>
  <c r="IS9" i="3"/>
  <c r="IT9" i="3"/>
  <c r="IU9" i="3"/>
  <c r="IV9" i="3"/>
  <c r="A8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DC8" i="3"/>
  <c r="DD8" i="3"/>
  <c r="DE8" i="3"/>
  <c r="DF8" i="3"/>
  <c r="DG8" i="3"/>
  <c r="DH8" i="3"/>
  <c r="DI8" i="3"/>
  <c r="DJ8" i="3"/>
  <c r="DK8" i="3"/>
  <c r="DL8" i="3"/>
  <c r="DM8" i="3"/>
  <c r="DN8" i="3"/>
  <c r="DO8" i="3"/>
  <c r="DP8" i="3"/>
  <c r="DQ8" i="3"/>
  <c r="DR8" i="3"/>
  <c r="DS8" i="3"/>
  <c r="DT8" i="3"/>
  <c r="DU8" i="3"/>
  <c r="DV8" i="3"/>
  <c r="DW8" i="3"/>
  <c r="DX8" i="3"/>
  <c r="DY8" i="3"/>
  <c r="DZ8" i="3"/>
  <c r="EA8" i="3"/>
  <c r="EB8" i="3"/>
  <c r="EC8" i="3"/>
  <c r="ED8" i="3"/>
  <c r="EE8" i="3"/>
  <c r="EF8" i="3"/>
  <c r="EG8" i="3"/>
  <c r="EH8" i="3"/>
  <c r="EI8" i="3"/>
  <c r="EJ8" i="3"/>
  <c r="EK8" i="3"/>
  <c r="EL8" i="3"/>
  <c r="EM8" i="3"/>
  <c r="EN8" i="3"/>
  <c r="EO8" i="3"/>
  <c r="EP8" i="3"/>
  <c r="EQ8" i="3"/>
  <c r="ER8" i="3"/>
  <c r="ES8" i="3"/>
  <c r="ET8" i="3"/>
  <c r="EU8" i="3"/>
  <c r="EV8" i="3"/>
  <c r="EW8" i="3"/>
  <c r="EX8" i="3"/>
  <c r="EY8" i="3"/>
  <c r="EZ8" i="3"/>
  <c r="FA8" i="3"/>
  <c r="FB8" i="3"/>
  <c r="FC8" i="3"/>
  <c r="FD8" i="3"/>
  <c r="FE8" i="3"/>
  <c r="FF8" i="3"/>
  <c r="FG8" i="3"/>
  <c r="FH8" i="3"/>
  <c r="FI8" i="3"/>
  <c r="FJ8" i="3"/>
  <c r="FK8" i="3"/>
  <c r="FL8" i="3"/>
  <c r="FM8" i="3"/>
  <c r="FN8" i="3"/>
  <c r="FO8" i="3"/>
  <c r="FP8" i="3"/>
  <c r="FQ8" i="3"/>
  <c r="FR8" i="3"/>
  <c r="FS8" i="3"/>
  <c r="FT8" i="3"/>
  <c r="FU8" i="3"/>
  <c r="FV8" i="3"/>
  <c r="FW8" i="3"/>
  <c r="FX8" i="3"/>
  <c r="FY8" i="3"/>
  <c r="FZ8" i="3"/>
  <c r="GA8" i="3"/>
  <c r="GB8" i="3"/>
  <c r="GC8" i="3"/>
  <c r="GD8" i="3"/>
  <c r="GE8" i="3"/>
  <c r="GF8" i="3"/>
  <c r="GG8" i="3"/>
  <c r="GH8" i="3"/>
  <c r="GI8" i="3"/>
  <c r="GJ8" i="3"/>
  <c r="GK8" i="3"/>
  <c r="GL8" i="3"/>
  <c r="GM8" i="3"/>
  <c r="GN8" i="3"/>
  <c r="GO8" i="3"/>
  <c r="GP8" i="3"/>
  <c r="GQ8" i="3"/>
  <c r="GR8" i="3"/>
  <c r="GS8" i="3"/>
  <c r="GT8" i="3"/>
  <c r="GU8" i="3"/>
  <c r="GV8" i="3"/>
  <c r="GW8" i="3"/>
  <c r="GX8" i="3"/>
  <c r="GY8" i="3"/>
  <c r="GZ8" i="3"/>
  <c r="HA8" i="3"/>
  <c r="HB8" i="3"/>
  <c r="HC8" i="3"/>
  <c r="HD8" i="3"/>
  <c r="HE8" i="3"/>
  <c r="HF8" i="3"/>
  <c r="HG8" i="3"/>
  <c r="HH8" i="3"/>
  <c r="HI8" i="3"/>
  <c r="HJ8" i="3"/>
  <c r="HK8" i="3"/>
  <c r="HL8" i="3"/>
  <c r="HM8" i="3"/>
  <c r="HN8" i="3"/>
  <c r="HO8" i="3"/>
  <c r="HP8" i="3"/>
  <c r="HQ8" i="3"/>
  <c r="HR8" i="3"/>
  <c r="HS8" i="3"/>
  <c r="HT8" i="3"/>
  <c r="HU8" i="3"/>
  <c r="HV8" i="3"/>
  <c r="HW8" i="3"/>
  <c r="HX8" i="3"/>
  <c r="HY8" i="3"/>
  <c r="HZ8" i="3"/>
  <c r="IA8" i="3"/>
  <c r="IB8" i="3"/>
  <c r="IC8" i="3"/>
  <c r="ID8" i="3"/>
  <c r="IE8" i="3"/>
  <c r="IF8" i="3"/>
  <c r="IG8" i="3"/>
  <c r="IH8" i="3"/>
  <c r="II8" i="3"/>
  <c r="IJ8" i="3"/>
  <c r="IK8" i="3"/>
  <c r="IL8" i="3"/>
  <c r="IM8" i="3"/>
  <c r="IN8" i="3"/>
  <c r="IO8" i="3"/>
  <c r="IP8" i="3"/>
  <c r="IQ8" i="3"/>
  <c r="IR8" i="3"/>
  <c r="IS8" i="3"/>
  <c r="IT8" i="3"/>
  <c r="IU8" i="3"/>
  <c r="IV8" i="3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DC7" i="3"/>
  <c r="DD7" i="3"/>
  <c r="DE7" i="3"/>
  <c r="DF7" i="3"/>
  <c r="DG7" i="3"/>
  <c r="DH7" i="3"/>
  <c r="DI7" i="3"/>
  <c r="DJ7" i="3"/>
  <c r="DK7" i="3"/>
  <c r="DL7" i="3"/>
  <c r="DM7" i="3"/>
  <c r="DN7" i="3"/>
  <c r="DO7" i="3"/>
  <c r="DP7" i="3"/>
  <c r="DQ7" i="3"/>
  <c r="DR7" i="3"/>
  <c r="DS7" i="3"/>
  <c r="DT7" i="3"/>
  <c r="DU7" i="3"/>
  <c r="DV7" i="3"/>
  <c r="DW7" i="3"/>
  <c r="DX7" i="3"/>
  <c r="DY7" i="3"/>
  <c r="DZ7" i="3"/>
  <c r="EA7" i="3"/>
  <c r="EB7" i="3"/>
  <c r="EC7" i="3"/>
  <c r="ED7" i="3"/>
  <c r="EE7" i="3"/>
  <c r="EF7" i="3"/>
  <c r="EG7" i="3"/>
  <c r="EH7" i="3"/>
  <c r="EI7" i="3"/>
  <c r="EJ7" i="3"/>
  <c r="EK7" i="3"/>
  <c r="EL7" i="3"/>
  <c r="EM7" i="3"/>
  <c r="EN7" i="3"/>
  <c r="EO7" i="3"/>
  <c r="EP7" i="3"/>
  <c r="EQ7" i="3"/>
  <c r="ER7" i="3"/>
  <c r="ES7" i="3"/>
  <c r="ET7" i="3"/>
  <c r="EU7" i="3"/>
  <c r="EV7" i="3"/>
  <c r="EW7" i="3"/>
  <c r="EX7" i="3"/>
  <c r="EY7" i="3"/>
  <c r="EZ7" i="3"/>
  <c r="FA7" i="3"/>
  <c r="FB7" i="3"/>
  <c r="FC7" i="3"/>
  <c r="FD7" i="3"/>
  <c r="FE7" i="3"/>
  <c r="FF7" i="3"/>
  <c r="FG7" i="3"/>
  <c r="FH7" i="3"/>
  <c r="FI7" i="3"/>
  <c r="FJ7" i="3"/>
  <c r="FK7" i="3"/>
  <c r="FL7" i="3"/>
  <c r="FM7" i="3"/>
  <c r="FN7" i="3"/>
  <c r="FO7" i="3"/>
  <c r="FP7" i="3"/>
  <c r="FQ7" i="3"/>
  <c r="FR7" i="3"/>
  <c r="FS7" i="3"/>
  <c r="FT7" i="3"/>
  <c r="FU7" i="3"/>
  <c r="FV7" i="3"/>
  <c r="FW7" i="3"/>
  <c r="FX7" i="3"/>
  <c r="FY7" i="3"/>
  <c r="FZ7" i="3"/>
  <c r="GA7" i="3"/>
  <c r="GB7" i="3"/>
  <c r="GC7" i="3"/>
  <c r="GD7" i="3"/>
  <c r="GE7" i="3"/>
  <c r="GF7" i="3"/>
  <c r="GG7" i="3"/>
  <c r="GH7" i="3"/>
  <c r="GI7" i="3"/>
  <c r="GJ7" i="3"/>
  <c r="GK7" i="3"/>
  <c r="GL7" i="3"/>
  <c r="GM7" i="3"/>
  <c r="GN7" i="3"/>
  <c r="GO7" i="3"/>
  <c r="GP7" i="3"/>
  <c r="GQ7" i="3"/>
  <c r="GR7" i="3"/>
  <c r="GS7" i="3"/>
  <c r="GT7" i="3"/>
  <c r="GU7" i="3"/>
  <c r="GV7" i="3"/>
  <c r="GW7" i="3"/>
  <c r="GX7" i="3"/>
  <c r="GY7" i="3"/>
  <c r="GZ7" i="3"/>
  <c r="HA7" i="3"/>
  <c r="HB7" i="3"/>
  <c r="HC7" i="3"/>
  <c r="HD7" i="3"/>
  <c r="HE7" i="3"/>
  <c r="HF7" i="3"/>
  <c r="HG7" i="3"/>
  <c r="HH7" i="3"/>
  <c r="HI7" i="3"/>
  <c r="HJ7" i="3"/>
  <c r="HK7" i="3"/>
  <c r="HL7" i="3"/>
  <c r="HM7" i="3"/>
  <c r="HN7" i="3"/>
  <c r="HO7" i="3"/>
  <c r="HP7" i="3"/>
  <c r="HQ7" i="3"/>
  <c r="HR7" i="3"/>
  <c r="HS7" i="3"/>
  <c r="HT7" i="3"/>
  <c r="HU7" i="3"/>
  <c r="HV7" i="3"/>
  <c r="HW7" i="3"/>
  <c r="HX7" i="3"/>
  <c r="HY7" i="3"/>
  <c r="HZ7" i="3"/>
  <c r="IA7" i="3"/>
  <c r="IB7" i="3"/>
  <c r="IC7" i="3"/>
  <c r="ID7" i="3"/>
  <c r="IE7" i="3"/>
  <c r="IF7" i="3"/>
  <c r="IG7" i="3"/>
  <c r="IH7" i="3"/>
  <c r="II7" i="3"/>
  <c r="IJ7" i="3"/>
  <c r="IK7" i="3"/>
  <c r="IL7" i="3"/>
  <c r="IM7" i="3"/>
  <c r="IN7" i="3"/>
  <c r="IO7" i="3"/>
  <c r="IP7" i="3"/>
  <c r="IQ7" i="3"/>
  <c r="IR7" i="3"/>
  <c r="IS7" i="3"/>
  <c r="IT7" i="3"/>
  <c r="IU7" i="3"/>
  <c r="IV7" i="3"/>
  <c r="A6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DC6" i="3"/>
  <c r="DD6" i="3"/>
  <c r="DE6" i="3"/>
  <c r="DF6" i="3"/>
  <c r="DG6" i="3"/>
  <c r="DH6" i="3"/>
  <c r="DI6" i="3"/>
  <c r="DJ6" i="3"/>
  <c r="DK6" i="3"/>
  <c r="DL6" i="3"/>
  <c r="DM6" i="3"/>
  <c r="DN6" i="3"/>
  <c r="DO6" i="3"/>
  <c r="DP6" i="3"/>
  <c r="DQ6" i="3"/>
  <c r="DR6" i="3"/>
  <c r="DS6" i="3"/>
  <c r="DT6" i="3"/>
  <c r="DU6" i="3"/>
  <c r="DV6" i="3"/>
  <c r="DW6" i="3"/>
  <c r="DX6" i="3"/>
  <c r="DY6" i="3"/>
  <c r="DZ6" i="3"/>
  <c r="EA6" i="3"/>
  <c r="EB6" i="3"/>
  <c r="EC6" i="3"/>
  <c r="ED6" i="3"/>
  <c r="EE6" i="3"/>
  <c r="EF6" i="3"/>
  <c r="EG6" i="3"/>
  <c r="EH6" i="3"/>
  <c r="EI6" i="3"/>
  <c r="EJ6" i="3"/>
  <c r="EK6" i="3"/>
  <c r="EL6" i="3"/>
  <c r="EM6" i="3"/>
  <c r="EN6" i="3"/>
  <c r="EO6" i="3"/>
  <c r="EP6" i="3"/>
  <c r="EQ6" i="3"/>
  <c r="ER6" i="3"/>
  <c r="ES6" i="3"/>
  <c r="ET6" i="3"/>
  <c r="EU6" i="3"/>
  <c r="EV6" i="3"/>
  <c r="EW6" i="3"/>
  <c r="EX6" i="3"/>
  <c r="EY6" i="3"/>
  <c r="EZ6" i="3"/>
  <c r="FA6" i="3"/>
  <c r="FB6" i="3"/>
  <c r="FC6" i="3"/>
  <c r="FD6" i="3"/>
  <c r="FE6" i="3"/>
  <c r="FF6" i="3"/>
  <c r="FG6" i="3"/>
  <c r="FH6" i="3"/>
  <c r="FI6" i="3"/>
  <c r="FJ6" i="3"/>
  <c r="FK6" i="3"/>
  <c r="FL6" i="3"/>
  <c r="FM6" i="3"/>
  <c r="FN6" i="3"/>
  <c r="FO6" i="3"/>
  <c r="FP6" i="3"/>
  <c r="FQ6" i="3"/>
  <c r="FR6" i="3"/>
  <c r="FS6" i="3"/>
  <c r="FT6" i="3"/>
  <c r="FU6" i="3"/>
  <c r="FV6" i="3"/>
  <c r="FW6" i="3"/>
  <c r="FX6" i="3"/>
  <c r="FY6" i="3"/>
  <c r="FZ6" i="3"/>
  <c r="GA6" i="3"/>
  <c r="GB6" i="3"/>
  <c r="GC6" i="3"/>
  <c r="GD6" i="3"/>
  <c r="GE6" i="3"/>
  <c r="GF6" i="3"/>
  <c r="GG6" i="3"/>
  <c r="GH6" i="3"/>
  <c r="GI6" i="3"/>
  <c r="GJ6" i="3"/>
  <c r="GK6" i="3"/>
  <c r="GL6" i="3"/>
  <c r="GM6" i="3"/>
  <c r="GN6" i="3"/>
  <c r="GO6" i="3"/>
  <c r="GP6" i="3"/>
  <c r="GQ6" i="3"/>
  <c r="GR6" i="3"/>
  <c r="GS6" i="3"/>
  <c r="GT6" i="3"/>
  <c r="GU6" i="3"/>
  <c r="GV6" i="3"/>
  <c r="GW6" i="3"/>
  <c r="GX6" i="3"/>
  <c r="GY6" i="3"/>
  <c r="GZ6" i="3"/>
  <c r="HA6" i="3"/>
  <c r="HB6" i="3"/>
  <c r="HC6" i="3"/>
  <c r="HD6" i="3"/>
  <c r="HE6" i="3"/>
  <c r="HF6" i="3"/>
  <c r="HG6" i="3"/>
  <c r="HH6" i="3"/>
  <c r="HI6" i="3"/>
  <c r="HJ6" i="3"/>
  <c r="HK6" i="3"/>
  <c r="HL6" i="3"/>
  <c r="HM6" i="3"/>
  <c r="HN6" i="3"/>
  <c r="HO6" i="3"/>
  <c r="HP6" i="3"/>
  <c r="HQ6" i="3"/>
  <c r="HR6" i="3"/>
  <c r="HS6" i="3"/>
  <c r="HT6" i="3"/>
  <c r="HU6" i="3"/>
  <c r="HV6" i="3"/>
  <c r="HW6" i="3"/>
  <c r="HX6" i="3"/>
  <c r="HY6" i="3"/>
  <c r="HZ6" i="3"/>
  <c r="IA6" i="3"/>
  <c r="IB6" i="3"/>
  <c r="IC6" i="3"/>
  <c r="ID6" i="3"/>
  <c r="IE6" i="3"/>
  <c r="IF6" i="3"/>
  <c r="IG6" i="3"/>
  <c r="IH6" i="3"/>
  <c r="II6" i="3"/>
  <c r="IJ6" i="3"/>
  <c r="IK6" i="3"/>
  <c r="IL6" i="3"/>
  <c r="IM6" i="3"/>
  <c r="IN6" i="3"/>
  <c r="IO6" i="3"/>
  <c r="IP6" i="3"/>
  <c r="IQ6" i="3"/>
  <c r="IR6" i="3"/>
  <c r="IS6" i="3"/>
  <c r="IT6" i="3"/>
  <c r="IU6" i="3"/>
  <c r="IV6" i="3"/>
  <c r="A5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DC5" i="3"/>
  <c r="DD5" i="3"/>
  <c r="DE5" i="3"/>
  <c r="DF5" i="3"/>
  <c r="DG5" i="3"/>
  <c r="DH5" i="3"/>
  <c r="DI5" i="3"/>
  <c r="DJ5" i="3"/>
  <c r="DK5" i="3"/>
  <c r="DL5" i="3"/>
  <c r="DM5" i="3"/>
  <c r="DN5" i="3"/>
  <c r="DO5" i="3"/>
  <c r="DP5" i="3"/>
  <c r="DQ5" i="3"/>
  <c r="DR5" i="3"/>
  <c r="DS5" i="3"/>
  <c r="DT5" i="3"/>
  <c r="DU5" i="3"/>
  <c r="DV5" i="3"/>
  <c r="DW5" i="3"/>
  <c r="DX5" i="3"/>
  <c r="DY5" i="3"/>
  <c r="DZ5" i="3"/>
  <c r="EA5" i="3"/>
  <c r="EB5" i="3"/>
  <c r="EC5" i="3"/>
  <c r="ED5" i="3"/>
  <c r="EE5" i="3"/>
  <c r="EF5" i="3"/>
  <c r="EG5" i="3"/>
  <c r="EH5" i="3"/>
  <c r="EI5" i="3"/>
  <c r="EJ5" i="3"/>
  <c r="EK5" i="3"/>
  <c r="EL5" i="3"/>
  <c r="EM5" i="3"/>
  <c r="EN5" i="3"/>
  <c r="EO5" i="3"/>
  <c r="EP5" i="3"/>
  <c r="EQ5" i="3"/>
  <c r="ER5" i="3"/>
  <c r="ES5" i="3"/>
  <c r="ET5" i="3"/>
  <c r="EU5" i="3"/>
  <c r="EV5" i="3"/>
  <c r="EW5" i="3"/>
  <c r="EX5" i="3"/>
  <c r="EY5" i="3"/>
  <c r="EZ5" i="3"/>
  <c r="FA5" i="3"/>
  <c r="FB5" i="3"/>
  <c r="FC5" i="3"/>
  <c r="FD5" i="3"/>
  <c r="FE5" i="3"/>
  <c r="FF5" i="3"/>
  <c r="FG5" i="3"/>
  <c r="FH5" i="3"/>
  <c r="FI5" i="3"/>
  <c r="FJ5" i="3"/>
  <c r="FK5" i="3"/>
  <c r="FL5" i="3"/>
  <c r="FM5" i="3"/>
  <c r="FN5" i="3"/>
  <c r="FO5" i="3"/>
  <c r="FP5" i="3"/>
  <c r="FQ5" i="3"/>
  <c r="FR5" i="3"/>
  <c r="FS5" i="3"/>
  <c r="FT5" i="3"/>
  <c r="FU5" i="3"/>
  <c r="FV5" i="3"/>
  <c r="FW5" i="3"/>
  <c r="FX5" i="3"/>
  <c r="FY5" i="3"/>
  <c r="FZ5" i="3"/>
  <c r="GA5" i="3"/>
  <c r="GB5" i="3"/>
  <c r="GC5" i="3"/>
  <c r="GD5" i="3"/>
  <c r="GE5" i="3"/>
  <c r="GF5" i="3"/>
  <c r="GG5" i="3"/>
  <c r="GH5" i="3"/>
  <c r="GI5" i="3"/>
  <c r="GJ5" i="3"/>
  <c r="GK5" i="3"/>
  <c r="GL5" i="3"/>
  <c r="GM5" i="3"/>
  <c r="GN5" i="3"/>
  <c r="GO5" i="3"/>
  <c r="GP5" i="3"/>
  <c r="GQ5" i="3"/>
  <c r="GR5" i="3"/>
  <c r="GS5" i="3"/>
  <c r="GT5" i="3"/>
  <c r="GU5" i="3"/>
  <c r="GV5" i="3"/>
  <c r="GW5" i="3"/>
  <c r="GX5" i="3"/>
  <c r="GY5" i="3"/>
  <c r="GZ5" i="3"/>
  <c r="HA5" i="3"/>
  <c r="HB5" i="3"/>
  <c r="HC5" i="3"/>
  <c r="HD5" i="3"/>
  <c r="HE5" i="3"/>
  <c r="HF5" i="3"/>
  <c r="HG5" i="3"/>
  <c r="HH5" i="3"/>
  <c r="HI5" i="3"/>
  <c r="HJ5" i="3"/>
  <c r="HK5" i="3"/>
  <c r="HL5" i="3"/>
  <c r="HM5" i="3"/>
  <c r="HN5" i="3"/>
  <c r="HO5" i="3"/>
  <c r="HP5" i="3"/>
  <c r="HQ5" i="3"/>
  <c r="HR5" i="3"/>
  <c r="HS5" i="3"/>
  <c r="HT5" i="3"/>
  <c r="HU5" i="3"/>
  <c r="HV5" i="3"/>
  <c r="HW5" i="3"/>
  <c r="HX5" i="3"/>
  <c r="HY5" i="3"/>
  <c r="HZ5" i="3"/>
  <c r="IA5" i="3"/>
  <c r="IB5" i="3"/>
  <c r="IC5" i="3"/>
  <c r="ID5" i="3"/>
  <c r="IE5" i="3"/>
  <c r="IF5" i="3"/>
  <c r="IG5" i="3"/>
  <c r="IH5" i="3"/>
  <c r="II5" i="3"/>
  <c r="IJ5" i="3"/>
  <c r="IK5" i="3"/>
  <c r="IL5" i="3"/>
  <c r="IM5" i="3"/>
  <c r="IN5" i="3"/>
  <c r="IO5" i="3"/>
  <c r="IP5" i="3"/>
  <c r="IQ5" i="3"/>
  <c r="IR5" i="3"/>
  <c r="IS5" i="3"/>
  <c r="IT5" i="3"/>
  <c r="IU5" i="3"/>
  <c r="IV5" i="3"/>
  <c r="A4" i="3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DC4" i="3"/>
  <c r="DD4" i="3"/>
  <c r="DE4" i="3"/>
  <c r="DF4" i="3"/>
  <c r="DG4" i="3"/>
  <c r="DH4" i="3"/>
  <c r="DI4" i="3"/>
  <c r="DJ4" i="3"/>
  <c r="DK4" i="3"/>
  <c r="DL4" i="3"/>
  <c r="DM4" i="3"/>
  <c r="DN4" i="3"/>
  <c r="DO4" i="3"/>
  <c r="DP4" i="3"/>
  <c r="DQ4" i="3"/>
  <c r="DR4" i="3"/>
  <c r="DS4" i="3"/>
  <c r="DT4" i="3"/>
  <c r="DU4" i="3"/>
  <c r="DV4" i="3"/>
  <c r="DW4" i="3"/>
  <c r="DX4" i="3"/>
  <c r="DY4" i="3"/>
  <c r="DZ4" i="3"/>
  <c r="EA4" i="3"/>
  <c r="EB4" i="3"/>
  <c r="EC4" i="3"/>
  <c r="ED4" i="3"/>
  <c r="EE4" i="3"/>
  <c r="EF4" i="3"/>
  <c r="EG4" i="3"/>
  <c r="EH4" i="3"/>
  <c r="EI4" i="3"/>
  <c r="EJ4" i="3"/>
  <c r="EK4" i="3"/>
  <c r="EL4" i="3"/>
  <c r="EM4" i="3"/>
  <c r="EN4" i="3"/>
  <c r="EO4" i="3"/>
  <c r="EP4" i="3"/>
  <c r="EQ4" i="3"/>
  <c r="ER4" i="3"/>
  <c r="ES4" i="3"/>
  <c r="ET4" i="3"/>
  <c r="EU4" i="3"/>
  <c r="EV4" i="3"/>
  <c r="EW4" i="3"/>
  <c r="EX4" i="3"/>
  <c r="EY4" i="3"/>
  <c r="EZ4" i="3"/>
  <c r="FA4" i="3"/>
  <c r="FB4" i="3"/>
  <c r="FC4" i="3"/>
  <c r="FD4" i="3"/>
  <c r="FE4" i="3"/>
  <c r="FF4" i="3"/>
  <c r="FG4" i="3"/>
  <c r="FH4" i="3"/>
  <c r="FI4" i="3"/>
  <c r="FJ4" i="3"/>
  <c r="FK4" i="3"/>
  <c r="FL4" i="3"/>
  <c r="FM4" i="3"/>
  <c r="FN4" i="3"/>
  <c r="FO4" i="3"/>
  <c r="FP4" i="3"/>
  <c r="FQ4" i="3"/>
  <c r="FR4" i="3"/>
  <c r="FS4" i="3"/>
  <c r="FT4" i="3"/>
  <c r="FU4" i="3"/>
  <c r="FV4" i="3"/>
  <c r="FW4" i="3"/>
  <c r="FX4" i="3"/>
  <c r="FY4" i="3"/>
  <c r="FZ4" i="3"/>
  <c r="GA4" i="3"/>
  <c r="GB4" i="3"/>
  <c r="GC4" i="3"/>
  <c r="GD4" i="3"/>
  <c r="GE4" i="3"/>
  <c r="GF4" i="3"/>
  <c r="GG4" i="3"/>
  <c r="GH4" i="3"/>
  <c r="GI4" i="3"/>
  <c r="GJ4" i="3"/>
  <c r="GK4" i="3"/>
  <c r="GL4" i="3"/>
  <c r="GM4" i="3"/>
  <c r="GN4" i="3"/>
  <c r="GO4" i="3"/>
  <c r="GP4" i="3"/>
  <c r="GQ4" i="3"/>
  <c r="GR4" i="3"/>
  <c r="GS4" i="3"/>
  <c r="GT4" i="3"/>
  <c r="GU4" i="3"/>
  <c r="GV4" i="3"/>
  <c r="GW4" i="3"/>
  <c r="GX4" i="3"/>
  <c r="GY4" i="3"/>
  <c r="GZ4" i="3"/>
  <c r="HA4" i="3"/>
  <c r="HB4" i="3"/>
  <c r="HC4" i="3"/>
  <c r="HD4" i="3"/>
  <c r="HE4" i="3"/>
  <c r="HF4" i="3"/>
  <c r="HG4" i="3"/>
  <c r="HH4" i="3"/>
  <c r="HI4" i="3"/>
  <c r="HJ4" i="3"/>
  <c r="HK4" i="3"/>
  <c r="HL4" i="3"/>
  <c r="HM4" i="3"/>
  <c r="HN4" i="3"/>
  <c r="HO4" i="3"/>
  <c r="HP4" i="3"/>
  <c r="HQ4" i="3"/>
  <c r="HR4" i="3"/>
  <c r="HS4" i="3"/>
  <c r="HT4" i="3"/>
  <c r="HU4" i="3"/>
  <c r="HV4" i="3"/>
  <c r="HW4" i="3"/>
  <c r="HX4" i="3"/>
  <c r="HY4" i="3"/>
  <c r="HZ4" i="3"/>
  <c r="IA4" i="3"/>
  <c r="IB4" i="3"/>
  <c r="IC4" i="3"/>
  <c r="ID4" i="3"/>
  <c r="IE4" i="3"/>
  <c r="IF4" i="3"/>
  <c r="IG4" i="3"/>
  <c r="IH4" i="3"/>
  <c r="II4" i="3"/>
  <c r="IJ4" i="3"/>
  <c r="IK4" i="3"/>
  <c r="IL4" i="3"/>
  <c r="IM4" i="3"/>
  <c r="IN4" i="3"/>
  <c r="IO4" i="3"/>
  <c r="IP4" i="3"/>
  <c r="IQ4" i="3"/>
  <c r="IR4" i="3"/>
  <c r="IS4" i="3"/>
  <c r="IT4" i="3"/>
  <c r="IU4" i="3"/>
  <c r="IV4" i="3"/>
  <c r="A3" i="3"/>
  <c r="B3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DC3" i="3"/>
  <c r="DD3" i="3"/>
  <c r="DE3" i="3"/>
  <c r="DF3" i="3"/>
  <c r="DG3" i="3"/>
  <c r="DH3" i="3"/>
  <c r="DI3" i="3"/>
  <c r="DJ3" i="3"/>
  <c r="DK3" i="3"/>
  <c r="DL3" i="3"/>
  <c r="DM3" i="3"/>
  <c r="DN3" i="3"/>
  <c r="DO3" i="3"/>
  <c r="DP3" i="3"/>
  <c r="DQ3" i="3"/>
  <c r="DR3" i="3"/>
  <c r="DS3" i="3"/>
  <c r="DT3" i="3"/>
  <c r="DU3" i="3"/>
  <c r="DV3" i="3"/>
  <c r="DW3" i="3"/>
  <c r="DX3" i="3"/>
  <c r="DY3" i="3"/>
  <c r="DZ3" i="3"/>
  <c r="EA3" i="3"/>
  <c r="EB3" i="3"/>
  <c r="EC3" i="3"/>
  <c r="ED3" i="3"/>
  <c r="EE3" i="3"/>
  <c r="EF3" i="3"/>
  <c r="EG3" i="3"/>
  <c r="EH3" i="3"/>
  <c r="EI3" i="3"/>
  <c r="EJ3" i="3"/>
  <c r="EK3" i="3"/>
  <c r="EL3" i="3"/>
  <c r="EM3" i="3"/>
  <c r="EN3" i="3"/>
  <c r="EO3" i="3"/>
  <c r="EP3" i="3"/>
  <c r="EQ3" i="3"/>
  <c r="ER3" i="3"/>
  <c r="ES3" i="3"/>
  <c r="ET3" i="3"/>
  <c r="EU3" i="3"/>
  <c r="EV3" i="3"/>
  <c r="EW3" i="3"/>
  <c r="EX3" i="3"/>
  <c r="EY3" i="3"/>
  <c r="EZ3" i="3"/>
  <c r="FA3" i="3"/>
  <c r="FB3" i="3"/>
  <c r="FC3" i="3"/>
  <c r="FD3" i="3"/>
  <c r="FE3" i="3"/>
  <c r="FF3" i="3"/>
  <c r="FG3" i="3"/>
  <c r="FH3" i="3"/>
  <c r="FI3" i="3"/>
  <c r="FJ3" i="3"/>
  <c r="FK3" i="3"/>
  <c r="FL3" i="3"/>
  <c r="FM3" i="3"/>
  <c r="FN3" i="3"/>
  <c r="FO3" i="3"/>
  <c r="FP3" i="3"/>
  <c r="FQ3" i="3"/>
  <c r="FR3" i="3"/>
  <c r="FS3" i="3"/>
  <c r="FT3" i="3"/>
  <c r="FU3" i="3"/>
  <c r="FV3" i="3"/>
  <c r="FW3" i="3"/>
  <c r="FX3" i="3"/>
  <c r="FY3" i="3"/>
  <c r="FZ3" i="3"/>
  <c r="GA3" i="3"/>
  <c r="GB3" i="3"/>
  <c r="GC3" i="3"/>
  <c r="GD3" i="3"/>
  <c r="GE3" i="3"/>
  <c r="GF3" i="3"/>
  <c r="GG3" i="3"/>
  <c r="GH3" i="3"/>
  <c r="GI3" i="3"/>
  <c r="GJ3" i="3"/>
  <c r="GK3" i="3"/>
  <c r="GL3" i="3"/>
  <c r="GM3" i="3"/>
  <c r="GN3" i="3"/>
  <c r="GO3" i="3"/>
  <c r="GP3" i="3"/>
  <c r="GQ3" i="3"/>
  <c r="GR3" i="3"/>
  <c r="GS3" i="3"/>
  <c r="GT3" i="3"/>
  <c r="GU3" i="3"/>
  <c r="GV3" i="3"/>
  <c r="GW3" i="3"/>
  <c r="GX3" i="3"/>
  <c r="GY3" i="3"/>
  <c r="GZ3" i="3"/>
  <c r="HA3" i="3"/>
  <c r="HB3" i="3"/>
  <c r="HC3" i="3"/>
  <c r="HD3" i="3"/>
  <c r="HE3" i="3"/>
  <c r="HF3" i="3"/>
  <c r="HG3" i="3"/>
  <c r="HH3" i="3"/>
  <c r="HI3" i="3"/>
  <c r="HJ3" i="3"/>
  <c r="HK3" i="3"/>
  <c r="HL3" i="3"/>
  <c r="HM3" i="3"/>
  <c r="HN3" i="3"/>
  <c r="HO3" i="3"/>
  <c r="HP3" i="3"/>
  <c r="HQ3" i="3"/>
  <c r="HR3" i="3"/>
  <c r="HS3" i="3"/>
  <c r="HT3" i="3"/>
  <c r="HU3" i="3"/>
  <c r="HV3" i="3"/>
  <c r="HW3" i="3"/>
  <c r="HX3" i="3"/>
  <c r="HY3" i="3"/>
  <c r="HZ3" i="3"/>
  <c r="IA3" i="3"/>
  <c r="IB3" i="3"/>
  <c r="IC3" i="3"/>
  <c r="ID3" i="3"/>
  <c r="IE3" i="3"/>
  <c r="IF3" i="3"/>
  <c r="IG3" i="3"/>
  <c r="IH3" i="3"/>
  <c r="II3" i="3"/>
  <c r="IJ3" i="3"/>
  <c r="IK3" i="3"/>
  <c r="IL3" i="3"/>
  <c r="IM3" i="3"/>
  <c r="IN3" i="3"/>
  <c r="IO3" i="3"/>
  <c r="IP3" i="3"/>
  <c r="IQ3" i="3"/>
  <c r="IR3" i="3"/>
  <c r="IS3" i="3"/>
  <c r="IT3" i="3"/>
  <c r="IU3" i="3"/>
  <c r="IV3" i="3"/>
  <c r="A2" i="3"/>
  <c r="B2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DC2" i="3"/>
  <c r="DD2" i="3"/>
  <c r="DE2" i="3"/>
  <c r="DF2" i="3"/>
  <c r="DG2" i="3"/>
  <c r="DH2" i="3"/>
  <c r="DI2" i="3"/>
  <c r="DJ2" i="3"/>
  <c r="DK2" i="3"/>
  <c r="DL2" i="3"/>
  <c r="DM2" i="3"/>
  <c r="DN2" i="3"/>
  <c r="DO2" i="3"/>
  <c r="DP2" i="3"/>
  <c r="DQ2" i="3"/>
  <c r="DR2" i="3"/>
  <c r="DS2" i="3"/>
  <c r="DT2" i="3"/>
  <c r="DU2" i="3"/>
  <c r="DV2" i="3"/>
  <c r="DW2" i="3"/>
  <c r="DX2" i="3"/>
  <c r="DY2" i="3"/>
  <c r="DZ2" i="3"/>
  <c r="EA2" i="3"/>
  <c r="EB2" i="3"/>
  <c r="EC2" i="3"/>
  <c r="ED2" i="3"/>
  <c r="EE2" i="3"/>
  <c r="EF2" i="3"/>
  <c r="EG2" i="3"/>
  <c r="EH2" i="3"/>
  <c r="EI2" i="3"/>
  <c r="EJ2" i="3"/>
  <c r="EK2" i="3"/>
  <c r="EL2" i="3"/>
  <c r="EM2" i="3"/>
  <c r="EN2" i="3"/>
  <c r="EO2" i="3"/>
  <c r="EP2" i="3"/>
  <c r="EQ2" i="3"/>
  <c r="ER2" i="3"/>
  <c r="ES2" i="3"/>
  <c r="ET2" i="3"/>
  <c r="EU2" i="3"/>
  <c r="EV2" i="3"/>
  <c r="EW2" i="3"/>
  <c r="EX2" i="3"/>
  <c r="EY2" i="3"/>
  <c r="EZ2" i="3"/>
  <c r="FA2" i="3"/>
  <c r="FB2" i="3"/>
  <c r="FC2" i="3"/>
  <c r="FD2" i="3"/>
  <c r="FE2" i="3"/>
  <c r="FF2" i="3"/>
  <c r="FG2" i="3"/>
  <c r="FH2" i="3"/>
  <c r="FI2" i="3"/>
  <c r="FJ2" i="3"/>
  <c r="FK2" i="3"/>
  <c r="FL2" i="3"/>
  <c r="FM2" i="3"/>
  <c r="FN2" i="3"/>
  <c r="FO2" i="3"/>
  <c r="FP2" i="3"/>
  <c r="FQ2" i="3"/>
  <c r="FR2" i="3"/>
  <c r="FS2" i="3"/>
  <c r="FT2" i="3"/>
  <c r="FU2" i="3"/>
  <c r="FV2" i="3"/>
  <c r="FW2" i="3"/>
  <c r="FX2" i="3"/>
  <c r="FY2" i="3"/>
  <c r="FZ2" i="3"/>
  <c r="GA2" i="3"/>
  <c r="GB2" i="3"/>
  <c r="GC2" i="3"/>
  <c r="GD2" i="3"/>
  <c r="GE2" i="3"/>
  <c r="GF2" i="3"/>
  <c r="GG2" i="3"/>
  <c r="GH2" i="3"/>
  <c r="GI2" i="3"/>
  <c r="GJ2" i="3"/>
  <c r="GK2" i="3"/>
  <c r="GL2" i="3"/>
  <c r="GM2" i="3"/>
  <c r="GN2" i="3"/>
  <c r="GO2" i="3"/>
  <c r="GP2" i="3"/>
  <c r="GQ2" i="3"/>
  <c r="GR2" i="3"/>
  <c r="GS2" i="3"/>
  <c r="GT2" i="3"/>
  <c r="GU2" i="3"/>
  <c r="GV2" i="3"/>
  <c r="GW2" i="3"/>
  <c r="GX2" i="3"/>
  <c r="GY2" i="3"/>
  <c r="GZ2" i="3"/>
  <c r="HA2" i="3"/>
  <c r="HB2" i="3"/>
  <c r="HC2" i="3"/>
  <c r="HD2" i="3"/>
  <c r="HE2" i="3"/>
  <c r="HF2" i="3"/>
  <c r="HG2" i="3"/>
  <c r="HH2" i="3"/>
  <c r="HI2" i="3"/>
  <c r="HJ2" i="3"/>
  <c r="HK2" i="3"/>
  <c r="HL2" i="3"/>
  <c r="HM2" i="3"/>
  <c r="HN2" i="3"/>
  <c r="HO2" i="3"/>
  <c r="HP2" i="3"/>
  <c r="HQ2" i="3"/>
  <c r="HR2" i="3"/>
  <c r="HS2" i="3"/>
  <c r="HT2" i="3"/>
  <c r="HU2" i="3"/>
  <c r="HV2" i="3"/>
  <c r="HW2" i="3"/>
  <c r="HX2" i="3"/>
  <c r="HY2" i="3"/>
  <c r="HZ2" i="3"/>
  <c r="IA2" i="3"/>
  <c r="IB2" i="3"/>
  <c r="IC2" i="3"/>
  <c r="ID2" i="3"/>
  <c r="IE2" i="3"/>
  <c r="IF2" i="3"/>
  <c r="IG2" i="3"/>
  <c r="IH2" i="3"/>
  <c r="II2" i="3"/>
  <c r="IJ2" i="3"/>
  <c r="IK2" i="3"/>
  <c r="IL2" i="3"/>
  <c r="IM2" i="3"/>
  <c r="IN2" i="3"/>
  <c r="IO2" i="3"/>
  <c r="IP2" i="3"/>
  <c r="IQ2" i="3"/>
  <c r="IR2" i="3"/>
  <c r="IS2" i="3"/>
  <c r="IT2" i="3"/>
  <c r="IU2" i="3"/>
  <c r="IV2" i="3"/>
  <c r="A1" i="3"/>
  <c r="B1" i="3"/>
  <c r="C1" i="3"/>
  <c r="D1" i="3"/>
  <c r="E1" i="3"/>
  <c r="F1" i="3"/>
  <c r="G1" i="3"/>
  <c r="H1" i="3"/>
  <c r="I1" i="3"/>
  <c r="J1" i="3"/>
  <c r="K1" i="3"/>
  <c r="L1" i="3"/>
  <c r="M1" i="3"/>
  <c r="N1" i="3"/>
  <c r="O1" i="3"/>
  <c r="P1" i="3"/>
  <c r="Q1" i="3"/>
  <c r="R1" i="3"/>
  <c r="S1" i="3"/>
  <c r="T1" i="3"/>
  <c r="U1" i="3"/>
  <c r="V1" i="3"/>
  <c r="W1" i="3"/>
  <c r="X1" i="3"/>
  <c r="Y1" i="3"/>
  <c r="Z1" i="3"/>
  <c r="AA1" i="3"/>
  <c r="AB1" i="3"/>
  <c r="AC1" i="3"/>
  <c r="AD1" i="3"/>
  <c r="AE1" i="3"/>
  <c r="AF1" i="3"/>
  <c r="AG1" i="3"/>
  <c r="AH1" i="3"/>
  <c r="AI1" i="3"/>
  <c r="AJ1" i="3"/>
  <c r="AK1" i="3"/>
  <c r="AL1" i="3"/>
  <c r="AM1" i="3"/>
  <c r="AN1" i="3"/>
  <c r="AO1" i="3"/>
  <c r="AP1" i="3"/>
  <c r="AQ1" i="3"/>
  <c r="AR1" i="3"/>
  <c r="AS1" i="3"/>
  <c r="AT1" i="3"/>
  <c r="AU1" i="3"/>
  <c r="AV1" i="3"/>
  <c r="AW1" i="3"/>
  <c r="AX1" i="3"/>
  <c r="AY1" i="3"/>
  <c r="AZ1" i="3"/>
  <c r="BA1" i="3"/>
  <c r="BB1" i="3"/>
  <c r="BC1" i="3"/>
  <c r="BD1" i="3"/>
  <c r="BE1" i="3"/>
  <c r="BF1" i="3"/>
  <c r="BG1" i="3"/>
  <c r="BH1" i="3"/>
  <c r="BI1" i="3"/>
  <c r="BJ1" i="3"/>
  <c r="BK1" i="3"/>
  <c r="BL1" i="3"/>
  <c r="BM1" i="3"/>
  <c r="BN1" i="3"/>
  <c r="BO1" i="3"/>
  <c r="BP1" i="3"/>
  <c r="BQ1" i="3"/>
  <c r="BR1" i="3"/>
  <c r="BS1" i="3"/>
  <c r="BT1" i="3"/>
  <c r="BU1" i="3"/>
  <c r="BV1" i="3"/>
  <c r="BW1" i="3"/>
  <c r="BX1" i="3"/>
  <c r="BY1" i="3"/>
  <c r="BZ1" i="3"/>
  <c r="CA1" i="3"/>
  <c r="CB1" i="3"/>
  <c r="CC1" i="3"/>
  <c r="CD1" i="3"/>
  <c r="CE1" i="3"/>
  <c r="CF1" i="3"/>
  <c r="CG1" i="3"/>
  <c r="CH1" i="3"/>
  <c r="CI1" i="3"/>
  <c r="CJ1" i="3"/>
  <c r="CK1" i="3"/>
  <c r="CL1" i="3"/>
  <c r="CM1" i="3"/>
  <c r="CN1" i="3"/>
  <c r="CO1" i="3"/>
  <c r="CP1" i="3"/>
  <c r="CQ1" i="3"/>
  <c r="CR1" i="3"/>
  <c r="CS1" i="3"/>
  <c r="CT1" i="3"/>
  <c r="CU1" i="3"/>
  <c r="CV1" i="3"/>
  <c r="CW1" i="3"/>
  <c r="CX1" i="3"/>
  <c r="CY1" i="3"/>
  <c r="CZ1" i="3"/>
  <c r="DA1" i="3"/>
  <c r="DB1" i="3"/>
  <c r="DC1" i="3"/>
  <c r="DD1" i="3"/>
  <c r="DE1" i="3"/>
  <c r="DF1" i="3"/>
  <c r="DG1" i="3"/>
  <c r="DH1" i="3"/>
  <c r="DI1" i="3"/>
  <c r="DJ1" i="3"/>
  <c r="DK1" i="3"/>
  <c r="DL1" i="3"/>
  <c r="DM1" i="3"/>
  <c r="DN1" i="3"/>
  <c r="DO1" i="3"/>
  <c r="DP1" i="3"/>
  <c r="DQ1" i="3"/>
  <c r="DR1" i="3"/>
  <c r="DS1" i="3"/>
  <c r="DT1" i="3"/>
  <c r="DU1" i="3"/>
  <c r="DV1" i="3"/>
  <c r="DW1" i="3"/>
  <c r="DX1" i="3"/>
  <c r="DY1" i="3"/>
  <c r="DZ1" i="3"/>
  <c r="EA1" i="3"/>
  <c r="EB1" i="3"/>
  <c r="EC1" i="3"/>
  <c r="ED1" i="3"/>
  <c r="EE1" i="3"/>
  <c r="EF1" i="3"/>
  <c r="EG1" i="3"/>
  <c r="EH1" i="3"/>
  <c r="EI1" i="3"/>
  <c r="EJ1" i="3"/>
  <c r="EK1" i="3"/>
  <c r="EL1" i="3"/>
  <c r="EM1" i="3"/>
  <c r="EN1" i="3"/>
  <c r="EO1" i="3"/>
  <c r="EP1" i="3"/>
  <c r="EQ1" i="3"/>
  <c r="ER1" i="3"/>
  <c r="ES1" i="3"/>
  <c r="ET1" i="3"/>
  <c r="EU1" i="3"/>
  <c r="EV1" i="3"/>
  <c r="EW1" i="3"/>
  <c r="EX1" i="3"/>
  <c r="EY1" i="3"/>
  <c r="EZ1" i="3"/>
  <c r="FA1" i="3"/>
  <c r="FB1" i="3"/>
  <c r="FC1" i="3"/>
  <c r="FD1" i="3"/>
  <c r="FE1" i="3"/>
  <c r="FF1" i="3"/>
  <c r="FG1" i="3"/>
  <c r="FH1" i="3"/>
  <c r="FI1" i="3"/>
  <c r="FJ1" i="3"/>
  <c r="FK1" i="3"/>
  <c r="FL1" i="3"/>
  <c r="FM1" i="3"/>
  <c r="FN1" i="3"/>
  <c r="FO1" i="3"/>
  <c r="FP1" i="3"/>
  <c r="FQ1" i="3"/>
  <c r="FR1" i="3"/>
  <c r="FS1" i="3"/>
  <c r="FT1" i="3"/>
  <c r="FU1" i="3"/>
  <c r="FV1" i="3"/>
  <c r="FW1" i="3"/>
  <c r="FX1" i="3"/>
  <c r="FY1" i="3"/>
  <c r="FZ1" i="3"/>
  <c r="GA1" i="3"/>
  <c r="GB1" i="3"/>
  <c r="GC1" i="3"/>
  <c r="GD1" i="3"/>
  <c r="GE1" i="3"/>
  <c r="GF1" i="3"/>
  <c r="GG1" i="3"/>
  <c r="GH1" i="3"/>
  <c r="GI1" i="3"/>
  <c r="GJ1" i="3"/>
  <c r="GK1" i="3"/>
  <c r="GL1" i="3"/>
  <c r="GM1" i="3"/>
  <c r="GN1" i="3"/>
  <c r="GO1" i="3"/>
  <c r="GP1" i="3"/>
  <c r="GQ1" i="3"/>
  <c r="GR1" i="3"/>
  <c r="GS1" i="3"/>
  <c r="GT1" i="3"/>
  <c r="GU1" i="3"/>
  <c r="GV1" i="3"/>
  <c r="GW1" i="3"/>
  <c r="GX1" i="3"/>
  <c r="GY1" i="3"/>
  <c r="GZ1" i="3"/>
  <c r="HA1" i="3"/>
  <c r="HB1" i="3"/>
  <c r="HC1" i="3"/>
  <c r="HD1" i="3"/>
  <c r="HE1" i="3"/>
  <c r="HF1" i="3"/>
  <c r="HG1" i="3"/>
  <c r="HH1" i="3"/>
  <c r="HI1" i="3"/>
  <c r="HJ1" i="3"/>
  <c r="HK1" i="3"/>
  <c r="HL1" i="3"/>
  <c r="HM1" i="3"/>
  <c r="HN1" i="3"/>
  <c r="HO1" i="3"/>
  <c r="HP1" i="3"/>
  <c r="HQ1" i="3"/>
  <c r="HR1" i="3"/>
  <c r="HS1" i="3"/>
  <c r="HT1" i="3"/>
  <c r="HU1" i="3"/>
  <c r="HV1" i="3"/>
  <c r="HW1" i="3"/>
  <c r="HX1" i="3"/>
  <c r="HY1" i="3"/>
  <c r="HZ1" i="3"/>
  <c r="IA1" i="3"/>
  <c r="IB1" i="3"/>
  <c r="IC1" i="3"/>
  <c r="ID1" i="3"/>
  <c r="IE1" i="3"/>
  <c r="IF1" i="3"/>
  <c r="IG1" i="3"/>
  <c r="IH1" i="3"/>
  <c r="II1" i="3"/>
  <c r="IJ1" i="3"/>
  <c r="IK1" i="3"/>
  <c r="IL1" i="3"/>
  <c r="IM1" i="3"/>
  <c r="IN1" i="3"/>
  <c r="IO1" i="3"/>
  <c r="IP1" i="3"/>
  <c r="IQ1" i="3"/>
  <c r="IR1" i="3"/>
  <c r="IS1" i="3"/>
  <c r="IT1" i="3"/>
  <c r="IU1" i="3"/>
  <c r="IV1" i="3"/>
</calcChain>
</file>

<file path=xl/sharedStrings.xml><?xml version="1.0" encoding="utf-8"?>
<sst xmlns="http://schemas.openxmlformats.org/spreadsheetml/2006/main" count="19954" uniqueCount="719">
  <si>
    <t>Productor</t>
  </si>
  <si>
    <t>Región</t>
  </si>
  <si>
    <t>Comuna</t>
  </si>
  <si>
    <t>Localidad</t>
  </si>
  <si>
    <t>Especie</t>
  </si>
  <si>
    <t>Tipo Variedad</t>
  </si>
  <si>
    <t>Evento Hembra</t>
  </si>
  <si>
    <t>Evento Macho</t>
  </si>
  <si>
    <t>Norte (y)</t>
  </si>
  <si>
    <t>Este (x)</t>
  </si>
  <si>
    <t>Huso</t>
  </si>
  <si>
    <t>Nº Potreros</t>
  </si>
  <si>
    <t>Sup. Insc</t>
  </si>
  <si>
    <t>CORRIENTE OVM</t>
  </si>
  <si>
    <t>AGRÍCOLA PURUTUN</t>
  </si>
  <si>
    <t>V</t>
  </si>
  <si>
    <t>NOGALES</t>
  </si>
  <si>
    <t>TOMATE</t>
  </si>
  <si>
    <t>LINEA PURA</t>
  </si>
  <si>
    <t>G</t>
  </si>
  <si>
    <t>K</t>
  </si>
  <si>
    <t>CERTIFICADA Y OVM</t>
  </si>
  <si>
    <t>ANASAC CHILE</t>
  </si>
  <si>
    <t>XIII</t>
  </si>
  <si>
    <t>SAN PEDRO</t>
  </si>
  <si>
    <t>MELIPILLA</t>
  </si>
  <si>
    <t>MAÍZ</t>
  </si>
  <si>
    <t>HÍBRIDO</t>
  </si>
  <si>
    <t>BUIN</t>
  </si>
  <si>
    <t>ALTO JAHUEL</t>
  </si>
  <si>
    <t>DAS-59122-7</t>
  </si>
  <si>
    <t>MAIPU</t>
  </si>
  <si>
    <t>SANTIAGO</t>
  </si>
  <si>
    <t>VII</t>
  </si>
  <si>
    <t>CURICO</t>
  </si>
  <si>
    <t>TENO</t>
  </si>
  <si>
    <t>MON-00603-6</t>
  </si>
  <si>
    <t>VI</t>
  </si>
  <si>
    <t>SAN FERNANDO</t>
  </si>
  <si>
    <t>TALCAREHUE</t>
  </si>
  <si>
    <t>MACHALÍ</t>
  </si>
  <si>
    <t>CACHAPOAL</t>
  </si>
  <si>
    <t>PUDAHUEL</t>
  </si>
  <si>
    <t>SAN CLEMENTE</t>
  </si>
  <si>
    <t>BAJO PERQUIN</t>
  </si>
  <si>
    <t>SAN RAFAEL</t>
  </si>
  <si>
    <t>EL MILAGRO</t>
  </si>
  <si>
    <t>PELARCO</t>
  </si>
  <si>
    <t>SAN FRANCISCO</t>
  </si>
  <si>
    <t>EL SUSPIRO</t>
  </si>
  <si>
    <t>ROMERAL</t>
  </si>
  <si>
    <t>COLLIGUAY</t>
  </si>
  <si>
    <t>SANTA ROSA</t>
  </si>
  <si>
    <t>LA UNION</t>
  </si>
  <si>
    <t>ENSAYO OVM</t>
  </si>
  <si>
    <t>CIS</t>
  </si>
  <si>
    <t>CRUZ DEL SUR</t>
  </si>
  <si>
    <t>RAPS</t>
  </si>
  <si>
    <t>VIII</t>
  </si>
  <si>
    <t>LOS ANGELES</t>
  </si>
  <si>
    <t>PATA DE GALLINA</t>
  </si>
  <si>
    <t>MON-00073-7</t>
  </si>
  <si>
    <t>CABRERO</t>
  </si>
  <si>
    <t>CHILLANCITO, SECTOR SALTOS DEL LAJA. CABRERO</t>
  </si>
  <si>
    <t>SECTOR CHILLANCITO</t>
  </si>
  <si>
    <t>CAMINO A STA BARBARA</t>
  </si>
  <si>
    <t>TALCA</t>
  </si>
  <si>
    <t>LAS RASTRAS</t>
  </si>
  <si>
    <t>SANTA RITA</t>
  </si>
  <si>
    <t>PENCAHUE</t>
  </si>
  <si>
    <t>LONGAVÍ</t>
  </si>
  <si>
    <t>LONGAVI</t>
  </si>
  <si>
    <t>ODESSA-CUMPEO</t>
  </si>
  <si>
    <t>CHIMBARONGO</t>
  </si>
  <si>
    <t>PEREJIL</t>
  </si>
  <si>
    <t>CODEGUA</t>
  </si>
  <si>
    <t>TALAGANTE</t>
  </si>
  <si>
    <t>LINDEROS</t>
  </si>
  <si>
    <t>CAMINO LAS RASTRAS</t>
  </si>
  <si>
    <t>SN. CLEMENTE</t>
  </si>
  <si>
    <t>EL ALBA</t>
  </si>
  <si>
    <t>QUINTA</t>
  </si>
  <si>
    <t>ZAPALLAR</t>
  </si>
  <si>
    <t>SANTA ELISA</t>
  </si>
  <si>
    <t>PLACILLA</t>
  </si>
  <si>
    <t>SECTOR ARICA, PLACILLA</t>
  </si>
  <si>
    <t>CURIMAPU EXPORT</t>
  </si>
  <si>
    <t>CERRO COLORADO</t>
  </si>
  <si>
    <t>ACS-BN005-8</t>
  </si>
  <si>
    <t>ACS-BN003-6</t>
  </si>
  <si>
    <t>DUQUECO</t>
  </si>
  <si>
    <t>CRUCE SAN GERARDO</t>
  </si>
  <si>
    <t>COIHUECO</t>
  </si>
  <si>
    <t>CATO</t>
  </si>
  <si>
    <t>EL CARMEN</t>
  </si>
  <si>
    <t>PUENTE URRUTIA</t>
  </si>
  <si>
    <t>LA SEXTA</t>
  </si>
  <si>
    <t>IX</t>
  </si>
  <si>
    <t>ANGOL</t>
  </si>
  <si>
    <t>PEDREGAL</t>
  </si>
  <si>
    <t>PEMUCO</t>
  </si>
  <si>
    <t>SAN CARLOS</t>
  </si>
  <si>
    <t>EL ALAMO</t>
  </si>
  <si>
    <t>NEGRETE</t>
  </si>
  <si>
    <t>COIHUE</t>
  </si>
  <si>
    <t>CHILLAN</t>
  </si>
  <si>
    <t>CHARRÚA</t>
  </si>
  <si>
    <t>SAN NICOLAS</t>
  </si>
  <si>
    <t>SAN NICOLÁS</t>
  </si>
  <si>
    <t>SAN IGNACIO</t>
  </si>
  <si>
    <t>YUNGAY</t>
  </si>
  <si>
    <t>BULNES</t>
  </si>
  <si>
    <t>LOS TILOS</t>
  </si>
  <si>
    <t>BULI</t>
  </si>
  <si>
    <t>SANTA CLARA</t>
  </si>
  <si>
    <t>CALLE ALEGRE</t>
  </si>
  <si>
    <t>LA CAPILLA</t>
  </si>
  <si>
    <t>TRES ESQUINAS</t>
  </si>
  <si>
    <t>LINARES</t>
  </si>
  <si>
    <t>HUAPI</t>
  </si>
  <si>
    <t>QUILELTO</t>
  </si>
  <si>
    <t>SAN MIGUEL DE DIGUILLIN</t>
  </si>
  <si>
    <t>MOLINA</t>
  </si>
  <si>
    <t>MON-00021-9</t>
  </si>
  <si>
    <t>SYN-BT011-1</t>
  </si>
  <si>
    <t>QUINQUEHUA</t>
  </si>
  <si>
    <t>CRUCE EL ROSAL</t>
  </si>
  <si>
    <t>LAS VEGAS</t>
  </si>
  <si>
    <t>LINEA ESTERIL</t>
  </si>
  <si>
    <t>GENERAL CRUZ</t>
  </si>
  <si>
    <t>LARQUI</t>
  </si>
  <si>
    <t>GREENSEED</t>
  </si>
  <si>
    <t>CORRALONES</t>
  </si>
  <si>
    <t>MAULE</t>
  </si>
  <si>
    <t>CHEQUEN</t>
  </si>
  <si>
    <t>SAN ALBERTO</t>
  </si>
  <si>
    <t>TRES PUERTAS</t>
  </si>
  <si>
    <t>COLBUN</t>
  </si>
  <si>
    <t>FLORESTA</t>
  </si>
  <si>
    <t>LA ISLA</t>
  </si>
  <si>
    <t>LA MONTAÑA</t>
  </si>
  <si>
    <t>BOBADILLA</t>
  </si>
  <si>
    <t>SAN DIONISIO</t>
  </si>
  <si>
    <t>QUIÑIPEUMO</t>
  </si>
  <si>
    <t>SAN JAVIER</t>
  </si>
  <si>
    <t>EL ARROZAL</t>
  </si>
  <si>
    <t>YERBAS BUENAS</t>
  </si>
  <si>
    <t>VILLA ALEGRE</t>
  </si>
  <si>
    <t>MAITENES</t>
  </si>
  <si>
    <t>MARIPOSA</t>
  </si>
  <si>
    <t>SAN MANUEL</t>
  </si>
  <si>
    <t>SAN FRANCISCO DE MOSTAZAL</t>
  </si>
  <si>
    <t>LA PUNTA</t>
  </si>
  <si>
    <t>DAS-01507-1</t>
  </si>
  <si>
    <t>LOMILLAS</t>
  </si>
  <si>
    <t>MERCEDES</t>
  </si>
  <si>
    <t>QUEBRADA DE AGUA</t>
  </si>
  <si>
    <t>ORILLA DE MAULE</t>
  </si>
  <si>
    <t>LIBUENO</t>
  </si>
  <si>
    <t>SAN CLEMENETE</t>
  </si>
  <si>
    <t>SAN CLEMNETE</t>
  </si>
  <si>
    <t>PEUMO NEGRO</t>
  </si>
  <si>
    <t>MARIPOSAS</t>
  </si>
  <si>
    <t>PERQUIN SUR</t>
  </si>
  <si>
    <t>SYN-IR604-5</t>
  </si>
  <si>
    <t>SEMILLERO</t>
  </si>
  <si>
    <t>MORZA</t>
  </si>
  <si>
    <t>RIO CLARO</t>
  </si>
  <si>
    <t>SANTA ELENA</t>
  </si>
  <si>
    <t>RANCAGUA</t>
  </si>
  <si>
    <t>TINGUIRIRICA</t>
  </si>
  <si>
    <t>PUNTA DIAMANTE</t>
  </si>
  <si>
    <t>SAN DIEGO</t>
  </si>
  <si>
    <t>HIBRIDO EXPERIMENTAL</t>
  </si>
  <si>
    <t>BOLSICO</t>
  </si>
  <si>
    <t>QUILPUE</t>
  </si>
  <si>
    <t>LO OROZCO</t>
  </si>
  <si>
    <t>LAS LOMAS</t>
  </si>
  <si>
    <t>RETIRO</t>
  </si>
  <si>
    <t>RABONES</t>
  </si>
  <si>
    <t>PARRAL</t>
  </si>
  <si>
    <t>HUENCHUÑIR Y HUECHE</t>
  </si>
  <si>
    <t>FREIRE</t>
  </si>
  <si>
    <t>QUEPE</t>
  </si>
  <si>
    <t>VILCÚN</t>
  </si>
  <si>
    <t>VILCUN</t>
  </si>
  <si>
    <t>HYTECH</t>
  </si>
  <si>
    <t>EL PERAL</t>
  </si>
  <si>
    <t>MULCHÉN</t>
  </si>
  <si>
    <t>BUREO</t>
  </si>
  <si>
    <t>LAS TRANCAS</t>
  </si>
  <si>
    <t>CUNCO</t>
  </si>
  <si>
    <t>FAJA 24000</t>
  </si>
  <si>
    <t>LOS MARCOS</t>
  </si>
  <si>
    <t>HYTECH PRODUCTION CHILE S.A.</t>
  </si>
  <si>
    <t>LOS TALGUENES</t>
  </si>
  <si>
    <t>NIQUÉN</t>
  </si>
  <si>
    <t>CHACAY</t>
  </si>
  <si>
    <t>VENTRENCO</t>
  </si>
  <si>
    <t>CAMPANACURA</t>
  </si>
  <si>
    <t>SANTA BARBARA</t>
  </si>
  <si>
    <t>LOS BOLDOS</t>
  </si>
  <si>
    <t>SANTA FÉ</t>
  </si>
  <si>
    <t>CHACAICO</t>
  </si>
  <si>
    <t>VILLARRICA</t>
  </si>
  <si>
    <t>MARIA LUISA</t>
  </si>
  <si>
    <t>CAUQUENES</t>
  </si>
  <si>
    <t>LOMAS LARGAS</t>
  </si>
  <si>
    <t>IGUALDAD</t>
  </si>
  <si>
    <t>CHOL CHOL</t>
  </si>
  <si>
    <t>MALAUCHE BAJO</t>
  </si>
  <si>
    <t>RENAICO</t>
  </si>
  <si>
    <t>RENAICO-PARRONALES</t>
  </si>
  <si>
    <t>LOS LAURELES</t>
  </si>
  <si>
    <t>SAN MIGUEL DE HABLEMOS</t>
  </si>
  <si>
    <t>LOS TIJERALES</t>
  </si>
  <si>
    <t>TOLTÉN</t>
  </si>
  <si>
    <t>VILLA BOLDO</t>
  </si>
  <si>
    <t>PADRE LAS CASAS</t>
  </si>
  <si>
    <t>LONCOCHE PLOM</t>
  </si>
  <si>
    <t>EL MANZANO</t>
  </si>
  <si>
    <t>XIV</t>
  </si>
  <si>
    <t>MARIQUINA</t>
  </si>
  <si>
    <t>PUREO</t>
  </si>
  <si>
    <t>SAN PATRICIO</t>
  </si>
  <si>
    <t>RENACO - PASTALES</t>
  </si>
  <si>
    <t>TEODORO SCHMIDT</t>
  </si>
  <si>
    <t>LOS TRONCOS</t>
  </si>
  <si>
    <t>LUMACO</t>
  </si>
  <si>
    <t>RANQUILCO</t>
  </si>
  <si>
    <t>PORMA</t>
  </si>
  <si>
    <t>PELECO</t>
  </si>
  <si>
    <t>LAUNACHE</t>
  </si>
  <si>
    <t>REPUCURA</t>
  </si>
  <si>
    <t>IMPERIAL</t>
  </si>
  <si>
    <t>MAÑIO QUILONCO</t>
  </si>
  <si>
    <t>CARAHUE</t>
  </si>
  <si>
    <t>SECTOR EL ALMA</t>
  </si>
  <si>
    <t>LOS SAUCES</t>
  </si>
  <si>
    <t>TRINTRE</t>
  </si>
  <si>
    <t>LAS ROSAS</t>
  </si>
  <si>
    <t>PURÉN</t>
  </si>
  <si>
    <t>BOYECO</t>
  </si>
  <si>
    <t>HUILCULLICAN</t>
  </si>
  <si>
    <t>PEULE</t>
  </si>
  <si>
    <t>CAMAGUEY</t>
  </si>
  <si>
    <t>LA MACARENA</t>
  </si>
  <si>
    <t>SAGRADA FAMILIA</t>
  </si>
  <si>
    <t>SAN JUAN DE LA SIERRA</t>
  </si>
  <si>
    <t>LIMANQUE</t>
  </si>
  <si>
    <t>MASSAI</t>
  </si>
  <si>
    <t>LOS NICHES</t>
  </si>
  <si>
    <t>HIJUELAS</t>
  </si>
  <si>
    <t>LAS PALMAS DE OCOA</t>
  </si>
  <si>
    <t>MON-00810-6</t>
  </si>
  <si>
    <t>EL TRAPICHE</t>
  </si>
  <si>
    <t>LA MORANINA</t>
  </si>
  <si>
    <t>LA SOMBRA</t>
  </si>
  <si>
    <t>LLAY LLAY</t>
  </si>
  <si>
    <t>ESTANCILLA</t>
  </si>
  <si>
    <t>BELLA UNIÓN</t>
  </si>
  <si>
    <t>PANGUE ARRIBA</t>
  </si>
  <si>
    <t>PEÑAFLOR</t>
  </si>
  <si>
    <t>GUAICO 2</t>
  </si>
  <si>
    <t>SANTA EUGENIA - LA MONTAÑA</t>
  </si>
  <si>
    <t>LA LAGUNA - TENO</t>
  </si>
  <si>
    <t>SANTA REBECA -TENO</t>
  </si>
  <si>
    <t>VARAS GRUESAS</t>
  </si>
  <si>
    <t>LOS QUILLAYES</t>
  </si>
  <si>
    <t>LA RAMADA</t>
  </si>
  <si>
    <t>BUENA FE</t>
  </si>
  <si>
    <t>TUNICHE</t>
  </si>
  <si>
    <t>SANTA TERESA</t>
  </si>
  <si>
    <t>PORVENIR</t>
  </si>
  <si>
    <t>LOS MARISTAS</t>
  </si>
  <si>
    <t>MAULE SUR</t>
  </si>
  <si>
    <t>SAN JOSE DE LOS LINGUES</t>
  </si>
  <si>
    <t>CATEMU</t>
  </si>
  <si>
    <t>CERRILLO</t>
  </si>
  <si>
    <t>RABUCO</t>
  </si>
  <si>
    <t>SAN CAYETANO</t>
  </si>
  <si>
    <t>LA VEGA</t>
  </si>
  <si>
    <t>LANCHA QUERI</t>
  </si>
  <si>
    <t>GUAICO 3</t>
  </si>
  <si>
    <t>EL ARBOLITO</t>
  </si>
  <si>
    <t>ARBOLITO</t>
  </si>
  <si>
    <t>EL MOLINO</t>
  </si>
  <si>
    <t>QUICHARCO</t>
  </si>
  <si>
    <t>PANGUILEMO</t>
  </si>
  <si>
    <t>ROMA</t>
  </si>
  <si>
    <t>PEDEHUE</t>
  </si>
  <si>
    <t>MAITENCILLO</t>
  </si>
  <si>
    <t>PALMILLA</t>
  </si>
  <si>
    <t>SAN JOSE DE PERQUIN</t>
  </si>
  <si>
    <t>ALTO PANGUE</t>
  </si>
  <si>
    <t>GRANEROS</t>
  </si>
  <si>
    <t>CASA BLANCA</t>
  </si>
  <si>
    <t>SAN JORGE DE ROMERAL</t>
  </si>
  <si>
    <t>LA ESTANCILLA</t>
  </si>
  <si>
    <t>EL PICASO</t>
  </si>
  <si>
    <t>CUMPEO</t>
  </si>
  <si>
    <t>GUAICO 1</t>
  </si>
  <si>
    <t>GUAICO BAJO</t>
  </si>
  <si>
    <t>SAN RICARDO</t>
  </si>
  <si>
    <t>MALLOA</t>
  </si>
  <si>
    <t>PELEQUEN</t>
  </si>
  <si>
    <t>QUECHEREGUAS</t>
  </si>
  <si>
    <t>QUESERIA</t>
  </si>
  <si>
    <t>VENTANA DEL BAJO</t>
  </si>
  <si>
    <t>EL GUINDO</t>
  </si>
  <si>
    <t>LOS MAITENES</t>
  </si>
  <si>
    <t>PIDIHUINCO</t>
  </si>
  <si>
    <t>SANTA MARTA</t>
  </si>
  <si>
    <t>PANGUILEMITO</t>
  </si>
  <si>
    <t>SANTA ADELA</t>
  </si>
  <si>
    <t>LOS ROBLES</t>
  </si>
  <si>
    <t>LA QUIRIGUA</t>
  </si>
  <si>
    <t>COMALLE</t>
  </si>
  <si>
    <t>LA CHISPA</t>
  </si>
  <si>
    <t>SANTA LAURA</t>
  </si>
  <si>
    <t>ABRANQUIL</t>
  </si>
  <si>
    <t>LA ROJINA</t>
  </si>
  <si>
    <t>ITAHUE</t>
  </si>
  <si>
    <t>LOS CUNCOS</t>
  </si>
  <si>
    <t>LONTUE</t>
  </si>
  <si>
    <t>SAN VALENTIN</t>
  </si>
  <si>
    <t>MACHALI</t>
  </si>
  <si>
    <t>PEÑAFLOR VIEJO</t>
  </si>
  <si>
    <t>SAN GERARDO</t>
  </si>
  <si>
    <t>MIRAFLORES</t>
  </si>
  <si>
    <t>EL SAUCE</t>
  </si>
  <si>
    <t>PIDIHUINCO ALTO</t>
  </si>
  <si>
    <t>SANTA AGUEDAMO</t>
  </si>
  <si>
    <t>PANGUE ABAJO</t>
  </si>
  <si>
    <t>PANIMAVIDA</t>
  </si>
  <si>
    <t>GUAICO CENTRO</t>
  </si>
  <si>
    <t>QUESERÍA</t>
  </si>
  <si>
    <t>3 ESQUINAS</t>
  </si>
  <si>
    <t>MONTE OSCURO</t>
  </si>
  <si>
    <t>ODESSA</t>
  </si>
  <si>
    <t>GUICO 3</t>
  </si>
  <si>
    <t>EL BOLDAL</t>
  </si>
  <si>
    <t>LAS VIÑAS - GUAICO 2</t>
  </si>
  <si>
    <t>SAN ROQUE</t>
  </si>
  <si>
    <t>MONSANTO</t>
  </si>
  <si>
    <t>POMAIRE</t>
  </si>
  <si>
    <t>LAUTARO</t>
  </si>
  <si>
    <t>PILLANLELBUN</t>
  </si>
  <si>
    <t>BOTALCURA</t>
  </si>
  <si>
    <t>SANTA CRUZ</t>
  </si>
  <si>
    <t>APALTA</t>
  </si>
  <si>
    <t>LA PALMA</t>
  </si>
  <si>
    <t>ISLA DE MARCHANT</t>
  </si>
  <si>
    <t>TUTUQUEN</t>
  </si>
  <si>
    <t>CUNAQUITO</t>
  </si>
  <si>
    <t>MAQUEHUA</t>
  </si>
  <si>
    <t>PAINE</t>
  </si>
  <si>
    <t>SAN BERNARDO</t>
  </si>
  <si>
    <t>NOS</t>
  </si>
  <si>
    <t>HOSPITAL</t>
  </si>
  <si>
    <t>AGUILA SUR</t>
  </si>
  <si>
    <t>LO HERRERA</t>
  </si>
  <si>
    <t>MALLOCO</t>
  </si>
  <si>
    <t>LA PINTANA</t>
  </si>
  <si>
    <t>EL MARISCAL</t>
  </si>
  <si>
    <t>HUELQUEN</t>
  </si>
  <si>
    <t>LO ESPEJO</t>
  </si>
  <si>
    <t>CALERA DE TANGO</t>
  </si>
  <si>
    <t>CAMINO LONQUEN</t>
  </si>
  <si>
    <t>LOS MORROS</t>
  </si>
  <si>
    <t>RENGO</t>
  </si>
  <si>
    <t>ROSARIO</t>
  </si>
  <si>
    <t>EL ROMERAL</t>
  </si>
  <si>
    <t>BAJO LA TUNA</t>
  </si>
  <si>
    <t>PORVENIR- RIO CLARO</t>
  </si>
  <si>
    <t>SAN VICENTE</t>
  </si>
  <si>
    <t>LONCOMILLA</t>
  </si>
  <si>
    <t>LA MONTAÑA DE TENO</t>
  </si>
  <si>
    <t>SANATORIO</t>
  </si>
  <si>
    <t>PADRE HURTADO</t>
  </si>
  <si>
    <t>VILUCO</t>
  </si>
  <si>
    <t>ISLA DEL MAIPO</t>
  </si>
  <si>
    <t>ISLA DE MAIPO</t>
  </si>
  <si>
    <t>CAMPUSANO</t>
  </si>
  <si>
    <t>LORETO</t>
  </si>
  <si>
    <t>SANTA JULIA</t>
  </si>
  <si>
    <t>CALLEJONES</t>
  </si>
  <si>
    <t>SAN AGUSTIN</t>
  </si>
  <si>
    <t>LA FLOR</t>
  </si>
  <si>
    <t>EL PORVENIR</t>
  </si>
  <si>
    <t>HUASO CAMPESINO</t>
  </si>
  <si>
    <t>MILLAMALAL</t>
  </si>
  <si>
    <t>AGUSTIN AURORA</t>
  </si>
  <si>
    <t>LONQUEN</t>
  </si>
  <si>
    <t>CAMINO LONQUEN /ROTO CHILENO</t>
  </si>
  <si>
    <t>SAN ENRIQUE</t>
  </si>
  <si>
    <t>EL TAMBO</t>
  </si>
  <si>
    <t>PEOR ES NADA</t>
  </si>
  <si>
    <t>EL PEUMAL</t>
  </si>
  <si>
    <t>NANCAGUA</t>
  </si>
  <si>
    <t>SAN AGUSTIN DE AURORA</t>
  </si>
  <si>
    <t>COLINA</t>
  </si>
  <si>
    <t>AURORA</t>
  </si>
  <si>
    <t>SANTA MARIA</t>
  </si>
  <si>
    <t>SAN AGUSTIN AURORA</t>
  </si>
  <si>
    <t>COIBUNGO</t>
  </si>
  <si>
    <t>HUILQUILEMU</t>
  </si>
  <si>
    <t>REQUINOA</t>
  </si>
  <si>
    <t>TOTIHUE</t>
  </si>
  <si>
    <t>EL MONTE</t>
  </si>
  <si>
    <t>LA BAQUEDANO</t>
  </si>
  <si>
    <t>LA CASONA</t>
  </si>
  <si>
    <t>NILO LIZAMA</t>
  </si>
  <si>
    <t>GORBEA</t>
  </si>
  <si>
    <t>HUELLANTO ALTO</t>
  </si>
  <si>
    <t>PIGA</t>
  </si>
  <si>
    <t>REMOLACHA</t>
  </si>
  <si>
    <t>CHILLÁN</t>
  </si>
  <si>
    <t>CUREPTO</t>
  </si>
  <si>
    <t>CURICÓ</t>
  </si>
  <si>
    <t>SOYA</t>
  </si>
  <si>
    <t>RÍO CLARO</t>
  </si>
  <si>
    <t>COLBÚN</t>
  </si>
  <si>
    <t>PIONEER</t>
  </si>
  <si>
    <t>LAS PALMERAS</t>
  </si>
  <si>
    <t>SAMUELINA</t>
  </si>
  <si>
    <t>GONZALINA</t>
  </si>
  <si>
    <t>TIL TIL</t>
  </si>
  <si>
    <t>CHACABUCO</t>
  </si>
  <si>
    <t>LA COMPAÑIA</t>
  </si>
  <si>
    <t>SANTA ISABEL</t>
  </si>
  <si>
    <t>TRAPICHE</t>
  </si>
  <si>
    <t>CAMINO LAS TRANCAS</t>
  </si>
  <si>
    <t>PAJARITOS</t>
  </si>
  <si>
    <t>CALLEJON MARIPOSAS</t>
  </si>
  <si>
    <t>LA RAYA</t>
  </si>
  <si>
    <t>SAN RAMON</t>
  </si>
  <si>
    <t>DOÑIHUE</t>
  </si>
  <si>
    <t>PALO SECO</t>
  </si>
  <si>
    <t>STA TERESA DE TANGO</t>
  </si>
  <si>
    <t>TREBULCO</t>
  </si>
  <si>
    <t>VALDIVIA DE PAINE</t>
  </si>
  <si>
    <t>CHIÑIGUE</t>
  </si>
  <si>
    <t>EL HUIQUE</t>
  </si>
  <si>
    <t>LO ECHEVERS</t>
  </si>
  <si>
    <t>LAMPA</t>
  </si>
  <si>
    <t>EL BOSQUE</t>
  </si>
  <si>
    <t>LA CAMPIÑA</t>
  </si>
  <si>
    <t>STA. CRUZ</t>
  </si>
  <si>
    <t>RAUCO</t>
  </si>
  <si>
    <t>BATUCO</t>
  </si>
  <si>
    <t>OLIVETO</t>
  </si>
  <si>
    <t>PUANGUE</t>
  </si>
  <si>
    <t>LA VARA</t>
  </si>
  <si>
    <t>LO CAMPIÑA</t>
  </si>
  <si>
    <t>STA. ROSA</t>
  </si>
  <si>
    <t>LONQUÉN</t>
  </si>
  <si>
    <t>HUECHURABA</t>
  </si>
  <si>
    <t>SAN JOSÉ</t>
  </si>
  <si>
    <t>SANTA TERESA DE TANGO</t>
  </si>
  <si>
    <t>SANTA FILOMENA</t>
  </si>
  <si>
    <t>LO INFANTE</t>
  </si>
  <si>
    <t>PERALILLO</t>
  </si>
  <si>
    <t>CRUCE PERALILLO</t>
  </si>
  <si>
    <t>LA CHIPANA</t>
  </si>
  <si>
    <t>LAS PALMAS</t>
  </si>
  <si>
    <t>RINCONADA</t>
  </si>
  <si>
    <t>SAN JAVIER DE LONCOMILLA</t>
  </si>
  <si>
    <t>LOS ANDES</t>
  </si>
  <si>
    <t>COQUIMBITO</t>
  </si>
  <si>
    <t>CARRIZAL</t>
  </si>
  <si>
    <t>PUELLO</t>
  </si>
  <si>
    <t>CAIVICO</t>
  </si>
  <si>
    <t>LA GONZALINA</t>
  </si>
  <si>
    <t>XV</t>
  </si>
  <si>
    <t>ARICA</t>
  </si>
  <si>
    <t>AZAPA</t>
  </si>
  <si>
    <t>CHACA</t>
  </si>
  <si>
    <t>EL OLIVETO</t>
  </si>
  <si>
    <t>CHICUREO</t>
  </si>
  <si>
    <t>RINCONADA DE MAIPÚ</t>
  </si>
  <si>
    <t>NOVICIADO</t>
  </si>
  <si>
    <t>LA APARCIÓN</t>
  </si>
  <si>
    <t>MAIPÚ</t>
  </si>
  <si>
    <t>STA MARIANA</t>
  </si>
  <si>
    <t>RANGUE</t>
  </si>
  <si>
    <t>LO CARMONA</t>
  </si>
  <si>
    <t>EL PAICO</t>
  </si>
  <si>
    <t>CARAMPANGUE</t>
  </si>
  <si>
    <t>LO BOZA</t>
  </si>
  <si>
    <t>CHIÑIHUE</t>
  </si>
  <si>
    <t>MIPÚ</t>
  </si>
  <si>
    <t>VILLASECA</t>
  </si>
  <si>
    <t>LOS QUILOS</t>
  </si>
  <si>
    <t>EL TRANSITO</t>
  </si>
  <si>
    <t>LA FARFANA</t>
  </si>
  <si>
    <t>RUMAY</t>
  </si>
  <si>
    <t>ESMERALDA</t>
  </si>
  <si>
    <t>PANGUE</t>
  </si>
  <si>
    <t>MALLARAUCO</t>
  </si>
  <si>
    <t>MAIPO</t>
  </si>
  <si>
    <t>SARGENTO CANDELARIA</t>
  </si>
  <si>
    <t>TRANSITO</t>
  </si>
  <si>
    <t>MOSTAZAL</t>
  </si>
  <si>
    <t>LA PRIMAVERA</t>
  </si>
  <si>
    <t>SAN BENITO</t>
  </si>
  <si>
    <t>QUINAMAVIDA</t>
  </si>
  <si>
    <t>LAS FLORES</t>
  </si>
  <si>
    <t>LUMBRERAS</t>
  </si>
  <si>
    <t>VIRQUENCO</t>
  </si>
  <si>
    <t>LA PITA</t>
  </si>
  <si>
    <t>MARISCAL</t>
  </si>
  <si>
    <t>POLPAICO</t>
  </si>
  <si>
    <t>CERVERA</t>
  </si>
  <si>
    <t>CUNACO</t>
  </si>
  <si>
    <t>QUILICURA</t>
  </si>
  <si>
    <t>CALLEJON STA. ISABEL</t>
  </si>
  <si>
    <t>LA HIJUELA</t>
  </si>
  <si>
    <t>CAMINO DEL DIABLO</t>
  </si>
  <si>
    <t>PIRQUE</t>
  </si>
  <si>
    <t>CATEMITO</t>
  </si>
  <si>
    <t>EL TRÁNSITO</t>
  </si>
  <si>
    <t>LAS VIOLETAS</t>
  </si>
  <si>
    <t>SECTOR LO DE LOBOS</t>
  </si>
  <si>
    <t>LOS LOBOS</t>
  </si>
  <si>
    <t>LO DE LOBOS</t>
  </si>
  <si>
    <t>CHAMPA</t>
  </si>
  <si>
    <t>MARIA PINTO</t>
  </si>
  <si>
    <t>RANCHILLO</t>
  </si>
  <si>
    <t>SANTA ADRIANA</t>
  </si>
  <si>
    <t>JAZMINEZ</t>
  </si>
  <si>
    <t>HUELQUÉN</t>
  </si>
  <si>
    <t>EL GUANACO</t>
  </si>
  <si>
    <t>ALTO JAHUE</t>
  </si>
  <si>
    <t>TIL - TIL</t>
  </si>
  <si>
    <t>EL CANELO</t>
  </si>
  <si>
    <t>CHORRILLO 1</t>
  </si>
  <si>
    <t>EL CASTILLO</t>
  </si>
  <si>
    <t>CALLEJON SAN JAVIER</t>
  </si>
  <si>
    <t>LOS COPIHUES</t>
  </si>
  <si>
    <t>APARICION</t>
  </si>
  <si>
    <t>LA PLATINA</t>
  </si>
  <si>
    <t>LAS MERCEDES</t>
  </si>
  <si>
    <t>EL BARRANCÓN</t>
  </si>
  <si>
    <t>PAICO</t>
  </si>
  <si>
    <t>CRUCE CHORRILLOS 1</t>
  </si>
  <si>
    <t>SAN JOSE</t>
  </si>
  <si>
    <t>AGUA BUENA</t>
  </si>
  <si>
    <t>LOS LINGUES</t>
  </si>
  <si>
    <t>SECTOR CAÑADILLA</t>
  </si>
  <si>
    <t>LA HIGUERA</t>
  </si>
  <si>
    <t>HUEMUL</t>
  </si>
  <si>
    <t>LAS DELICIAS</t>
  </si>
  <si>
    <t>SEMILLAS BAER</t>
  </si>
  <si>
    <t>CAJON</t>
  </si>
  <si>
    <t>SGS</t>
  </si>
  <si>
    <t>SG-2000</t>
  </si>
  <si>
    <t>SEMILLAS GENERACION 2000 LTDA.</t>
  </si>
  <si>
    <t>TRAIGUÉN</t>
  </si>
  <si>
    <t>QUINTRILPE</t>
  </si>
  <si>
    <t>GENERAL LOPEZ</t>
  </si>
  <si>
    <t>NACIMIENTO</t>
  </si>
  <si>
    <t>VILLA ROSA</t>
  </si>
  <si>
    <t>PATA GALLINA</t>
  </si>
  <si>
    <t>PITRUFQUÉN</t>
  </si>
  <si>
    <t>COMUY</t>
  </si>
  <si>
    <t>RIO BUENO</t>
  </si>
  <si>
    <t>CHAMPULLI</t>
  </si>
  <si>
    <t>TRES YUGOS</t>
  </si>
  <si>
    <t>SANTA PAULA</t>
  </si>
  <si>
    <t>HUILIO</t>
  </si>
  <si>
    <t>LICURA</t>
  </si>
  <si>
    <t>TEMUCO</t>
  </si>
  <si>
    <t>PUMALAL</t>
  </si>
  <si>
    <t>GALVARINO</t>
  </si>
  <si>
    <t>PERQUENCO</t>
  </si>
  <si>
    <t>NUEVOS CAMPOS</t>
  </si>
  <si>
    <t>PICHIDEGUA</t>
  </si>
  <si>
    <t>SN.ROBERTO PICHIDEGUA</t>
  </si>
  <si>
    <t>PANIAHUE</t>
  </si>
  <si>
    <t>SAN ROBERTO</t>
  </si>
  <si>
    <t>SARMIENTO</t>
  </si>
  <si>
    <t>EL HUAPI</t>
  </si>
  <si>
    <t>EL CONDOR</t>
  </si>
  <si>
    <t>PANAMA</t>
  </si>
  <si>
    <t>CALLEUQUE</t>
  </si>
  <si>
    <t>VARA GRUESA</t>
  </si>
  <si>
    <t>ORRILLA TINGUIRIRICA</t>
  </si>
  <si>
    <t>EL TRANQUE</t>
  </si>
  <si>
    <t>CHÉPICA</t>
  </si>
  <si>
    <t>ORILLA DE AUQUINCO</t>
  </si>
  <si>
    <t>LLANCANAO</t>
  </si>
  <si>
    <t>LLAY - LLAY</t>
  </si>
  <si>
    <t>SAN JOSE REINOSO</t>
  </si>
  <si>
    <t>PEUMAL</t>
  </si>
  <si>
    <t>SANTA DELIA</t>
  </si>
  <si>
    <t>BUENA FE-MOLINA</t>
  </si>
  <si>
    <t>BAJOS DE LIRCAY</t>
  </si>
  <si>
    <t>EL BOLSICO</t>
  </si>
  <si>
    <t>CAMINO REAL S/N PARADERO 18</t>
  </si>
  <si>
    <t>EL SALTO DE ALMAHUE</t>
  </si>
  <si>
    <t>PUTAGAN</t>
  </si>
  <si>
    <t>LA MONTANA</t>
  </si>
  <si>
    <t>SAN FELIPE</t>
  </si>
  <si>
    <t>SAN GREGORIO</t>
  </si>
  <si>
    <t>SAN SEBASTIAN</t>
  </si>
  <si>
    <t>POLCURA</t>
  </si>
  <si>
    <t>PUNTA DE DIAMANTE</t>
  </si>
  <si>
    <t>RARI</t>
  </si>
  <si>
    <t>PAREDONES</t>
  </si>
  <si>
    <t>LA TUNA</t>
  </si>
  <si>
    <t>CHEQUENLEMU</t>
  </si>
  <si>
    <t>WINTERSEED</t>
  </si>
  <si>
    <t>DUAO</t>
  </si>
  <si>
    <t>SAN LUIS DE ALICO</t>
  </si>
  <si>
    <t>SAN LUIS</t>
  </si>
  <si>
    <t>SAN JORGE</t>
  </si>
  <si>
    <t>SAN JOAQUIN</t>
  </si>
  <si>
    <t>LA NIVANA</t>
  </si>
  <si>
    <t>LA ISLITA</t>
  </si>
  <si>
    <t>LA CRUZ</t>
  </si>
  <si>
    <t>LA ESTRELLA</t>
  </si>
  <si>
    <t>EL ALAMO NORTE</t>
  </si>
  <si>
    <t>ALAMO NORTE</t>
  </si>
  <si>
    <t>ESPECIE</t>
  </si>
  <si>
    <t>TEMPORADA</t>
  </si>
  <si>
    <t>PRODUCTOR</t>
  </si>
  <si>
    <t>REGION</t>
  </si>
  <si>
    <t>COMUNA</t>
  </si>
  <si>
    <t>EVENTO</t>
  </si>
  <si>
    <t>2012-2013</t>
  </si>
  <si>
    <t>METROPOLITANA</t>
  </si>
  <si>
    <t>ARAUCANIA</t>
  </si>
  <si>
    <t>BIO-BIO</t>
  </si>
  <si>
    <t>SGS LIMITADA, SOCIEDAD DE CONTROL</t>
  </si>
  <si>
    <t>DP-004114-3 X MON-00603-6 X MON-00810-6 X SYN-IR604-5</t>
  </si>
  <si>
    <t>AGRÍCOLA HUENCHUÑIR Y HUECHE LTDA (AGRÍCOLA NEW SEED)</t>
  </si>
  <si>
    <t>NILO LIZAMA  ARIAS</t>
  </si>
  <si>
    <t>Convencional no GMO</t>
  </si>
  <si>
    <t>INIA</t>
  </si>
  <si>
    <t>VID</t>
  </si>
  <si>
    <t>N/A</t>
  </si>
  <si>
    <t>Ver en cuadro anexo</t>
  </si>
  <si>
    <t>PCAMBIA34 4756 1 X</t>
  </si>
  <si>
    <t>PBIN(ENDONAG) 4756 1 X</t>
  </si>
  <si>
    <t>PBION19ESR 4756 1 X</t>
  </si>
  <si>
    <t>PBI121 C NAG</t>
  </si>
  <si>
    <t>comentario</t>
  </si>
  <si>
    <t>Bajo invernadero</t>
  </si>
  <si>
    <t>Mismo ensayo  bajo jaula antiáfido</t>
  </si>
  <si>
    <t>coordenada corregida</t>
  </si>
  <si>
    <t>ACS-ZM002-2</t>
  </si>
  <si>
    <t>DAS-01507-1 x DAS-59122-7</t>
  </si>
  <si>
    <t>DAS-01507-1 x DP-32138-1x MON-00603-6</t>
  </si>
  <si>
    <t>DAS-01507-1 x MON-00603-6</t>
  </si>
  <si>
    <t>DAS-01507-1 x MON-88017-3 x MON-89034-3</t>
  </si>
  <si>
    <t>DAS -01607-1 x MON-89034-3 x MON-88017-3</t>
  </si>
  <si>
    <t>DAS-59122-7 x MON-00810-6</t>
  </si>
  <si>
    <t>DAS-59122-7 x MON-00810-6 x SYN-IR604-5</t>
  </si>
  <si>
    <t>MON-00021-9 x SYN-BT011-1</t>
  </si>
  <si>
    <t>MON-00021-9 x SYN-BT011-1 x SYN-IR162-4</t>
  </si>
  <si>
    <t>MON-00021-9 x SYN-BT011-1 x SYN-IR162-4 x SYN-IR604-5</t>
  </si>
  <si>
    <t>MON-00021-9 x SYN-BT011-1 x SYN-IR604-5</t>
  </si>
  <si>
    <t>MON-00603-6 x MON-00810-6</t>
  </si>
  <si>
    <t>MON-88017-3 x MON-89034-3</t>
  </si>
  <si>
    <t>SYN-BT011-1 x SYN-IR162-4</t>
  </si>
  <si>
    <t>SYN-BT011-1 x SYN-IR164-5</t>
  </si>
  <si>
    <t>DAS-01507-1 x DAS-59122-7 // MON-88017-3 x MON 89034-3</t>
  </si>
  <si>
    <t xml:space="preserve">DAS-01507-1 x MON-00603-6 </t>
  </si>
  <si>
    <t>DAS-01507-1// DAS-59122-7</t>
  </si>
  <si>
    <t>DAS-01507-1 x MON-00603-6//DAS-59122-7 x MON -00810-6</t>
  </si>
  <si>
    <t>MON-00603-6//MON-00810-6</t>
  </si>
  <si>
    <t>MON-00021-9 // SYN-BT011-1 x SYN-IR604-5</t>
  </si>
  <si>
    <t xml:space="preserve">MON-00810-6 </t>
  </si>
  <si>
    <t xml:space="preserve">SYN-BT011-1 x SYN-IR604-5 </t>
  </si>
  <si>
    <t>SERVICIO AGRÍCOLA Y GANADERO</t>
  </si>
  <si>
    <t>2012-2014</t>
  </si>
  <si>
    <t>2012-2015</t>
  </si>
  <si>
    <t>2012-2016</t>
  </si>
  <si>
    <t>2012-2017</t>
  </si>
  <si>
    <t>2012-2018</t>
  </si>
  <si>
    <t>2012-2019</t>
  </si>
  <si>
    <t>2012-2020</t>
  </si>
  <si>
    <t>2012-2021</t>
  </si>
  <si>
    <t>2012-2022</t>
  </si>
  <si>
    <t>2012-2023</t>
  </si>
  <si>
    <t>2012-2024</t>
  </si>
  <si>
    <t>2012-2025</t>
  </si>
  <si>
    <t>2012-2026</t>
  </si>
  <si>
    <t>2012-2027</t>
  </si>
  <si>
    <t>2012-2028</t>
  </si>
  <si>
    <t>2012-2029</t>
  </si>
  <si>
    <t>2012-2030</t>
  </si>
  <si>
    <t>2012-2031</t>
  </si>
  <si>
    <t>2012-2032</t>
  </si>
  <si>
    <t>2012-2033</t>
  </si>
  <si>
    <t>2012-2034</t>
  </si>
  <si>
    <t>2012-2035</t>
  </si>
  <si>
    <t>2012-2036</t>
  </si>
  <si>
    <t>2012-2037</t>
  </si>
  <si>
    <t>2012-2038</t>
  </si>
  <si>
    <t>2012-2039</t>
  </si>
  <si>
    <t>2012-2040</t>
  </si>
  <si>
    <t>2012-2041</t>
  </si>
  <si>
    <t>2012-2042</t>
  </si>
  <si>
    <t>2012-2043</t>
  </si>
  <si>
    <t>2012-2044</t>
  </si>
  <si>
    <t>2012-2045</t>
  </si>
  <si>
    <t>Corresponde al mismo predio. Se realizan post-controles dentro del marco del proceso de Certificación de Semillas.</t>
  </si>
  <si>
    <t xml:space="preserve">  </t>
  </si>
  <si>
    <t xml:space="preserve">   </t>
  </si>
  <si>
    <t>el punto inscrito es de 0,8ha y este mismo es utilizado por 2 semilleros de 0,4ha  cada uno, que se encuentran colindantes y corresponden a la misma línea (líneas puras).</t>
  </si>
  <si>
    <t>Nº ID</t>
  </si>
  <si>
    <t>ID</t>
  </si>
  <si>
    <t>SYNGENTA</t>
  </si>
  <si>
    <t>Se opone a entrega de la información</t>
  </si>
  <si>
    <t xml:space="preserve">    </t>
  </si>
  <si>
    <t>Ubicación georeferenciada de semilleros OGMs 2012-2013</t>
  </si>
  <si>
    <t>AAAAAE76vUw=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</si>
</sst>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sz val="11"/>
      <color rgb="FF1F497D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9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6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0" xfId="0" applyBorder="1"/>
    <xf numFmtId="0" fontId="14" fillId="0" borderId="10" xfId="0" applyFont="1" applyBorder="1"/>
    <xf numFmtId="0" fontId="0" fillId="0" borderId="10" xfId="0" applyBorder="1" applyAlignment="1">
      <alignment vertical="top" wrapText="1"/>
    </xf>
    <xf numFmtId="0" fontId="0" fillId="0" borderId="10" xfId="0" applyFill="1" applyBorder="1"/>
    <xf numFmtId="0" fontId="0" fillId="33" borderId="10" xfId="0" applyFill="1" applyBorder="1"/>
    <xf numFmtId="3" fontId="0" fillId="0" borderId="10" xfId="0" applyNumberFormat="1" applyBorder="1"/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0" fillId="0" borderId="12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0" xfId="0" applyBorder="1" applyAlignment="1">
      <alignment horizontal="left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csmtest.sag.gob.cl/img/i_logoCertificado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csmtest.sag.gob.cl/img/i_logoCertificado.JPG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19050</xdr:colOff>
      <xdr:row>0</xdr:row>
      <xdr:rowOff>66675</xdr:rowOff>
    </xdr:from>
    <xdr:to>
      <xdr:col>1</xdr:col>
      <xdr:colOff>38100</xdr:colOff>
      <xdr:row>4</xdr:row>
      <xdr:rowOff>457200</xdr:rowOff>
    </xdr:to>
    <xdr:pic>
      <xdr:nvPicPr>
        <xdr:cNvPr id="1026" name="WucTopInforme1_asdasd" descr="Cargando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12763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47625</xdr:rowOff>
    </xdr:from>
    <xdr:to>
      <xdr:col>1</xdr:col>
      <xdr:colOff>790575</xdr:colOff>
      <xdr:row>6</xdr:row>
      <xdr:rowOff>57150</xdr:rowOff>
    </xdr:to>
    <xdr:pic>
      <xdr:nvPicPr>
        <xdr:cNvPr id="2" name="WucTopInforme1_asdasd" descr="Cargando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7625"/>
          <a:ext cx="12763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2:P2186"/>
  <sheetViews>
    <sheetView showGridLines="0" tabSelected="1" workbookViewId="0">
      <selection activeCell="C5" sqref="C5"/>
    </sheetView>
  </sheetViews>
  <sheetFormatPr baseColWidth="10" defaultRowHeight="15" x14ac:dyDescent="0.25"/>
  <cols>
    <col min="1" max="1" width="18.85546875" bestFit="1" customWidth="1"/>
    <col min="2" max="2" width="31" bestFit="1" customWidth="1"/>
    <col min="3" max="3" width="11.5703125" bestFit="1" customWidth="1"/>
    <col min="4" max="4" width="7.140625" customWidth="1"/>
    <col min="5" max="5" width="28.42578125" bestFit="1" customWidth="1"/>
    <col min="6" max="6" width="45.5703125" bestFit="1" customWidth="1"/>
    <col min="7" max="7" width="12.140625" bestFit="1" customWidth="1"/>
    <col min="8" max="8" width="22.42578125" bestFit="1" customWidth="1"/>
    <col min="9" max="10" width="45.7109375" bestFit="1" customWidth="1"/>
    <col min="11" max="11" width="13.5703125" bestFit="1" customWidth="1"/>
    <col min="12" max="12" width="12.140625" bestFit="1" customWidth="1"/>
    <col min="13" max="13" width="10" bestFit="1" customWidth="1"/>
    <col min="15" max="15" width="9" customWidth="1"/>
    <col min="16" max="16" width="21.28515625" bestFit="1" customWidth="1"/>
  </cols>
  <sheetData>
    <row r="2" spans="1:16" x14ac:dyDescent="0.25">
      <c r="A2" s="1"/>
      <c r="B2" s="2"/>
    </row>
    <row r="3" spans="1:16" x14ac:dyDescent="0.25">
      <c r="A3" s="1"/>
      <c r="B3" s="2"/>
      <c r="C3" t="s">
        <v>717</v>
      </c>
    </row>
    <row r="4" spans="1:16" x14ac:dyDescent="0.25">
      <c r="A4" s="1"/>
      <c r="B4" s="2"/>
    </row>
    <row r="5" spans="1:16" ht="45" customHeight="1" x14ac:dyDescent="0.25">
      <c r="A5" s="1"/>
      <c r="B5" s="2"/>
    </row>
    <row r="6" spans="1:16" ht="14.25" customHeight="1" x14ac:dyDescent="0.25">
      <c r="A6" s="3" t="s">
        <v>709</v>
      </c>
      <c r="B6" s="3" t="s">
        <v>0</v>
      </c>
      <c r="C6" s="3" t="s">
        <v>712</v>
      </c>
      <c r="D6" s="3" t="s">
        <v>1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  <c r="O6" s="3" t="s">
        <v>12</v>
      </c>
      <c r="P6" s="3" t="s">
        <v>647</v>
      </c>
    </row>
    <row r="7" spans="1:16" x14ac:dyDescent="0.25">
      <c r="A7" s="4" t="s">
        <v>13</v>
      </c>
      <c r="B7" s="4" t="s">
        <v>14</v>
      </c>
      <c r="C7" s="5">
        <v>35320</v>
      </c>
      <c r="D7" s="4" t="s">
        <v>15</v>
      </c>
      <c r="E7" s="4" t="s">
        <v>16</v>
      </c>
      <c r="F7" s="4" t="s">
        <v>16</v>
      </c>
      <c r="G7" s="4" t="s">
        <v>17</v>
      </c>
      <c r="H7" s="4" t="s">
        <v>18</v>
      </c>
      <c r="I7" s="4">
        <v>5345</v>
      </c>
      <c r="J7" s="4">
        <v>5345</v>
      </c>
      <c r="K7" s="5">
        <v>6379975</v>
      </c>
      <c r="L7" s="5">
        <v>293038</v>
      </c>
      <c r="M7" s="5">
        <v>19</v>
      </c>
      <c r="N7" s="5">
        <v>1</v>
      </c>
      <c r="O7" s="5">
        <v>0.1</v>
      </c>
      <c r="P7" s="5" t="s">
        <v>648</v>
      </c>
    </row>
    <row r="8" spans="1:16" x14ac:dyDescent="0.25">
      <c r="A8" s="4" t="s">
        <v>13</v>
      </c>
      <c r="B8" s="4" t="s">
        <v>14</v>
      </c>
      <c r="C8" s="5">
        <v>35321</v>
      </c>
      <c r="D8" s="4" t="s">
        <v>15</v>
      </c>
      <c r="E8" s="4" t="s">
        <v>16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19</v>
      </c>
      <c r="K8" s="5">
        <v>6379975</v>
      </c>
      <c r="L8" s="5">
        <v>293038</v>
      </c>
      <c r="M8" s="5">
        <v>19</v>
      </c>
      <c r="N8" s="5">
        <v>1</v>
      </c>
      <c r="O8" s="5">
        <v>0.01</v>
      </c>
      <c r="P8" s="5" t="s">
        <v>648</v>
      </c>
    </row>
    <row r="9" spans="1:16" x14ac:dyDescent="0.25">
      <c r="A9" s="4" t="s">
        <v>13</v>
      </c>
      <c r="B9" s="4" t="s">
        <v>14</v>
      </c>
      <c r="C9" s="5">
        <v>35322</v>
      </c>
      <c r="D9" s="4" t="s">
        <v>15</v>
      </c>
      <c r="E9" s="4" t="s">
        <v>16</v>
      </c>
      <c r="F9" s="4" t="s">
        <v>16</v>
      </c>
      <c r="G9" s="4" t="s">
        <v>17</v>
      </c>
      <c r="H9" s="4" t="s">
        <v>18</v>
      </c>
      <c r="I9" s="4" t="s">
        <v>20</v>
      </c>
      <c r="J9" s="4" t="s">
        <v>20</v>
      </c>
      <c r="K9" s="5">
        <v>6379975</v>
      </c>
      <c r="L9" s="5">
        <v>293038</v>
      </c>
      <c r="M9" s="5">
        <v>19</v>
      </c>
      <c r="N9" s="5">
        <v>1</v>
      </c>
      <c r="O9" s="5">
        <v>0.04</v>
      </c>
      <c r="P9" s="5" t="s">
        <v>648</v>
      </c>
    </row>
    <row r="10" spans="1:16" x14ac:dyDescent="0.25">
      <c r="A10" s="4" t="s">
        <v>21</v>
      </c>
      <c r="B10" s="4" t="s">
        <v>22</v>
      </c>
      <c r="C10" s="5">
        <v>35650</v>
      </c>
      <c r="D10" s="4" t="s">
        <v>23</v>
      </c>
      <c r="E10" s="4" t="s">
        <v>24</v>
      </c>
      <c r="F10" s="4" t="s">
        <v>25</v>
      </c>
      <c r="G10" s="4" t="s">
        <v>26</v>
      </c>
      <c r="H10" s="4" t="s">
        <v>27</v>
      </c>
      <c r="I10" s="4" t="s">
        <v>715</v>
      </c>
      <c r="J10" s="4" t="s">
        <v>715</v>
      </c>
      <c r="K10" s="5">
        <v>6243748</v>
      </c>
      <c r="L10" s="5">
        <v>277838</v>
      </c>
      <c r="M10" s="5">
        <v>19</v>
      </c>
      <c r="N10" s="5">
        <v>5</v>
      </c>
      <c r="O10" s="5">
        <v>100</v>
      </c>
      <c r="P10" s="5"/>
    </row>
    <row r="11" spans="1:16" x14ac:dyDescent="0.25">
      <c r="A11" s="4" t="s">
        <v>21</v>
      </c>
      <c r="B11" s="4" t="s">
        <v>22</v>
      </c>
      <c r="C11" s="5">
        <v>35986</v>
      </c>
      <c r="D11" s="4" t="s">
        <v>23</v>
      </c>
      <c r="E11" s="4" t="s">
        <v>28</v>
      </c>
      <c r="F11" s="4" t="s">
        <v>29</v>
      </c>
      <c r="G11" s="4" t="s">
        <v>26</v>
      </c>
      <c r="H11" s="4" t="s">
        <v>27</v>
      </c>
      <c r="I11" s="4" t="s">
        <v>715</v>
      </c>
      <c r="J11" s="4" t="s">
        <v>715</v>
      </c>
      <c r="K11" s="5">
        <v>6268985</v>
      </c>
      <c r="L11" s="5">
        <v>345619</v>
      </c>
      <c r="M11" s="5">
        <v>19</v>
      </c>
      <c r="N11" s="5">
        <v>2</v>
      </c>
      <c r="O11" s="5">
        <v>55</v>
      </c>
      <c r="P11" s="5"/>
    </row>
    <row r="12" spans="1:16" x14ac:dyDescent="0.25">
      <c r="A12" s="4" t="s">
        <v>21</v>
      </c>
      <c r="B12" s="4" t="s">
        <v>22</v>
      </c>
      <c r="C12" s="5">
        <v>36253</v>
      </c>
      <c r="D12" s="4" t="s">
        <v>23</v>
      </c>
      <c r="E12" s="4" t="s">
        <v>31</v>
      </c>
      <c r="F12" s="4" t="s">
        <v>32</v>
      </c>
      <c r="G12" s="4" t="s">
        <v>26</v>
      </c>
      <c r="H12" s="4" t="s">
        <v>27</v>
      </c>
      <c r="I12" s="4" t="s">
        <v>715</v>
      </c>
      <c r="J12" s="4" t="s">
        <v>715</v>
      </c>
      <c r="K12" s="5">
        <v>6291225</v>
      </c>
      <c r="L12" s="5">
        <v>331793</v>
      </c>
      <c r="M12" s="5">
        <v>19</v>
      </c>
      <c r="N12" s="5">
        <v>1</v>
      </c>
      <c r="O12" s="5">
        <v>15</v>
      </c>
      <c r="P12" s="5"/>
    </row>
    <row r="13" spans="1:16" x14ac:dyDescent="0.25">
      <c r="A13" s="4" t="s">
        <v>21</v>
      </c>
      <c r="B13" s="4" t="s">
        <v>22</v>
      </c>
      <c r="C13" s="5">
        <v>37312</v>
      </c>
      <c r="D13" s="4" t="s">
        <v>23</v>
      </c>
      <c r="E13" s="4" t="s">
        <v>24</v>
      </c>
      <c r="F13" s="4" t="s">
        <v>25</v>
      </c>
      <c r="G13" s="4" t="s">
        <v>26</v>
      </c>
      <c r="H13" s="4" t="s">
        <v>27</v>
      </c>
      <c r="I13" s="4" t="s">
        <v>715</v>
      </c>
      <c r="J13" s="4" t="s">
        <v>715</v>
      </c>
      <c r="K13" s="5">
        <v>6242352</v>
      </c>
      <c r="L13" s="5">
        <v>277951</v>
      </c>
      <c r="M13" s="5">
        <v>19</v>
      </c>
      <c r="N13" s="5">
        <v>4</v>
      </c>
      <c r="O13" s="5">
        <v>60</v>
      </c>
      <c r="P13" s="5"/>
    </row>
    <row r="14" spans="1:16" x14ac:dyDescent="0.25">
      <c r="A14" s="4" t="s">
        <v>21</v>
      </c>
      <c r="B14" s="4" t="s">
        <v>22</v>
      </c>
      <c r="C14" s="5">
        <v>37407</v>
      </c>
      <c r="D14" s="4" t="s">
        <v>716</v>
      </c>
      <c r="E14" s="4" t="s">
        <v>34</v>
      </c>
      <c r="F14" s="4" t="s">
        <v>35</v>
      </c>
      <c r="G14" s="4" t="s">
        <v>26</v>
      </c>
      <c r="H14" s="4" t="s">
        <v>27</v>
      </c>
      <c r="I14" s="4" t="s">
        <v>715</v>
      </c>
      <c r="J14" s="4" t="s">
        <v>715</v>
      </c>
      <c r="K14" s="5">
        <v>6127910</v>
      </c>
      <c r="L14" s="5">
        <v>326311</v>
      </c>
      <c r="M14" s="5">
        <v>19</v>
      </c>
      <c r="N14" s="5">
        <v>1</v>
      </c>
      <c r="O14" s="5">
        <v>8</v>
      </c>
      <c r="P14" s="5"/>
    </row>
    <row r="15" spans="1:16" x14ac:dyDescent="0.25">
      <c r="A15" s="4" t="s">
        <v>21</v>
      </c>
      <c r="B15" s="4" t="s">
        <v>22</v>
      </c>
      <c r="C15" s="5">
        <v>37416</v>
      </c>
      <c r="D15" s="4" t="s">
        <v>33</v>
      </c>
      <c r="E15" s="4" t="s">
        <v>34</v>
      </c>
      <c r="F15" s="4" t="s">
        <v>35</v>
      </c>
      <c r="G15" s="4" t="s">
        <v>26</v>
      </c>
      <c r="H15" s="4" t="s">
        <v>27</v>
      </c>
      <c r="I15" s="4" t="s">
        <v>715</v>
      </c>
      <c r="J15" s="4" t="s">
        <v>715</v>
      </c>
      <c r="K15" s="5">
        <v>6127991</v>
      </c>
      <c r="L15" s="5">
        <v>326652</v>
      </c>
      <c r="M15" s="5">
        <v>19</v>
      </c>
      <c r="N15" s="5">
        <v>1</v>
      </c>
      <c r="O15" s="5">
        <v>15</v>
      </c>
      <c r="P15" s="5"/>
    </row>
    <row r="16" spans="1:16" x14ac:dyDescent="0.25">
      <c r="A16" s="4" t="s">
        <v>21</v>
      </c>
      <c r="B16" s="4" t="s">
        <v>22</v>
      </c>
      <c r="C16" s="5">
        <v>37442</v>
      </c>
      <c r="D16" s="4" t="s">
        <v>37</v>
      </c>
      <c r="E16" s="4" t="s">
        <v>38</v>
      </c>
      <c r="F16" s="4" t="s">
        <v>39</v>
      </c>
      <c r="G16" s="4" t="s">
        <v>26</v>
      </c>
      <c r="H16" s="4" t="s">
        <v>27</v>
      </c>
      <c r="I16" s="4" t="s">
        <v>715</v>
      </c>
      <c r="J16" s="4" t="s">
        <v>715</v>
      </c>
      <c r="K16" s="5">
        <v>6166133</v>
      </c>
      <c r="L16" s="5">
        <v>325308</v>
      </c>
      <c r="M16" s="5">
        <v>19</v>
      </c>
      <c r="N16" s="5">
        <v>1</v>
      </c>
      <c r="O16" s="5">
        <v>10</v>
      </c>
      <c r="P16" s="5"/>
    </row>
    <row r="17" spans="1:16" x14ac:dyDescent="0.25">
      <c r="A17" s="4" t="s">
        <v>21</v>
      </c>
      <c r="B17" s="4" t="s">
        <v>22</v>
      </c>
      <c r="C17" s="5">
        <v>37465</v>
      </c>
      <c r="D17" s="4" t="s">
        <v>33</v>
      </c>
      <c r="E17" s="4" t="s">
        <v>34</v>
      </c>
      <c r="F17" s="4" t="s">
        <v>35</v>
      </c>
      <c r="G17" s="4" t="s">
        <v>26</v>
      </c>
      <c r="H17" s="4" t="s">
        <v>27</v>
      </c>
      <c r="I17" s="4" t="s">
        <v>715</v>
      </c>
      <c r="J17" s="4" t="s">
        <v>715</v>
      </c>
      <c r="K17" s="5">
        <v>6140375</v>
      </c>
      <c r="L17" s="5">
        <v>307765</v>
      </c>
      <c r="M17" s="5">
        <v>19</v>
      </c>
      <c r="N17" s="5">
        <v>1</v>
      </c>
      <c r="O17" s="5">
        <v>9.8000000000000007</v>
      </c>
      <c r="P17" s="5"/>
    </row>
    <row r="18" spans="1:16" x14ac:dyDescent="0.25">
      <c r="A18" s="4" t="s">
        <v>21</v>
      </c>
      <c r="B18" s="4" t="s">
        <v>22</v>
      </c>
      <c r="C18" s="5">
        <v>37642</v>
      </c>
      <c r="D18" s="4" t="s">
        <v>37</v>
      </c>
      <c r="E18" s="4" t="s">
        <v>40</v>
      </c>
      <c r="F18" s="4" t="s">
        <v>41</v>
      </c>
      <c r="G18" s="4" t="s">
        <v>26</v>
      </c>
      <c r="H18" s="4" t="s">
        <v>27</v>
      </c>
      <c r="I18" s="4" t="s">
        <v>715</v>
      </c>
      <c r="J18" s="4" t="s">
        <v>715</v>
      </c>
      <c r="K18" s="5">
        <v>6215550</v>
      </c>
      <c r="L18" s="5">
        <v>347018</v>
      </c>
      <c r="M18" s="5">
        <v>19</v>
      </c>
      <c r="N18" s="5">
        <v>1</v>
      </c>
      <c r="O18" s="5">
        <v>57</v>
      </c>
      <c r="P18" s="5"/>
    </row>
    <row r="19" spans="1:16" x14ac:dyDescent="0.25">
      <c r="A19" s="4" t="s">
        <v>21</v>
      </c>
      <c r="B19" s="4" t="s">
        <v>22</v>
      </c>
      <c r="C19" s="5">
        <v>37709</v>
      </c>
      <c r="D19" s="4" t="s">
        <v>23</v>
      </c>
      <c r="E19" s="4" t="s">
        <v>31</v>
      </c>
      <c r="F19" s="4" t="s">
        <v>32</v>
      </c>
      <c r="G19" s="4" t="s">
        <v>26</v>
      </c>
      <c r="H19" s="4" t="s">
        <v>27</v>
      </c>
      <c r="I19" s="4" t="s">
        <v>715</v>
      </c>
      <c r="J19" s="4" t="s">
        <v>715</v>
      </c>
      <c r="K19" s="5">
        <v>6287113</v>
      </c>
      <c r="L19" s="5">
        <v>332012</v>
      </c>
      <c r="M19" s="5">
        <v>19</v>
      </c>
      <c r="N19" s="5">
        <v>1</v>
      </c>
      <c r="O19" s="5">
        <v>14.5</v>
      </c>
      <c r="P19" s="5"/>
    </row>
    <row r="20" spans="1:16" x14ac:dyDescent="0.25">
      <c r="A20" s="4" t="s">
        <v>21</v>
      </c>
      <c r="B20" s="4" t="s">
        <v>22</v>
      </c>
      <c r="C20" s="5">
        <v>37715</v>
      </c>
      <c r="D20" s="4" t="s">
        <v>23</v>
      </c>
      <c r="E20" s="4" t="s">
        <v>31</v>
      </c>
      <c r="F20" s="4" t="s">
        <v>32</v>
      </c>
      <c r="G20" s="4" t="s">
        <v>26</v>
      </c>
      <c r="H20" s="4" t="s">
        <v>27</v>
      </c>
      <c r="I20" s="4" t="s">
        <v>715</v>
      </c>
      <c r="J20" s="4" t="s">
        <v>715</v>
      </c>
      <c r="K20" s="5">
        <v>6287334</v>
      </c>
      <c r="L20" s="5">
        <v>332352</v>
      </c>
      <c r="M20" s="5">
        <v>19</v>
      </c>
      <c r="N20" s="5">
        <v>1</v>
      </c>
      <c r="O20" s="5">
        <v>14</v>
      </c>
      <c r="P20" s="5"/>
    </row>
    <row r="21" spans="1:16" x14ac:dyDescent="0.25">
      <c r="A21" s="4" t="s">
        <v>21</v>
      </c>
      <c r="B21" s="4" t="s">
        <v>22</v>
      </c>
      <c r="C21" s="5">
        <v>37935</v>
      </c>
      <c r="D21" s="4" t="s">
        <v>23</v>
      </c>
      <c r="E21" s="4" t="s">
        <v>24</v>
      </c>
      <c r="F21" s="4" t="s">
        <v>25</v>
      </c>
      <c r="G21" s="4" t="s">
        <v>26</v>
      </c>
      <c r="H21" s="4" t="s">
        <v>27</v>
      </c>
      <c r="I21" s="4" t="s">
        <v>715</v>
      </c>
      <c r="J21" s="4" t="s">
        <v>715</v>
      </c>
      <c r="K21" s="5">
        <v>6243958</v>
      </c>
      <c r="L21" s="5">
        <v>278754</v>
      </c>
      <c r="M21" s="5">
        <v>19</v>
      </c>
      <c r="N21" s="5">
        <v>4</v>
      </c>
      <c r="O21" s="5">
        <v>70</v>
      </c>
      <c r="P21" s="5"/>
    </row>
    <row r="22" spans="1:16" x14ac:dyDescent="0.25">
      <c r="A22" s="4" t="s">
        <v>21</v>
      </c>
      <c r="B22" s="4" t="s">
        <v>22</v>
      </c>
      <c r="C22" s="5">
        <v>37940</v>
      </c>
      <c r="D22" s="4" t="s">
        <v>23</v>
      </c>
      <c r="E22" s="4" t="s">
        <v>42</v>
      </c>
      <c r="F22" s="4" t="s">
        <v>32</v>
      </c>
      <c r="G22" s="4" t="s">
        <v>26</v>
      </c>
      <c r="H22" s="4" t="s">
        <v>27</v>
      </c>
      <c r="I22" s="4" t="s">
        <v>715</v>
      </c>
      <c r="J22" s="4" t="s">
        <v>715</v>
      </c>
      <c r="K22" s="5">
        <v>6303663</v>
      </c>
      <c r="L22" s="5">
        <v>331045</v>
      </c>
      <c r="M22" s="5">
        <v>19</v>
      </c>
      <c r="N22" s="5">
        <v>1</v>
      </c>
      <c r="O22" s="5">
        <v>16</v>
      </c>
      <c r="P22" s="5"/>
    </row>
    <row r="23" spans="1:16" x14ac:dyDescent="0.25">
      <c r="A23" s="4" t="s">
        <v>21</v>
      </c>
      <c r="B23" s="4" t="s">
        <v>22</v>
      </c>
      <c r="C23" s="5">
        <v>37997</v>
      </c>
      <c r="D23" s="4" t="s">
        <v>33</v>
      </c>
      <c r="E23" s="4" t="s">
        <v>43</v>
      </c>
      <c r="F23" s="4" t="s">
        <v>44</v>
      </c>
      <c r="G23" s="4" t="s">
        <v>26</v>
      </c>
      <c r="H23" s="4" t="s">
        <v>27</v>
      </c>
      <c r="I23" s="4" t="s">
        <v>715</v>
      </c>
      <c r="J23" s="4" t="s">
        <v>715</v>
      </c>
      <c r="K23" s="5">
        <v>6058855</v>
      </c>
      <c r="L23" s="5">
        <v>286055</v>
      </c>
      <c r="M23" s="5">
        <v>19</v>
      </c>
      <c r="N23" s="5">
        <v>1</v>
      </c>
      <c r="O23" s="5">
        <v>64</v>
      </c>
      <c r="P23" s="5"/>
    </row>
    <row r="24" spans="1:16" x14ac:dyDescent="0.25">
      <c r="A24" s="4" t="s">
        <v>21</v>
      </c>
      <c r="B24" s="4" t="s">
        <v>22</v>
      </c>
      <c r="C24" s="5">
        <v>38008</v>
      </c>
      <c r="D24" s="4" t="s">
        <v>33</v>
      </c>
      <c r="E24" s="4" t="s">
        <v>45</v>
      </c>
      <c r="F24" s="4" t="s">
        <v>46</v>
      </c>
      <c r="G24" s="4" t="s">
        <v>26</v>
      </c>
      <c r="H24" s="4" t="s">
        <v>27</v>
      </c>
      <c r="I24" s="4" t="s">
        <v>715</v>
      </c>
      <c r="J24" s="4" t="s">
        <v>715</v>
      </c>
      <c r="K24" s="5">
        <v>6091368</v>
      </c>
      <c r="L24" s="5">
        <v>279489</v>
      </c>
      <c r="M24" s="5">
        <v>19</v>
      </c>
      <c r="N24" s="5">
        <v>1</v>
      </c>
      <c r="O24" s="5">
        <v>27</v>
      </c>
      <c r="P24" s="5"/>
    </row>
    <row r="25" spans="1:16" x14ac:dyDescent="0.25">
      <c r="A25" s="4" t="s">
        <v>21</v>
      </c>
      <c r="B25" s="4" t="s">
        <v>22</v>
      </c>
      <c r="C25" s="5">
        <v>38012</v>
      </c>
      <c r="D25" s="4" t="s">
        <v>33</v>
      </c>
      <c r="E25" s="4" t="s">
        <v>47</v>
      </c>
      <c r="F25" s="4" t="s">
        <v>48</v>
      </c>
      <c r="G25" s="4" t="s">
        <v>26</v>
      </c>
      <c r="H25" s="4" t="s">
        <v>27</v>
      </c>
      <c r="I25" s="4" t="s">
        <v>715</v>
      </c>
      <c r="J25" s="4" t="s">
        <v>715</v>
      </c>
      <c r="K25" s="5">
        <v>6082420</v>
      </c>
      <c r="L25" s="5">
        <v>279787</v>
      </c>
      <c r="M25" s="5">
        <v>19</v>
      </c>
      <c r="N25" s="5">
        <v>1</v>
      </c>
      <c r="O25" s="5">
        <v>30</v>
      </c>
      <c r="P25" s="5"/>
    </row>
    <row r="26" spans="1:16" x14ac:dyDescent="0.25">
      <c r="A26" s="4" t="s">
        <v>21</v>
      </c>
      <c r="B26" s="4" t="s">
        <v>22</v>
      </c>
      <c r="C26" s="5">
        <v>38049</v>
      </c>
      <c r="D26" s="4" t="s">
        <v>33</v>
      </c>
      <c r="E26" s="4" t="s">
        <v>47</v>
      </c>
      <c r="F26" s="4" t="s">
        <v>49</v>
      </c>
      <c r="G26" s="4" t="s">
        <v>26</v>
      </c>
      <c r="H26" s="4" t="s">
        <v>27</v>
      </c>
      <c r="I26" s="4" t="s">
        <v>715</v>
      </c>
      <c r="J26" s="4" t="s">
        <v>715</v>
      </c>
      <c r="K26" s="5">
        <v>6076760</v>
      </c>
      <c r="L26" s="5">
        <v>278999</v>
      </c>
      <c r="M26" s="5">
        <v>19</v>
      </c>
      <c r="N26" s="5">
        <v>1</v>
      </c>
      <c r="O26" s="5">
        <v>13</v>
      </c>
      <c r="P26" s="5"/>
    </row>
    <row r="27" spans="1:16" x14ac:dyDescent="0.25">
      <c r="A27" s="4" t="s">
        <v>21</v>
      </c>
      <c r="B27" s="4" t="s">
        <v>22</v>
      </c>
      <c r="C27" s="5">
        <v>38065</v>
      </c>
      <c r="D27" s="4" t="s">
        <v>33</v>
      </c>
      <c r="E27" s="4" t="s">
        <v>50</v>
      </c>
      <c r="F27" s="4" t="s">
        <v>51</v>
      </c>
      <c r="G27" s="4" t="s">
        <v>26</v>
      </c>
      <c r="H27" s="4" t="s">
        <v>27</v>
      </c>
      <c r="I27" s="4" t="s">
        <v>715</v>
      </c>
      <c r="J27" s="4" t="s">
        <v>715</v>
      </c>
      <c r="K27" s="5">
        <v>6126598</v>
      </c>
      <c r="L27" s="5">
        <v>317799</v>
      </c>
      <c r="M27" s="5">
        <v>19</v>
      </c>
      <c r="N27" s="5">
        <v>1</v>
      </c>
      <c r="O27" s="5">
        <v>19</v>
      </c>
      <c r="P27" s="5"/>
    </row>
    <row r="28" spans="1:16" x14ac:dyDescent="0.25">
      <c r="A28" s="4" t="s">
        <v>21</v>
      </c>
      <c r="B28" s="4" t="s">
        <v>22</v>
      </c>
      <c r="C28" s="5">
        <v>38874</v>
      </c>
      <c r="D28" s="4" t="s">
        <v>33</v>
      </c>
      <c r="E28" s="4" t="s">
        <v>50</v>
      </c>
      <c r="F28" s="4" t="s">
        <v>51</v>
      </c>
      <c r="G28" s="4" t="s">
        <v>26</v>
      </c>
      <c r="H28" s="4" t="s">
        <v>27</v>
      </c>
      <c r="I28" s="4" t="s">
        <v>715</v>
      </c>
      <c r="J28" s="4" t="s">
        <v>715</v>
      </c>
      <c r="K28" s="5">
        <v>6126598</v>
      </c>
      <c r="L28" s="5">
        <v>317799</v>
      </c>
      <c r="M28" s="5">
        <v>19</v>
      </c>
      <c r="N28" s="5">
        <v>1</v>
      </c>
      <c r="O28" s="5">
        <v>10</v>
      </c>
      <c r="P28" s="5"/>
    </row>
    <row r="29" spans="1:16" x14ac:dyDescent="0.25">
      <c r="A29" s="4" t="s">
        <v>21</v>
      </c>
      <c r="B29" s="4" t="s">
        <v>22</v>
      </c>
      <c r="C29" s="5">
        <v>38894</v>
      </c>
      <c r="D29" s="4" t="s">
        <v>33</v>
      </c>
      <c r="E29" s="4" t="s">
        <v>35</v>
      </c>
      <c r="F29" s="4" t="s">
        <v>52</v>
      </c>
      <c r="G29" s="4" t="s">
        <v>26</v>
      </c>
      <c r="H29" s="4" t="s">
        <v>27</v>
      </c>
      <c r="I29" s="4" t="s">
        <v>715</v>
      </c>
      <c r="J29" s="4" t="s">
        <v>715</v>
      </c>
      <c r="K29" s="5">
        <v>6140406</v>
      </c>
      <c r="L29" s="5">
        <v>307362</v>
      </c>
      <c r="M29" s="5">
        <v>19</v>
      </c>
      <c r="N29" s="5">
        <v>1</v>
      </c>
      <c r="O29" s="5">
        <v>5</v>
      </c>
      <c r="P29" s="5"/>
    </row>
    <row r="30" spans="1:16" x14ac:dyDescent="0.25">
      <c r="A30" s="4" t="s">
        <v>21</v>
      </c>
      <c r="B30" s="4" t="s">
        <v>22</v>
      </c>
      <c r="C30" s="5">
        <v>38900</v>
      </c>
      <c r="D30" s="4" t="s">
        <v>33</v>
      </c>
      <c r="E30" s="4" t="s">
        <v>35</v>
      </c>
      <c r="F30" s="4" t="s">
        <v>52</v>
      </c>
      <c r="G30" s="4" t="s">
        <v>26</v>
      </c>
      <c r="H30" s="4" t="s">
        <v>27</v>
      </c>
      <c r="I30" s="4" t="s">
        <v>715</v>
      </c>
      <c r="J30" s="4" t="s">
        <v>715</v>
      </c>
      <c r="K30" s="5">
        <v>6140758</v>
      </c>
      <c r="L30" s="5">
        <v>307847</v>
      </c>
      <c r="M30" s="5">
        <v>19</v>
      </c>
      <c r="N30" s="5">
        <v>1</v>
      </c>
      <c r="O30" s="5">
        <v>7</v>
      </c>
      <c r="P30" s="5"/>
    </row>
    <row r="31" spans="1:16" x14ac:dyDescent="0.25">
      <c r="A31" s="4" t="s">
        <v>21</v>
      </c>
      <c r="B31" s="4" t="s">
        <v>22</v>
      </c>
      <c r="C31" s="5">
        <v>39194</v>
      </c>
      <c r="D31" s="4" t="s">
        <v>33</v>
      </c>
      <c r="E31" s="4" t="s">
        <v>50</v>
      </c>
      <c r="F31" s="4" t="s">
        <v>53</v>
      </c>
      <c r="G31" s="4" t="s">
        <v>26</v>
      </c>
      <c r="H31" s="4" t="s">
        <v>27</v>
      </c>
      <c r="I31" s="4" t="s">
        <v>715</v>
      </c>
      <c r="J31" s="4" t="s">
        <v>715</v>
      </c>
      <c r="K31" s="5">
        <v>6125992</v>
      </c>
      <c r="L31" s="5">
        <v>321049</v>
      </c>
      <c r="M31" s="5">
        <v>19</v>
      </c>
      <c r="N31" s="5">
        <v>1</v>
      </c>
      <c r="O31" s="5">
        <v>16</v>
      </c>
      <c r="P31" s="5"/>
    </row>
    <row r="32" spans="1:16" x14ac:dyDescent="0.25">
      <c r="A32" s="4" t="s">
        <v>21</v>
      </c>
      <c r="B32" s="4" t="s">
        <v>22</v>
      </c>
      <c r="C32" s="5">
        <v>39201</v>
      </c>
      <c r="D32" s="4" t="s">
        <v>33</v>
      </c>
      <c r="E32" s="4" t="s">
        <v>35</v>
      </c>
      <c r="F32" s="4" t="s">
        <v>52</v>
      </c>
      <c r="G32" s="4" t="s">
        <v>26</v>
      </c>
      <c r="H32" s="4" t="s">
        <v>27</v>
      </c>
      <c r="I32" s="4" t="s">
        <v>715</v>
      </c>
      <c r="J32" s="4" t="s">
        <v>715</v>
      </c>
      <c r="K32" s="5">
        <v>6140321</v>
      </c>
      <c r="L32" s="5">
        <v>307510</v>
      </c>
      <c r="M32" s="5">
        <v>19</v>
      </c>
      <c r="N32" s="5">
        <v>1</v>
      </c>
      <c r="O32" s="5">
        <v>8</v>
      </c>
      <c r="P32" s="5"/>
    </row>
    <row r="33" spans="1:16" x14ac:dyDescent="0.25">
      <c r="A33" s="4" t="s">
        <v>54</v>
      </c>
      <c r="B33" s="4" t="s">
        <v>55</v>
      </c>
      <c r="C33" s="5">
        <v>35667</v>
      </c>
      <c r="D33" s="4" t="s">
        <v>23</v>
      </c>
      <c r="E33" s="4" t="s">
        <v>28</v>
      </c>
      <c r="F33" s="4" t="s">
        <v>56</v>
      </c>
      <c r="G33" s="4" t="s">
        <v>57</v>
      </c>
      <c r="H33" s="4" t="s">
        <v>641</v>
      </c>
      <c r="I33" s="4" t="s">
        <v>715</v>
      </c>
      <c r="J33" s="4" t="s">
        <v>715</v>
      </c>
      <c r="K33" s="5">
        <v>6263735</v>
      </c>
      <c r="L33" s="5">
        <v>344583</v>
      </c>
      <c r="M33" s="5">
        <v>19</v>
      </c>
      <c r="N33" s="5">
        <v>1</v>
      </c>
      <c r="O33" s="5">
        <v>0.75</v>
      </c>
      <c r="P33" s="5"/>
    </row>
    <row r="34" spans="1:16" x14ac:dyDescent="0.25">
      <c r="A34" s="4" t="s">
        <v>54</v>
      </c>
      <c r="B34" s="4" t="s">
        <v>55</v>
      </c>
      <c r="C34" s="5">
        <v>36804</v>
      </c>
      <c r="D34" s="4" t="s">
        <v>23</v>
      </c>
      <c r="E34" s="4" t="s">
        <v>28</v>
      </c>
      <c r="F34" s="4" t="s">
        <v>56</v>
      </c>
      <c r="G34" s="4" t="s">
        <v>57</v>
      </c>
      <c r="H34" s="4" t="s">
        <v>641</v>
      </c>
      <c r="I34" s="4" t="s">
        <v>715</v>
      </c>
      <c r="J34" s="4" t="s">
        <v>715</v>
      </c>
      <c r="K34" s="5">
        <v>6263735</v>
      </c>
      <c r="L34" s="5">
        <v>344583</v>
      </c>
      <c r="M34" s="5">
        <v>19</v>
      </c>
      <c r="N34" s="5">
        <v>1</v>
      </c>
      <c r="O34" s="5">
        <v>0.95</v>
      </c>
      <c r="P34" s="5"/>
    </row>
    <row r="35" spans="1:16" x14ac:dyDescent="0.25">
      <c r="A35" s="4" t="s">
        <v>21</v>
      </c>
      <c r="B35" s="4" t="s">
        <v>55</v>
      </c>
      <c r="C35" s="5">
        <v>36897</v>
      </c>
      <c r="D35" s="4" t="s">
        <v>58</v>
      </c>
      <c r="E35" s="4" t="s">
        <v>59</v>
      </c>
      <c r="F35" s="4" t="s">
        <v>60</v>
      </c>
      <c r="G35" s="4" t="s">
        <v>57</v>
      </c>
      <c r="H35" s="4" t="s">
        <v>27</v>
      </c>
      <c r="I35" s="4" t="s">
        <v>638</v>
      </c>
      <c r="J35" s="4" t="s">
        <v>715</v>
      </c>
      <c r="K35" s="5">
        <v>5845512</v>
      </c>
      <c r="L35" s="5">
        <v>731168</v>
      </c>
      <c r="M35" s="5">
        <v>18</v>
      </c>
      <c r="N35" s="5">
        <v>1</v>
      </c>
      <c r="O35" s="5">
        <v>18</v>
      </c>
      <c r="P35" s="5"/>
    </row>
    <row r="36" spans="1:16" x14ac:dyDescent="0.25">
      <c r="A36" s="4" t="s">
        <v>21</v>
      </c>
      <c r="B36" s="4" t="s">
        <v>55</v>
      </c>
      <c r="C36" s="5">
        <v>36905</v>
      </c>
      <c r="D36" s="4" t="s">
        <v>58</v>
      </c>
      <c r="E36" s="4" t="s">
        <v>62</v>
      </c>
      <c r="F36" s="4" t="s">
        <v>63</v>
      </c>
      <c r="G36" s="4" t="s">
        <v>57</v>
      </c>
      <c r="H36" s="4" t="s">
        <v>27</v>
      </c>
      <c r="I36" s="4" t="s">
        <v>638</v>
      </c>
      <c r="J36" s="4" t="s">
        <v>715</v>
      </c>
      <c r="K36" s="5">
        <v>5878768</v>
      </c>
      <c r="L36" s="5">
        <v>735669</v>
      </c>
      <c r="M36" s="5">
        <v>18</v>
      </c>
      <c r="N36" s="5">
        <v>1</v>
      </c>
      <c r="O36" s="5">
        <v>20</v>
      </c>
      <c r="P36" s="5"/>
    </row>
    <row r="37" spans="1:16" x14ac:dyDescent="0.25">
      <c r="A37" s="4" t="s">
        <v>21</v>
      </c>
      <c r="B37" s="4" t="s">
        <v>55</v>
      </c>
      <c r="C37" s="5">
        <v>36910</v>
      </c>
      <c r="D37" s="4" t="s">
        <v>58</v>
      </c>
      <c r="E37" s="4" t="s">
        <v>62</v>
      </c>
      <c r="F37" s="4" t="s">
        <v>64</v>
      </c>
      <c r="G37" s="4" t="s">
        <v>57</v>
      </c>
      <c r="H37" s="4" t="s">
        <v>27</v>
      </c>
      <c r="I37" s="4" t="s">
        <v>638</v>
      </c>
      <c r="J37" s="4" t="s">
        <v>715</v>
      </c>
      <c r="K37" s="5">
        <v>5879297</v>
      </c>
      <c r="L37" s="5">
        <v>732997</v>
      </c>
      <c r="M37" s="5">
        <v>18</v>
      </c>
      <c r="N37" s="5">
        <v>1</v>
      </c>
      <c r="O37" s="5">
        <v>5</v>
      </c>
      <c r="P37" s="5"/>
    </row>
    <row r="38" spans="1:16" x14ac:dyDescent="0.25">
      <c r="A38" s="4" t="s">
        <v>21</v>
      </c>
      <c r="B38" s="4" t="s">
        <v>55</v>
      </c>
      <c r="C38" s="5">
        <v>36915</v>
      </c>
      <c r="D38" s="4" t="s">
        <v>58</v>
      </c>
      <c r="E38" s="4" t="s">
        <v>59</v>
      </c>
      <c r="F38" s="4" t="s">
        <v>65</v>
      </c>
      <c r="G38" s="4" t="s">
        <v>57</v>
      </c>
      <c r="H38" s="4" t="s">
        <v>27</v>
      </c>
      <c r="I38" s="4" t="s">
        <v>638</v>
      </c>
      <c r="J38" s="4" t="s">
        <v>715</v>
      </c>
      <c r="K38" s="5">
        <v>5845950</v>
      </c>
      <c r="L38" s="5">
        <v>742977</v>
      </c>
      <c r="M38" s="5">
        <v>18</v>
      </c>
      <c r="N38" s="5">
        <v>2</v>
      </c>
      <c r="O38" s="5">
        <v>26.7</v>
      </c>
      <c r="P38" s="5"/>
    </row>
    <row r="39" spans="1:16" x14ac:dyDescent="0.25">
      <c r="A39" s="4" t="s">
        <v>13</v>
      </c>
      <c r="B39" s="4" t="s">
        <v>55</v>
      </c>
      <c r="C39" s="5">
        <v>38248</v>
      </c>
      <c r="D39" s="4" t="s">
        <v>33</v>
      </c>
      <c r="E39" s="4" t="s">
        <v>66</v>
      </c>
      <c r="F39" s="4" t="s">
        <v>67</v>
      </c>
      <c r="G39" s="4" t="s">
        <v>26</v>
      </c>
      <c r="H39" s="4" t="s">
        <v>27</v>
      </c>
      <c r="I39" s="4" t="s">
        <v>715</v>
      </c>
      <c r="J39" s="4" t="s">
        <v>715</v>
      </c>
      <c r="K39" s="5">
        <v>6076520</v>
      </c>
      <c r="L39" s="5">
        <v>266592</v>
      </c>
      <c r="M39" s="5">
        <v>19</v>
      </c>
      <c r="N39" s="5">
        <v>6</v>
      </c>
      <c r="O39" s="5">
        <v>28.4</v>
      </c>
      <c r="P39" s="5"/>
    </row>
    <row r="40" spans="1:16" x14ac:dyDescent="0.25">
      <c r="A40" s="4" t="s">
        <v>13</v>
      </c>
      <c r="B40" s="4" t="s">
        <v>55</v>
      </c>
      <c r="C40" s="5">
        <v>38249</v>
      </c>
      <c r="D40" s="4" t="s">
        <v>33</v>
      </c>
      <c r="E40" s="4" t="s">
        <v>66</v>
      </c>
      <c r="F40" s="4" t="s">
        <v>67</v>
      </c>
      <c r="G40" s="4" t="s">
        <v>26</v>
      </c>
      <c r="H40" s="4" t="s">
        <v>27</v>
      </c>
      <c r="I40" s="4" t="s">
        <v>715</v>
      </c>
      <c r="J40" s="4" t="s">
        <v>715</v>
      </c>
      <c r="K40" s="5">
        <v>6076204</v>
      </c>
      <c r="L40" s="5">
        <v>267100</v>
      </c>
      <c r="M40" s="5">
        <v>19</v>
      </c>
      <c r="N40" s="5">
        <v>2</v>
      </c>
      <c r="O40" s="5">
        <v>8.6999999999999993</v>
      </c>
      <c r="P40" s="5"/>
    </row>
    <row r="41" spans="1:16" x14ac:dyDescent="0.25">
      <c r="A41" s="4" t="s">
        <v>21</v>
      </c>
      <c r="B41" s="4" t="s">
        <v>55</v>
      </c>
      <c r="C41" s="5">
        <v>38250</v>
      </c>
      <c r="D41" s="4" t="s">
        <v>33</v>
      </c>
      <c r="E41" s="4" t="s">
        <v>66</v>
      </c>
      <c r="F41" s="4" t="s">
        <v>67</v>
      </c>
      <c r="G41" s="4" t="s">
        <v>26</v>
      </c>
      <c r="H41" s="4" t="s">
        <v>27</v>
      </c>
      <c r="I41" s="4" t="s">
        <v>715</v>
      </c>
      <c r="J41" s="4" t="s">
        <v>715</v>
      </c>
      <c r="K41" s="5">
        <v>6076011</v>
      </c>
      <c r="L41" s="5">
        <v>268606</v>
      </c>
      <c r="M41" s="5">
        <v>19</v>
      </c>
      <c r="N41" s="5">
        <v>6</v>
      </c>
      <c r="O41" s="5">
        <v>19.8</v>
      </c>
      <c r="P41" s="5"/>
    </row>
    <row r="42" spans="1:16" x14ac:dyDescent="0.25">
      <c r="A42" s="4" t="s">
        <v>21</v>
      </c>
      <c r="B42" s="4" t="s">
        <v>55</v>
      </c>
      <c r="C42" s="5">
        <v>38251</v>
      </c>
      <c r="D42" s="4" t="s">
        <v>33</v>
      </c>
      <c r="E42" s="4" t="s">
        <v>66</v>
      </c>
      <c r="F42" s="4" t="s">
        <v>45</v>
      </c>
      <c r="G42" s="4" t="s">
        <v>26</v>
      </c>
      <c r="H42" s="4" t="s">
        <v>27</v>
      </c>
      <c r="I42" s="4" t="s">
        <v>715</v>
      </c>
      <c r="J42" s="4" t="s">
        <v>638</v>
      </c>
      <c r="K42" s="5">
        <v>6086711</v>
      </c>
      <c r="L42" s="5">
        <v>279833</v>
      </c>
      <c r="M42" s="5">
        <v>19</v>
      </c>
      <c r="N42" s="5">
        <v>8</v>
      </c>
      <c r="O42" s="5">
        <v>152.6</v>
      </c>
      <c r="P42" s="5"/>
    </row>
    <row r="43" spans="1:16" x14ac:dyDescent="0.25">
      <c r="A43" s="4" t="s">
        <v>21</v>
      </c>
      <c r="B43" s="4" t="s">
        <v>55</v>
      </c>
      <c r="C43" s="5">
        <v>38254</v>
      </c>
      <c r="D43" s="4" t="s">
        <v>33</v>
      </c>
      <c r="E43" s="4" t="s">
        <v>47</v>
      </c>
      <c r="F43" s="4" t="s">
        <v>68</v>
      </c>
      <c r="G43" s="4" t="s">
        <v>26</v>
      </c>
      <c r="H43" s="4" t="s">
        <v>27</v>
      </c>
      <c r="I43" s="4" t="s">
        <v>715</v>
      </c>
      <c r="J43" s="4" t="s">
        <v>715</v>
      </c>
      <c r="K43" s="5">
        <v>6080941</v>
      </c>
      <c r="L43" s="5">
        <v>268420</v>
      </c>
      <c r="M43" s="5">
        <v>19</v>
      </c>
      <c r="N43" s="5">
        <v>6</v>
      </c>
      <c r="O43" s="5">
        <v>36.4</v>
      </c>
      <c r="P43" s="5"/>
    </row>
    <row r="44" spans="1:16" x14ac:dyDescent="0.25">
      <c r="A44" s="4" t="s">
        <v>13</v>
      </c>
      <c r="B44" s="4" t="s">
        <v>55</v>
      </c>
      <c r="C44" s="5">
        <v>38256</v>
      </c>
      <c r="D44" s="4" t="s">
        <v>33</v>
      </c>
      <c r="E44" s="4" t="s">
        <v>69</v>
      </c>
      <c r="F44" s="4" t="s">
        <v>69</v>
      </c>
      <c r="G44" s="4" t="s">
        <v>26</v>
      </c>
      <c r="H44" s="4" t="s">
        <v>27</v>
      </c>
      <c r="I44" s="4" t="s">
        <v>715</v>
      </c>
      <c r="J44" s="4" t="s">
        <v>715</v>
      </c>
      <c r="K44" s="5">
        <v>6076856</v>
      </c>
      <c r="L44" s="5">
        <v>244455</v>
      </c>
      <c r="M44" s="5">
        <v>19</v>
      </c>
      <c r="N44" s="5">
        <v>2</v>
      </c>
      <c r="O44" s="5">
        <v>11.4</v>
      </c>
      <c r="P44" s="5"/>
    </row>
    <row r="45" spans="1:16" x14ac:dyDescent="0.25">
      <c r="A45" s="4" t="s">
        <v>13</v>
      </c>
      <c r="B45" s="4" t="s">
        <v>55</v>
      </c>
      <c r="C45" s="5">
        <v>38259</v>
      </c>
      <c r="D45" s="4" t="s">
        <v>33</v>
      </c>
      <c r="E45" s="4" t="s">
        <v>69</v>
      </c>
      <c r="F45" s="4" t="s">
        <v>69</v>
      </c>
      <c r="G45" s="4" t="s">
        <v>26</v>
      </c>
      <c r="H45" s="4" t="s">
        <v>27</v>
      </c>
      <c r="I45" s="4" t="s">
        <v>715</v>
      </c>
      <c r="J45" s="4" t="s">
        <v>715</v>
      </c>
      <c r="K45" s="5">
        <v>6076275</v>
      </c>
      <c r="L45" s="5">
        <v>243346</v>
      </c>
      <c r="M45" s="5">
        <v>19</v>
      </c>
      <c r="N45" s="5">
        <v>1</v>
      </c>
      <c r="O45" s="5">
        <v>9</v>
      </c>
      <c r="P45" s="5"/>
    </row>
    <row r="46" spans="1:16" x14ac:dyDescent="0.25">
      <c r="A46" s="4" t="s">
        <v>13</v>
      </c>
      <c r="B46" s="4" t="s">
        <v>55</v>
      </c>
      <c r="C46" s="5">
        <v>38261</v>
      </c>
      <c r="D46" s="4" t="s">
        <v>33</v>
      </c>
      <c r="E46" s="4" t="s">
        <v>70</v>
      </c>
      <c r="F46" s="4" t="s">
        <v>71</v>
      </c>
      <c r="G46" s="4" t="s">
        <v>26</v>
      </c>
      <c r="H46" s="4" t="s">
        <v>27</v>
      </c>
      <c r="I46" s="4" t="s">
        <v>715</v>
      </c>
      <c r="J46" s="4" t="s">
        <v>715</v>
      </c>
      <c r="K46" s="5">
        <v>6005103</v>
      </c>
      <c r="L46" s="5">
        <v>259607</v>
      </c>
      <c r="M46" s="5">
        <v>19</v>
      </c>
      <c r="N46" s="5">
        <v>8</v>
      </c>
      <c r="O46" s="5">
        <v>31.2</v>
      </c>
      <c r="P46" s="5"/>
    </row>
    <row r="47" spans="1:16" x14ac:dyDescent="0.25">
      <c r="A47" s="4" t="s">
        <v>21</v>
      </c>
      <c r="B47" s="4" t="s">
        <v>55</v>
      </c>
      <c r="C47" s="5">
        <v>38264</v>
      </c>
      <c r="D47" s="4" t="s">
        <v>33</v>
      </c>
      <c r="E47" s="4" t="s">
        <v>34</v>
      </c>
      <c r="F47" s="4" t="s">
        <v>72</v>
      </c>
      <c r="G47" s="4" t="s">
        <v>26</v>
      </c>
      <c r="H47" s="4" t="s">
        <v>27</v>
      </c>
      <c r="I47" s="4" t="s">
        <v>715</v>
      </c>
      <c r="J47" s="4" t="s">
        <v>715</v>
      </c>
      <c r="K47" s="5">
        <v>6095437</v>
      </c>
      <c r="L47" s="5">
        <v>295318</v>
      </c>
      <c r="M47" s="5">
        <v>19</v>
      </c>
      <c r="N47" s="5">
        <v>1</v>
      </c>
      <c r="O47" s="5">
        <v>5.3</v>
      </c>
      <c r="P47" s="5"/>
    </row>
    <row r="48" spans="1:16" x14ac:dyDescent="0.25">
      <c r="A48" s="4" t="s">
        <v>21</v>
      </c>
      <c r="B48" s="4" t="s">
        <v>55</v>
      </c>
      <c r="C48" s="5">
        <v>38267</v>
      </c>
      <c r="D48" s="4" t="s">
        <v>33</v>
      </c>
      <c r="E48" s="4" t="s">
        <v>35</v>
      </c>
      <c r="F48" s="4" t="s">
        <v>35</v>
      </c>
      <c r="G48" s="4" t="s">
        <v>26</v>
      </c>
      <c r="H48" s="4" t="s">
        <v>27</v>
      </c>
      <c r="I48" s="4" t="s">
        <v>715</v>
      </c>
      <c r="J48" s="4" t="s">
        <v>715</v>
      </c>
      <c r="K48" s="5">
        <v>6140693</v>
      </c>
      <c r="L48" s="5">
        <v>323259</v>
      </c>
      <c r="M48" s="5">
        <v>19</v>
      </c>
      <c r="N48" s="5">
        <v>7</v>
      </c>
      <c r="O48" s="5">
        <v>25.4</v>
      </c>
      <c r="P48" s="5"/>
    </row>
    <row r="49" spans="1:16" x14ac:dyDescent="0.25">
      <c r="A49" s="4" t="s">
        <v>13</v>
      </c>
      <c r="B49" s="4" t="s">
        <v>55</v>
      </c>
      <c r="C49" s="5">
        <v>38273</v>
      </c>
      <c r="D49" s="4" t="s">
        <v>33</v>
      </c>
      <c r="E49" s="4" t="s">
        <v>35</v>
      </c>
      <c r="F49" s="4" t="s">
        <v>35</v>
      </c>
      <c r="G49" s="4" t="s">
        <v>26</v>
      </c>
      <c r="H49" s="4" t="s">
        <v>27</v>
      </c>
      <c r="I49" s="4" t="s">
        <v>715</v>
      </c>
      <c r="J49" s="4" t="s">
        <v>638</v>
      </c>
      <c r="K49" s="5">
        <v>6140392</v>
      </c>
      <c r="L49" s="5">
        <v>322463</v>
      </c>
      <c r="M49" s="5">
        <v>19</v>
      </c>
      <c r="N49" s="5">
        <v>1</v>
      </c>
      <c r="O49" s="5">
        <v>9.6</v>
      </c>
      <c r="P49" s="5"/>
    </row>
    <row r="50" spans="1:16" x14ac:dyDescent="0.25">
      <c r="A50" s="4" t="s">
        <v>21</v>
      </c>
      <c r="B50" s="4" t="s">
        <v>55</v>
      </c>
      <c r="C50" s="5">
        <v>38276</v>
      </c>
      <c r="D50" s="4" t="s">
        <v>33</v>
      </c>
      <c r="E50" s="4" t="s">
        <v>35</v>
      </c>
      <c r="F50" s="4" t="s">
        <v>35</v>
      </c>
      <c r="G50" s="4" t="s">
        <v>26</v>
      </c>
      <c r="H50" s="4" t="s">
        <v>27</v>
      </c>
      <c r="I50" s="4" t="s">
        <v>715</v>
      </c>
      <c r="J50" s="4" t="s">
        <v>715</v>
      </c>
      <c r="K50" s="5">
        <v>6138626</v>
      </c>
      <c r="L50" s="5">
        <v>318372</v>
      </c>
      <c r="M50" s="5">
        <v>19</v>
      </c>
      <c r="N50" s="5">
        <v>1</v>
      </c>
      <c r="O50" s="5">
        <v>23</v>
      </c>
      <c r="P50" s="5"/>
    </row>
    <row r="51" spans="1:16" x14ac:dyDescent="0.25">
      <c r="A51" s="4" t="s">
        <v>21</v>
      </c>
      <c r="B51" s="4" t="s">
        <v>55</v>
      </c>
      <c r="C51" s="5">
        <v>38279</v>
      </c>
      <c r="D51" s="4" t="s">
        <v>37</v>
      </c>
      <c r="E51" s="4" t="s">
        <v>73</v>
      </c>
      <c r="F51" s="4" t="s">
        <v>74</v>
      </c>
      <c r="G51" s="4" t="s">
        <v>26</v>
      </c>
      <c r="H51" s="4" t="s">
        <v>27</v>
      </c>
      <c r="I51" s="4" t="s">
        <v>715</v>
      </c>
      <c r="J51" s="4" t="s">
        <v>715</v>
      </c>
      <c r="K51" s="5">
        <v>6151643</v>
      </c>
      <c r="L51" s="5">
        <v>316174</v>
      </c>
      <c r="M51" s="5">
        <v>19</v>
      </c>
      <c r="N51" s="5">
        <v>1</v>
      </c>
      <c r="O51" s="5">
        <v>28</v>
      </c>
      <c r="P51" s="5"/>
    </row>
    <row r="52" spans="1:16" x14ac:dyDescent="0.25">
      <c r="A52" s="4" t="s">
        <v>21</v>
      </c>
      <c r="B52" s="4" t="s">
        <v>55</v>
      </c>
      <c r="C52" s="5">
        <v>38282</v>
      </c>
      <c r="D52" s="4" t="s">
        <v>37</v>
      </c>
      <c r="E52" s="4" t="s">
        <v>73</v>
      </c>
      <c r="F52" s="4" t="s">
        <v>74</v>
      </c>
      <c r="G52" s="4" t="s">
        <v>26</v>
      </c>
      <c r="H52" s="4" t="s">
        <v>27</v>
      </c>
      <c r="I52" s="4" t="s">
        <v>715</v>
      </c>
      <c r="J52" s="4" t="s">
        <v>715</v>
      </c>
      <c r="K52" s="5">
        <v>6151974</v>
      </c>
      <c r="L52" s="5">
        <v>316534</v>
      </c>
      <c r="M52" s="5">
        <v>19</v>
      </c>
      <c r="N52" s="5">
        <v>2</v>
      </c>
      <c r="O52" s="5">
        <v>8.5</v>
      </c>
      <c r="P52" s="5"/>
    </row>
    <row r="53" spans="1:16" x14ac:dyDescent="0.25">
      <c r="A53" s="4" t="s">
        <v>21</v>
      </c>
      <c r="B53" s="4" t="s">
        <v>55</v>
      </c>
      <c r="C53" s="5">
        <v>38286</v>
      </c>
      <c r="D53" s="4" t="s">
        <v>33</v>
      </c>
      <c r="E53" s="4" t="s">
        <v>35</v>
      </c>
      <c r="F53" s="4" t="s">
        <v>35</v>
      </c>
      <c r="G53" s="4" t="s">
        <v>26</v>
      </c>
      <c r="H53" s="4" t="s">
        <v>27</v>
      </c>
      <c r="I53" s="4" t="s">
        <v>715</v>
      </c>
      <c r="J53" s="4" t="s">
        <v>715</v>
      </c>
      <c r="K53" s="5">
        <v>6140499</v>
      </c>
      <c r="L53" s="5">
        <v>315099</v>
      </c>
      <c r="M53" s="5">
        <v>19</v>
      </c>
      <c r="N53" s="5">
        <v>1</v>
      </c>
      <c r="O53" s="5">
        <v>11</v>
      </c>
      <c r="P53" s="5"/>
    </row>
    <row r="54" spans="1:16" x14ac:dyDescent="0.25">
      <c r="A54" s="4" t="s">
        <v>21</v>
      </c>
      <c r="B54" s="4" t="s">
        <v>55</v>
      </c>
      <c r="C54" s="5">
        <v>38288</v>
      </c>
      <c r="D54" s="4" t="s">
        <v>33</v>
      </c>
      <c r="E54" s="4" t="s">
        <v>35</v>
      </c>
      <c r="F54" s="4" t="s">
        <v>35</v>
      </c>
      <c r="G54" s="4" t="s">
        <v>26</v>
      </c>
      <c r="H54" s="4" t="s">
        <v>27</v>
      </c>
      <c r="I54" s="4" t="s">
        <v>715</v>
      </c>
      <c r="J54" s="4" t="s">
        <v>715</v>
      </c>
      <c r="K54" s="5">
        <v>6141265</v>
      </c>
      <c r="L54" s="5">
        <v>315024</v>
      </c>
      <c r="M54" s="5">
        <v>19</v>
      </c>
      <c r="N54" s="5">
        <v>1</v>
      </c>
      <c r="O54" s="5">
        <v>9.9</v>
      </c>
      <c r="P54" s="5"/>
    </row>
    <row r="55" spans="1:16" x14ac:dyDescent="0.25">
      <c r="A55" s="4" t="s">
        <v>21</v>
      </c>
      <c r="B55" s="4" t="s">
        <v>55</v>
      </c>
      <c r="C55" s="5">
        <v>38295</v>
      </c>
      <c r="D55" s="4" t="s">
        <v>33</v>
      </c>
      <c r="E55" s="4" t="s">
        <v>35</v>
      </c>
      <c r="F55" s="4" t="s">
        <v>35</v>
      </c>
      <c r="G55" s="4" t="s">
        <v>26</v>
      </c>
      <c r="H55" s="4" t="s">
        <v>27</v>
      </c>
      <c r="I55" s="4" t="s">
        <v>715</v>
      </c>
      <c r="J55" s="4" t="s">
        <v>715</v>
      </c>
      <c r="K55" s="5">
        <v>6141659</v>
      </c>
      <c r="L55" s="5">
        <v>313812</v>
      </c>
      <c r="M55" s="5">
        <v>19</v>
      </c>
      <c r="N55" s="5">
        <v>2</v>
      </c>
      <c r="O55" s="5">
        <v>17</v>
      </c>
      <c r="P55" s="5"/>
    </row>
    <row r="56" spans="1:16" x14ac:dyDescent="0.25">
      <c r="A56" s="4" t="s">
        <v>21</v>
      </c>
      <c r="B56" s="4" t="s">
        <v>55</v>
      </c>
      <c r="C56" s="5">
        <v>38300</v>
      </c>
      <c r="D56" s="4" t="s">
        <v>33</v>
      </c>
      <c r="E56" s="4" t="s">
        <v>35</v>
      </c>
      <c r="F56" s="4" t="s">
        <v>35</v>
      </c>
      <c r="G56" s="4" t="s">
        <v>26</v>
      </c>
      <c r="H56" s="4" t="s">
        <v>27</v>
      </c>
      <c r="I56" s="4" t="s">
        <v>715</v>
      </c>
      <c r="J56" s="4" t="s">
        <v>715</v>
      </c>
      <c r="K56" s="5">
        <v>6142035</v>
      </c>
      <c r="L56" s="5">
        <v>313403</v>
      </c>
      <c r="M56" s="5">
        <v>19</v>
      </c>
      <c r="N56" s="5">
        <v>1</v>
      </c>
      <c r="O56" s="5">
        <v>5.6</v>
      </c>
      <c r="P56" s="5"/>
    </row>
    <row r="57" spans="1:16" x14ac:dyDescent="0.25">
      <c r="A57" s="4" t="s">
        <v>13</v>
      </c>
      <c r="B57" s="4" t="s">
        <v>55</v>
      </c>
      <c r="C57" s="5">
        <v>38305</v>
      </c>
      <c r="D57" s="4" t="s">
        <v>37</v>
      </c>
      <c r="E57" s="4" t="s">
        <v>73</v>
      </c>
      <c r="F57" s="4" t="s">
        <v>75</v>
      </c>
      <c r="G57" s="4" t="s">
        <v>26</v>
      </c>
      <c r="H57" s="4" t="s">
        <v>27</v>
      </c>
      <c r="I57" s="4" t="s">
        <v>715</v>
      </c>
      <c r="J57" s="4" t="s">
        <v>715</v>
      </c>
      <c r="K57" s="5">
        <v>6148676</v>
      </c>
      <c r="L57" s="5">
        <v>321343</v>
      </c>
      <c r="M57" s="5">
        <v>19</v>
      </c>
      <c r="N57" s="5">
        <v>5</v>
      </c>
      <c r="O57" s="5">
        <v>37.1</v>
      </c>
      <c r="P57" s="5"/>
    </row>
    <row r="58" spans="1:16" x14ac:dyDescent="0.25">
      <c r="A58" s="4" t="s">
        <v>13</v>
      </c>
      <c r="B58" s="4" t="s">
        <v>55</v>
      </c>
      <c r="C58" s="5">
        <v>38315</v>
      </c>
      <c r="D58" s="4" t="s">
        <v>23</v>
      </c>
      <c r="E58" s="4" t="s">
        <v>76</v>
      </c>
      <c r="F58" s="4" t="s">
        <v>76</v>
      </c>
      <c r="G58" s="4" t="s">
        <v>26</v>
      </c>
      <c r="H58" s="4" t="s">
        <v>27</v>
      </c>
      <c r="I58" s="4" t="s">
        <v>715</v>
      </c>
      <c r="J58" s="4" t="s">
        <v>715</v>
      </c>
      <c r="K58" s="5">
        <v>6269155</v>
      </c>
      <c r="L58" s="5">
        <v>320054</v>
      </c>
      <c r="M58" s="5">
        <v>19</v>
      </c>
      <c r="N58" s="5">
        <v>5</v>
      </c>
      <c r="O58" s="5">
        <v>46.6</v>
      </c>
      <c r="P58" s="5"/>
    </row>
    <row r="59" spans="1:16" x14ac:dyDescent="0.25">
      <c r="A59" s="4" t="s">
        <v>21</v>
      </c>
      <c r="B59" s="4" t="s">
        <v>55</v>
      </c>
      <c r="C59" s="5">
        <v>38405</v>
      </c>
      <c r="D59" s="4" t="s">
        <v>23</v>
      </c>
      <c r="E59" s="4" t="s">
        <v>28</v>
      </c>
      <c r="F59" s="4" t="s">
        <v>77</v>
      </c>
      <c r="G59" s="4" t="s">
        <v>26</v>
      </c>
      <c r="H59" s="4" t="s">
        <v>27</v>
      </c>
      <c r="I59" s="4" t="s">
        <v>715</v>
      </c>
      <c r="J59" s="4" t="s">
        <v>715</v>
      </c>
      <c r="K59" s="5">
        <v>6263843</v>
      </c>
      <c r="L59" s="5">
        <v>341205</v>
      </c>
      <c r="M59" s="5">
        <v>19</v>
      </c>
      <c r="N59" s="5">
        <v>1</v>
      </c>
      <c r="O59" s="5">
        <v>6.2</v>
      </c>
      <c r="P59" s="5"/>
    </row>
    <row r="60" spans="1:16" x14ac:dyDescent="0.25">
      <c r="A60" s="4" t="s">
        <v>13</v>
      </c>
      <c r="B60" s="4" t="s">
        <v>55</v>
      </c>
      <c r="C60" s="5">
        <v>38748</v>
      </c>
      <c r="D60" s="4" t="s">
        <v>33</v>
      </c>
      <c r="E60" s="4" t="s">
        <v>66</v>
      </c>
      <c r="F60" s="4" t="s">
        <v>67</v>
      </c>
      <c r="G60" s="4" t="s">
        <v>26</v>
      </c>
      <c r="H60" s="4" t="s">
        <v>27</v>
      </c>
      <c r="I60" s="4" t="s">
        <v>715</v>
      </c>
      <c r="J60" s="4" t="s">
        <v>715</v>
      </c>
      <c r="K60" s="5">
        <v>6075895</v>
      </c>
      <c r="L60" s="5">
        <v>266394</v>
      </c>
      <c r="M60" s="5">
        <v>19</v>
      </c>
      <c r="N60" s="5">
        <v>1</v>
      </c>
      <c r="O60" s="5">
        <v>7.9</v>
      </c>
      <c r="P60" s="5"/>
    </row>
    <row r="61" spans="1:16" x14ac:dyDescent="0.25">
      <c r="A61" s="4" t="s">
        <v>13</v>
      </c>
      <c r="B61" s="4" t="s">
        <v>55</v>
      </c>
      <c r="C61" s="5">
        <v>38764</v>
      </c>
      <c r="D61" s="4" t="s">
        <v>33</v>
      </c>
      <c r="E61" s="4" t="s">
        <v>66</v>
      </c>
      <c r="F61" s="4" t="s">
        <v>67</v>
      </c>
      <c r="G61" s="4" t="s">
        <v>26</v>
      </c>
      <c r="H61" s="4" t="s">
        <v>27</v>
      </c>
      <c r="I61" s="4" t="s">
        <v>715</v>
      </c>
      <c r="J61" s="4" t="s">
        <v>715</v>
      </c>
      <c r="K61" s="5">
        <v>6076182</v>
      </c>
      <c r="L61" s="5">
        <v>267686</v>
      </c>
      <c r="M61" s="5">
        <v>19</v>
      </c>
      <c r="N61" s="5">
        <v>3</v>
      </c>
      <c r="O61" s="5">
        <v>13.6</v>
      </c>
      <c r="P61" s="5"/>
    </row>
    <row r="62" spans="1:16" x14ac:dyDescent="0.25">
      <c r="A62" s="4" t="s">
        <v>21</v>
      </c>
      <c r="B62" s="4" t="s">
        <v>55</v>
      </c>
      <c r="C62" s="5">
        <v>38782</v>
      </c>
      <c r="D62" s="4" t="s">
        <v>33</v>
      </c>
      <c r="E62" s="4" t="s">
        <v>66</v>
      </c>
      <c r="F62" s="4" t="s">
        <v>78</v>
      </c>
      <c r="G62" s="4" t="s">
        <v>26</v>
      </c>
      <c r="H62" s="4" t="s">
        <v>27</v>
      </c>
      <c r="I62" s="4" t="s">
        <v>715</v>
      </c>
      <c r="J62" s="4" t="s">
        <v>715</v>
      </c>
      <c r="K62" s="5">
        <v>6075789</v>
      </c>
      <c r="L62" s="5">
        <v>267840</v>
      </c>
      <c r="M62" s="5">
        <v>19</v>
      </c>
      <c r="N62" s="5">
        <v>3</v>
      </c>
      <c r="O62" s="5">
        <v>21.1</v>
      </c>
      <c r="P62" s="5"/>
    </row>
    <row r="63" spans="1:16" x14ac:dyDescent="0.25">
      <c r="A63" s="4" t="s">
        <v>21</v>
      </c>
      <c r="B63" s="4" t="s">
        <v>55</v>
      </c>
      <c r="C63" s="5">
        <v>38797</v>
      </c>
      <c r="D63" s="4" t="s">
        <v>33</v>
      </c>
      <c r="E63" s="4" t="s">
        <v>43</v>
      </c>
      <c r="F63" s="4" t="s">
        <v>79</v>
      </c>
      <c r="G63" s="4" t="s">
        <v>26</v>
      </c>
      <c r="H63" s="4" t="s">
        <v>27</v>
      </c>
      <c r="I63" s="4" t="s">
        <v>715</v>
      </c>
      <c r="J63" s="4" t="s">
        <v>715</v>
      </c>
      <c r="K63" s="5">
        <v>6062926</v>
      </c>
      <c r="L63" s="5">
        <v>273643</v>
      </c>
      <c r="M63" s="5">
        <v>19</v>
      </c>
      <c r="N63" s="5">
        <v>6</v>
      </c>
      <c r="O63" s="5">
        <v>64.3</v>
      </c>
      <c r="P63" s="5"/>
    </row>
    <row r="64" spans="1:16" x14ac:dyDescent="0.25">
      <c r="A64" s="4" t="s">
        <v>21</v>
      </c>
      <c r="B64" s="4" t="s">
        <v>55</v>
      </c>
      <c r="C64" s="5">
        <v>38813</v>
      </c>
      <c r="D64" s="4" t="s">
        <v>33</v>
      </c>
      <c r="E64" s="4" t="s">
        <v>43</v>
      </c>
      <c r="F64" s="4" t="s">
        <v>79</v>
      </c>
      <c r="G64" s="4" t="s">
        <v>26</v>
      </c>
      <c r="H64" s="4" t="s">
        <v>27</v>
      </c>
      <c r="I64" s="4" t="s">
        <v>715</v>
      </c>
      <c r="J64" s="4" t="s">
        <v>715</v>
      </c>
      <c r="K64" s="5">
        <v>6063025</v>
      </c>
      <c r="L64" s="5">
        <v>274243</v>
      </c>
      <c r="M64" s="5">
        <v>19</v>
      </c>
      <c r="N64" s="5">
        <v>5</v>
      </c>
      <c r="O64" s="5">
        <v>8.6999999999999993</v>
      </c>
      <c r="P64" s="5"/>
    </row>
    <row r="65" spans="1:16" x14ac:dyDescent="0.25">
      <c r="A65" s="4" t="s">
        <v>21</v>
      </c>
      <c r="B65" s="4" t="s">
        <v>55</v>
      </c>
      <c r="C65" s="5">
        <v>38833</v>
      </c>
      <c r="D65" s="4" t="s">
        <v>33</v>
      </c>
      <c r="E65" s="4" t="s">
        <v>43</v>
      </c>
      <c r="F65" s="4" t="s">
        <v>80</v>
      </c>
      <c r="G65" s="4" t="s">
        <v>26</v>
      </c>
      <c r="H65" s="4" t="s">
        <v>27</v>
      </c>
      <c r="I65" s="4" t="s">
        <v>715</v>
      </c>
      <c r="J65" s="4" t="s">
        <v>715</v>
      </c>
      <c r="K65" s="5">
        <v>6062237</v>
      </c>
      <c r="L65" s="5">
        <v>274384</v>
      </c>
      <c r="M65" s="5">
        <v>19</v>
      </c>
      <c r="N65" s="5">
        <v>2</v>
      </c>
      <c r="O65" s="5">
        <v>14.1</v>
      </c>
      <c r="P65" s="5"/>
    </row>
    <row r="66" spans="1:16" x14ac:dyDescent="0.25">
      <c r="A66" s="4" t="s">
        <v>21</v>
      </c>
      <c r="B66" s="4" t="s">
        <v>55</v>
      </c>
      <c r="C66" s="5">
        <v>38979</v>
      </c>
      <c r="D66" s="4" t="s">
        <v>33</v>
      </c>
      <c r="E66" s="4" t="s">
        <v>43</v>
      </c>
      <c r="F66" s="4" t="s">
        <v>80</v>
      </c>
      <c r="G66" s="4" t="s">
        <v>26</v>
      </c>
      <c r="H66" s="4" t="s">
        <v>27</v>
      </c>
      <c r="I66" s="4" t="s">
        <v>715</v>
      </c>
      <c r="J66" s="4" t="s">
        <v>715</v>
      </c>
      <c r="K66" s="5">
        <v>6062782</v>
      </c>
      <c r="L66" s="5">
        <v>274496</v>
      </c>
      <c r="M66" s="5">
        <v>19</v>
      </c>
      <c r="N66" s="5">
        <v>6</v>
      </c>
      <c r="O66" s="5">
        <v>12.4</v>
      </c>
      <c r="P66" s="5"/>
    </row>
    <row r="67" spans="1:16" x14ac:dyDescent="0.25">
      <c r="A67" s="4" t="s">
        <v>21</v>
      </c>
      <c r="B67" s="4" t="s">
        <v>55</v>
      </c>
      <c r="C67" s="5">
        <v>38989</v>
      </c>
      <c r="D67" s="4" t="s">
        <v>33</v>
      </c>
      <c r="E67" s="4" t="s">
        <v>43</v>
      </c>
      <c r="F67" s="4" t="s">
        <v>80</v>
      </c>
      <c r="G67" s="4" t="s">
        <v>26</v>
      </c>
      <c r="H67" s="4" t="s">
        <v>27</v>
      </c>
      <c r="I67" s="4" t="s">
        <v>715</v>
      </c>
      <c r="J67" s="4" t="s">
        <v>715</v>
      </c>
      <c r="K67" s="5">
        <v>6063385</v>
      </c>
      <c r="L67" s="5">
        <v>274794</v>
      </c>
      <c r="M67" s="5">
        <v>19</v>
      </c>
      <c r="N67" s="5">
        <v>3</v>
      </c>
      <c r="O67" s="5">
        <v>6.3</v>
      </c>
      <c r="P67" s="5"/>
    </row>
    <row r="68" spans="1:16" x14ac:dyDescent="0.25">
      <c r="A68" s="4" t="s">
        <v>21</v>
      </c>
      <c r="B68" s="4" t="s">
        <v>55</v>
      </c>
      <c r="C68" s="5">
        <v>39001</v>
      </c>
      <c r="D68" s="4" t="s">
        <v>33</v>
      </c>
      <c r="E68" s="4" t="s">
        <v>35</v>
      </c>
      <c r="F68" s="4" t="s">
        <v>81</v>
      </c>
      <c r="G68" s="4" t="s">
        <v>26</v>
      </c>
      <c r="H68" s="4" t="s">
        <v>27</v>
      </c>
      <c r="I68" s="4" t="s">
        <v>715</v>
      </c>
      <c r="J68" s="4" t="s">
        <v>715</v>
      </c>
      <c r="K68" s="5">
        <v>6118029</v>
      </c>
      <c r="L68" s="5">
        <v>305552</v>
      </c>
      <c r="M68" s="5">
        <v>19</v>
      </c>
      <c r="N68" s="5">
        <v>2</v>
      </c>
      <c r="O68" s="5">
        <v>35.299999999999997</v>
      </c>
      <c r="P68" s="5"/>
    </row>
    <row r="69" spans="1:16" x14ac:dyDescent="0.25">
      <c r="A69" s="4" t="s">
        <v>21</v>
      </c>
      <c r="B69" s="4" t="s">
        <v>55</v>
      </c>
      <c r="C69" s="5">
        <v>39018</v>
      </c>
      <c r="D69" s="4" t="s">
        <v>33</v>
      </c>
      <c r="E69" s="4" t="s">
        <v>34</v>
      </c>
      <c r="F69" s="4" t="s">
        <v>82</v>
      </c>
      <c r="G69" s="4" t="s">
        <v>26</v>
      </c>
      <c r="H69" s="4" t="s">
        <v>27</v>
      </c>
      <c r="I69" s="4" t="s">
        <v>715</v>
      </c>
      <c r="J69" s="4" t="s">
        <v>715</v>
      </c>
      <c r="K69" s="5">
        <v>6119827</v>
      </c>
      <c r="L69" s="5">
        <v>305535</v>
      </c>
      <c r="M69" s="5">
        <v>19</v>
      </c>
      <c r="N69" s="5">
        <v>1</v>
      </c>
      <c r="O69" s="5">
        <v>9.6999999999999993</v>
      </c>
      <c r="P69" s="5"/>
    </row>
    <row r="70" spans="1:16" x14ac:dyDescent="0.25">
      <c r="A70" s="4" t="s">
        <v>21</v>
      </c>
      <c r="B70" s="4" t="s">
        <v>55</v>
      </c>
      <c r="C70" s="5">
        <v>39041</v>
      </c>
      <c r="D70" s="4" t="s">
        <v>37</v>
      </c>
      <c r="E70" s="4" t="s">
        <v>73</v>
      </c>
      <c r="F70" s="4" t="s">
        <v>75</v>
      </c>
      <c r="G70" s="4" t="s">
        <v>26</v>
      </c>
      <c r="H70" s="4" t="s">
        <v>27</v>
      </c>
      <c r="I70" s="4" t="s">
        <v>715</v>
      </c>
      <c r="J70" s="4" t="s">
        <v>715</v>
      </c>
      <c r="K70" s="5">
        <v>6149387</v>
      </c>
      <c r="L70" s="5">
        <v>319811</v>
      </c>
      <c r="M70" s="5">
        <v>19</v>
      </c>
      <c r="N70" s="5">
        <v>1</v>
      </c>
      <c r="O70" s="5">
        <v>7</v>
      </c>
      <c r="P70" s="5"/>
    </row>
    <row r="71" spans="1:16" x14ac:dyDescent="0.25">
      <c r="A71" s="4" t="s">
        <v>13</v>
      </c>
      <c r="B71" s="4" t="s">
        <v>55</v>
      </c>
      <c r="C71" s="5">
        <v>39049</v>
      </c>
      <c r="D71" s="4" t="s">
        <v>37</v>
      </c>
      <c r="E71" s="4" t="s">
        <v>73</v>
      </c>
      <c r="F71" s="4" t="s">
        <v>83</v>
      </c>
      <c r="G71" s="4" t="s">
        <v>26</v>
      </c>
      <c r="H71" s="4" t="s">
        <v>27</v>
      </c>
      <c r="I71" s="4" t="s">
        <v>715</v>
      </c>
      <c r="J71" s="4" t="s">
        <v>715</v>
      </c>
      <c r="K71" s="5">
        <v>6156332</v>
      </c>
      <c r="L71" s="5">
        <v>308927</v>
      </c>
      <c r="M71" s="5">
        <v>19</v>
      </c>
      <c r="N71" s="5">
        <v>2</v>
      </c>
      <c r="O71" s="5">
        <v>16</v>
      </c>
      <c r="P71" s="5"/>
    </row>
    <row r="72" spans="1:16" x14ac:dyDescent="0.25">
      <c r="A72" s="4" t="s">
        <v>21</v>
      </c>
      <c r="B72" s="4" t="s">
        <v>55</v>
      </c>
      <c r="C72" s="5">
        <v>39058</v>
      </c>
      <c r="D72" s="4" t="s">
        <v>37</v>
      </c>
      <c r="E72" s="4" t="s">
        <v>84</v>
      </c>
      <c r="F72" s="4" t="s">
        <v>85</v>
      </c>
      <c r="G72" s="4" t="s">
        <v>26</v>
      </c>
      <c r="H72" s="4" t="s">
        <v>27</v>
      </c>
      <c r="I72" s="4" t="s">
        <v>715</v>
      </c>
      <c r="J72" s="4" t="s">
        <v>638</v>
      </c>
      <c r="K72" s="5">
        <v>6166263</v>
      </c>
      <c r="L72" s="5">
        <v>303418</v>
      </c>
      <c r="M72" s="5">
        <v>19</v>
      </c>
      <c r="N72" s="5">
        <v>1</v>
      </c>
      <c r="O72" s="5">
        <v>26</v>
      </c>
      <c r="P72" s="5"/>
    </row>
    <row r="73" spans="1:16" x14ac:dyDescent="0.25">
      <c r="A73" s="4" t="s">
        <v>21</v>
      </c>
      <c r="B73" s="4" t="s">
        <v>55</v>
      </c>
      <c r="C73" s="5">
        <v>39306</v>
      </c>
      <c r="D73" s="4" t="s">
        <v>37</v>
      </c>
      <c r="E73" s="4" t="s">
        <v>73</v>
      </c>
      <c r="F73" s="4" t="s">
        <v>75</v>
      </c>
      <c r="G73" s="4" t="s">
        <v>26</v>
      </c>
      <c r="H73" s="4" t="s">
        <v>27</v>
      </c>
      <c r="I73" s="4" t="s">
        <v>715</v>
      </c>
      <c r="J73" s="4" t="s">
        <v>638</v>
      </c>
      <c r="K73" s="5">
        <v>6148105</v>
      </c>
      <c r="L73" s="5">
        <v>321394</v>
      </c>
      <c r="M73" s="5">
        <v>19</v>
      </c>
      <c r="N73" s="5">
        <v>1</v>
      </c>
      <c r="O73" s="5">
        <v>6</v>
      </c>
      <c r="P73" s="5"/>
    </row>
    <row r="74" spans="1:16" x14ac:dyDescent="0.25">
      <c r="A74" s="4" t="s">
        <v>13</v>
      </c>
      <c r="B74" s="4" t="s">
        <v>55</v>
      </c>
      <c r="C74" s="5">
        <v>39314</v>
      </c>
      <c r="D74" s="4" t="s">
        <v>37</v>
      </c>
      <c r="E74" s="4" t="s">
        <v>73</v>
      </c>
      <c r="F74" s="4" t="s">
        <v>75</v>
      </c>
      <c r="G74" s="4" t="s">
        <v>26</v>
      </c>
      <c r="H74" s="4" t="s">
        <v>27</v>
      </c>
      <c r="I74" s="4" t="s">
        <v>715</v>
      </c>
      <c r="J74" s="4" t="s">
        <v>638</v>
      </c>
      <c r="K74" s="5">
        <v>6148143</v>
      </c>
      <c r="L74" s="5">
        <v>321264</v>
      </c>
      <c r="M74" s="5">
        <v>19</v>
      </c>
      <c r="N74" s="5">
        <v>3</v>
      </c>
      <c r="O74" s="5">
        <v>9</v>
      </c>
      <c r="P74" s="5"/>
    </row>
    <row r="75" spans="1:16" x14ac:dyDescent="0.25">
      <c r="A75" s="4" t="s">
        <v>21</v>
      </c>
      <c r="B75" s="4" t="s">
        <v>86</v>
      </c>
      <c r="C75" s="5">
        <v>35504</v>
      </c>
      <c r="D75" s="4" t="s">
        <v>58</v>
      </c>
      <c r="E75" s="4" t="s">
        <v>59</v>
      </c>
      <c r="F75" s="4" t="s">
        <v>87</v>
      </c>
      <c r="G75" s="4" t="s">
        <v>57</v>
      </c>
      <c r="H75" s="4" t="s">
        <v>27</v>
      </c>
      <c r="I75" s="4" t="s">
        <v>715</v>
      </c>
      <c r="J75" s="4" t="s">
        <v>715</v>
      </c>
      <c r="K75" s="5">
        <v>5859696</v>
      </c>
      <c r="L75" s="5">
        <v>747155</v>
      </c>
      <c r="M75" s="5">
        <v>18</v>
      </c>
      <c r="N75" s="5">
        <v>2</v>
      </c>
      <c r="O75" s="5">
        <v>38</v>
      </c>
      <c r="P75" s="5"/>
    </row>
    <row r="76" spans="1:16" x14ac:dyDescent="0.25">
      <c r="A76" s="4" t="s">
        <v>21</v>
      </c>
      <c r="B76" s="4" t="s">
        <v>86</v>
      </c>
      <c r="C76" s="5">
        <v>35505</v>
      </c>
      <c r="D76" s="4" t="s">
        <v>58</v>
      </c>
      <c r="E76" s="4" t="s">
        <v>59</v>
      </c>
      <c r="F76" s="4" t="s">
        <v>90</v>
      </c>
      <c r="G76" s="4" t="s">
        <v>57</v>
      </c>
      <c r="H76" s="4" t="s">
        <v>27</v>
      </c>
      <c r="I76" s="4" t="s">
        <v>715</v>
      </c>
      <c r="J76" s="4" t="s">
        <v>715</v>
      </c>
      <c r="K76" s="5">
        <v>5842718</v>
      </c>
      <c r="L76" s="5">
        <v>737675</v>
      </c>
      <c r="M76" s="5">
        <v>18</v>
      </c>
      <c r="N76" s="5">
        <v>1</v>
      </c>
      <c r="O76" s="5">
        <v>17</v>
      </c>
      <c r="P76" s="5"/>
    </row>
    <row r="77" spans="1:16" x14ac:dyDescent="0.25">
      <c r="A77" s="4" t="s">
        <v>21</v>
      </c>
      <c r="B77" s="4" t="s">
        <v>86</v>
      </c>
      <c r="C77" s="5">
        <v>35506</v>
      </c>
      <c r="D77" s="4" t="s">
        <v>58</v>
      </c>
      <c r="E77" s="4" t="s">
        <v>59</v>
      </c>
      <c r="F77" s="4" t="s">
        <v>91</v>
      </c>
      <c r="G77" s="4" t="s">
        <v>57</v>
      </c>
      <c r="H77" s="4" t="s">
        <v>27</v>
      </c>
      <c r="I77" s="4" t="s">
        <v>715</v>
      </c>
      <c r="J77" s="4" t="s">
        <v>715</v>
      </c>
      <c r="K77" s="5">
        <v>5858220</v>
      </c>
      <c r="L77" s="5">
        <v>747284</v>
      </c>
      <c r="M77" s="5">
        <v>18</v>
      </c>
      <c r="N77" s="5">
        <v>1</v>
      </c>
      <c r="O77" s="5">
        <v>17</v>
      </c>
      <c r="P77" s="5"/>
    </row>
    <row r="78" spans="1:16" x14ac:dyDescent="0.25">
      <c r="A78" s="4" t="s">
        <v>21</v>
      </c>
      <c r="B78" s="4" t="s">
        <v>86</v>
      </c>
      <c r="C78" s="5">
        <v>35561</v>
      </c>
      <c r="D78" s="4" t="s">
        <v>58</v>
      </c>
      <c r="E78" s="4" t="s">
        <v>92</v>
      </c>
      <c r="F78" s="4" t="s">
        <v>93</v>
      </c>
      <c r="G78" s="4" t="s">
        <v>57</v>
      </c>
      <c r="H78" s="4" t="s">
        <v>27</v>
      </c>
      <c r="I78" s="4" t="s">
        <v>715</v>
      </c>
      <c r="J78" s="4" t="s">
        <v>715</v>
      </c>
      <c r="K78" s="5">
        <v>5954022</v>
      </c>
      <c r="L78" s="5">
        <v>246334</v>
      </c>
      <c r="M78" s="5">
        <v>19</v>
      </c>
      <c r="N78" s="5">
        <v>1</v>
      </c>
      <c r="O78" s="5">
        <v>45</v>
      </c>
      <c r="P78" s="5"/>
    </row>
    <row r="79" spans="1:16" x14ac:dyDescent="0.25">
      <c r="A79" s="4" t="s">
        <v>21</v>
      </c>
      <c r="B79" s="4" t="s">
        <v>86</v>
      </c>
      <c r="C79" s="5">
        <v>35562</v>
      </c>
      <c r="D79" s="4" t="s">
        <v>58</v>
      </c>
      <c r="E79" s="4" t="s">
        <v>92</v>
      </c>
      <c r="F79" s="4" t="s">
        <v>93</v>
      </c>
      <c r="G79" s="4" t="s">
        <v>57</v>
      </c>
      <c r="H79" s="4" t="s">
        <v>27</v>
      </c>
      <c r="I79" s="4" t="s">
        <v>715</v>
      </c>
      <c r="J79" s="4" t="s">
        <v>715</v>
      </c>
      <c r="K79" s="5">
        <v>5954281</v>
      </c>
      <c r="L79" s="5">
        <v>247271</v>
      </c>
      <c r="M79" s="5">
        <v>19</v>
      </c>
      <c r="N79" s="5">
        <v>2</v>
      </c>
      <c r="O79" s="5">
        <v>120</v>
      </c>
      <c r="P79" s="5"/>
    </row>
    <row r="80" spans="1:16" x14ac:dyDescent="0.25">
      <c r="A80" s="4" t="s">
        <v>21</v>
      </c>
      <c r="B80" s="4" t="s">
        <v>86</v>
      </c>
      <c r="C80" s="5">
        <v>35563</v>
      </c>
      <c r="D80" s="4" t="s">
        <v>58</v>
      </c>
      <c r="E80" s="4" t="s">
        <v>94</v>
      </c>
      <c r="F80" s="4" t="s">
        <v>95</v>
      </c>
      <c r="G80" s="4" t="s">
        <v>57</v>
      </c>
      <c r="H80" s="4" t="s">
        <v>27</v>
      </c>
      <c r="I80" s="4" t="s">
        <v>715</v>
      </c>
      <c r="J80" s="4" t="s">
        <v>715</v>
      </c>
      <c r="K80" s="5">
        <v>5914052</v>
      </c>
      <c r="L80" s="5">
        <v>766216</v>
      </c>
      <c r="M80" s="5">
        <v>18</v>
      </c>
      <c r="N80" s="5">
        <v>1</v>
      </c>
      <c r="O80" s="5">
        <v>25</v>
      </c>
      <c r="P80" s="5"/>
    </row>
    <row r="81" spans="1:16" x14ac:dyDescent="0.25">
      <c r="A81" s="4" t="s">
        <v>21</v>
      </c>
      <c r="B81" s="4" t="s">
        <v>86</v>
      </c>
      <c r="C81" s="5">
        <v>35651</v>
      </c>
      <c r="D81" s="4" t="s">
        <v>33</v>
      </c>
      <c r="E81" s="4" t="s">
        <v>70</v>
      </c>
      <c r="F81" s="4" t="s">
        <v>96</v>
      </c>
      <c r="G81" s="4" t="s">
        <v>57</v>
      </c>
      <c r="H81" s="4" t="s">
        <v>27</v>
      </c>
      <c r="I81" s="4" t="s">
        <v>715</v>
      </c>
      <c r="J81" s="4" t="s">
        <v>715</v>
      </c>
      <c r="K81" s="5">
        <v>6004253</v>
      </c>
      <c r="L81" s="5">
        <v>268599</v>
      </c>
      <c r="M81" s="5">
        <v>19</v>
      </c>
      <c r="N81" s="5">
        <v>1</v>
      </c>
      <c r="O81" s="5">
        <v>15</v>
      </c>
      <c r="P81" s="5"/>
    </row>
    <row r="82" spans="1:16" x14ac:dyDescent="0.25">
      <c r="A82" s="4" t="s">
        <v>21</v>
      </c>
      <c r="B82" s="4" t="s">
        <v>86</v>
      </c>
      <c r="C82" s="5">
        <v>35664</v>
      </c>
      <c r="D82" s="4" t="s">
        <v>58</v>
      </c>
      <c r="E82" s="4" t="s">
        <v>92</v>
      </c>
      <c r="F82" s="4" t="s">
        <v>93</v>
      </c>
      <c r="G82" s="4" t="s">
        <v>57</v>
      </c>
      <c r="H82" s="4" t="s">
        <v>27</v>
      </c>
      <c r="I82" s="4" t="s">
        <v>715</v>
      </c>
      <c r="J82" s="4" t="s">
        <v>715</v>
      </c>
      <c r="K82" s="5">
        <v>5953251</v>
      </c>
      <c r="L82" s="5">
        <v>246436</v>
      </c>
      <c r="M82" s="5">
        <v>19</v>
      </c>
      <c r="N82" s="5">
        <v>1</v>
      </c>
      <c r="O82" s="5">
        <v>22</v>
      </c>
      <c r="P82" s="5"/>
    </row>
    <row r="83" spans="1:16" x14ac:dyDescent="0.25">
      <c r="A83" s="4" t="s">
        <v>21</v>
      </c>
      <c r="B83" s="4" t="s">
        <v>86</v>
      </c>
      <c r="C83" s="5">
        <v>35665</v>
      </c>
      <c r="D83" s="4" t="s">
        <v>97</v>
      </c>
      <c r="E83" s="4" t="s">
        <v>98</v>
      </c>
      <c r="F83" s="4" t="s">
        <v>98</v>
      </c>
      <c r="G83" s="4" t="s">
        <v>57</v>
      </c>
      <c r="H83" s="4" t="s">
        <v>27</v>
      </c>
      <c r="I83" s="4" t="s">
        <v>715</v>
      </c>
      <c r="J83" s="4" t="s">
        <v>715</v>
      </c>
      <c r="K83" s="5">
        <v>5809962</v>
      </c>
      <c r="L83" s="5">
        <v>705686</v>
      </c>
      <c r="M83" s="5">
        <v>18</v>
      </c>
      <c r="N83" s="5">
        <v>1</v>
      </c>
      <c r="O83" s="5">
        <v>12</v>
      </c>
      <c r="P83" s="5"/>
    </row>
    <row r="84" spans="1:16" x14ac:dyDescent="0.25">
      <c r="A84" s="4" t="s">
        <v>21</v>
      </c>
      <c r="B84" s="4" t="s">
        <v>86</v>
      </c>
      <c r="C84" s="5">
        <v>35666</v>
      </c>
      <c r="D84" s="4" t="s">
        <v>58</v>
      </c>
      <c r="E84" s="4" t="s">
        <v>59</v>
      </c>
      <c r="F84" s="4" t="s">
        <v>99</v>
      </c>
      <c r="G84" s="4" t="s">
        <v>57</v>
      </c>
      <c r="H84" s="4" t="s">
        <v>27</v>
      </c>
      <c r="I84" s="4" t="s">
        <v>715</v>
      </c>
      <c r="J84" s="4" t="s">
        <v>715</v>
      </c>
      <c r="K84" s="5">
        <v>5868685</v>
      </c>
      <c r="L84" s="5">
        <v>746571</v>
      </c>
      <c r="M84" s="5">
        <v>18</v>
      </c>
      <c r="N84" s="5">
        <v>1</v>
      </c>
      <c r="O84" s="5">
        <v>26</v>
      </c>
      <c r="P84" s="5"/>
    </row>
    <row r="85" spans="1:16" x14ac:dyDescent="0.25">
      <c r="A85" s="4" t="s">
        <v>21</v>
      </c>
      <c r="B85" s="4" t="s">
        <v>86</v>
      </c>
      <c r="C85" s="5">
        <v>35747</v>
      </c>
      <c r="D85" s="4" t="s">
        <v>58</v>
      </c>
      <c r="E85" s="4" t="s">
        <v>100</v>
      </c>
      <c r="F85" s="4" t="s">
        <v>100</v>
      </c>
      <c r="G85" s="4" t="s">
        <v>57</v>
      </c>
      <c r="H85" s="4" t="s">
        <v>27</v>
      </c>
      <c r="I85" s="4" t="s">
        <v>715</v>
      </c>
      <c r="J85" s="4" t="s">
        <v>715</v>
      </c>
      <c r="K85" s="5">
        <v>5905258</v>
      </c>
      <c r="L85" s="5">
        <v>746481</v>
      </c>
      <c r="M85" s="5">
        <v>18</v>
      </c>
      <c r="N85" s="5">
        <v>1</v>
      </c>
      <c r="O85" s="5">
        <v>55</v>
      </c>
      <c r="P85" s="5"/>
    </row>
    <row r="86" spans="1:16" x14ac:dyDescent="0.25">
      <c r="A86" s="4" t="s">
        <v>21</v>
      </c>
      <c r="B86" s="4" t="s">
        <v>86</v>
      </c>
      <c r="C86" s="5">
        <v>35749</v>
      </c>
      <c r="D86" s="4" t="s">
        <v>58</v>
      </c>
      <c r="E86" s="4" t="s">
        <v>101</v>
      </c>
      <c r="F86" s="4" t="s">
        <v>101</v>
      </c>
      <c r="G86" s="4" t="s">
        <v>57</v>
      </c>
      <c r="H86" s="4" t="s">
        <v>27</v>
      </c>
      <c r="I86" s="4" t="s">
        <v>715</v>
      </c>
      <c r="J86" s="4" t="s">
        <v>638</v>
      </c>
      <c r="K86" s="5">
        <v>5961110</v>
      </c>
      <c r="L86" s="5">
        <v>247485</v>
      </c>
      <c r="M86" s="5">
        <v>19</v>
      </c>
      <c r="N86" s="5">
        <v>1</v>
      </c>
      <c r="O86" s="5">
        <v>10</v>
      </c>
      <c r="P86" s="5"/>
    </row>
    <row r="87" spans="1:16" x14ac:dyDescent="0.25">
      <c r="A87" s="4" t="s">
        <v>21</v>
      </c>
      <c r="B87" s="4" t="s">
        <v>86</v>
      </c>
      <c r="C87" s="5">
        <v>35750</v>
      </c>
      <c r="D87" s="4" t="s">
        <v>58</v>
      </c>
      <c r="E87" s="4" t="s">
        <v>94</v>
      </c>
      <c r="F87" s="4" t="s">
        <v>94</v>
      </c>
      <c r="G87" s="4" t="s">
        <v>57</v>
      </c>
      <c r="H87" s="4" t="s">
        <v>27</v>
      </c>
      <c r="I87" s="4" t="s">
        <v>715</v>
      </c>
      <c r="J87" s="4" t="s">
        <v>638</v>
      </c>
      <c r="K87" s="5">
        <v>5911434</v>
      </c>
      <c r="L87" s="5">
        <v>761655</v>
      </c>
      <c r="M87" s="5">
        <v>18</v>
      </c>
      <c r="N87" s="5">
        <v>1</v>
      </c>
      <c r="O87" s="5">
        <v>22</v>
      </c>
      <c r="P87" s="5"/>
    </row>
    <row r="88" spans="1:16" x14ac:dyDescent="0.25">
      <c r="A88" s="4" t="s">
        <v>21</v>
      </c>
      <c r="B88" s="4" t="s">
        <v>86</v>
      </c>
      <c r="C88" s="5">
        <v>35751</v>
      </c>
      <c r="D88" s="4" t="s">
        <v>58</v>
      </c>
      <c r="E88" s="4" t="s">
        <v>59</v>
      </c>
      <c r="F88" s="4" t="s">
        <v>102</v>
      </c>
      <c r="G88" s="4" t="s">
        <v>57</v>
      </c>
      <c r="H88" s="4" t="s">
        <v>27</v>
      </c>
      <c r="I88" s="4" t="s">
        <v>715</v>
      </c>
      <c r="J88" s="4" t="s">
        <v>638</v>
      </c>
      <c r="K88" s="5">
        <v>5853150</v>
      </c>
      <c r="L88" s="5">
        <v>750100</v>
      </c>
      <c r="M88" s="5">
        <v>18</v>
      </c>
      <c r="N88" s="5">
        <v>1</v>
      </c>
      <c r="O88" s="5">
        <v>13</v>
      </c>
      <c r="P88" s="5"/>
    </row>
    <row r="89" spans="1:16" x14ac:dyDescent="0.25">
      <c r="A89" s="4" t="s">
        <v>21</v>
      </c>
      <c r="B89" s="4" t="s">
        <v>86</v>
      </c>
      <c r="C89" s="5">
        <v>35793</v>
      </c>
      <c r="D89" s="4" t="s">
        <v>58</v>
      </c>
      <c r="E89" s="4" t="s">
        <v>92</v>
      </c>
      <c r="F89" s="4" t="s">
        <v>93</v>
      </c>
      <c r="G89" s="4" t="s">
        <v>57</v>
      </c>
      <c r="H89" s="4" t="s">
        <v>27</v>
      </c>
      <c r="I89" s="4" t="s">
        <v>715</v>
      </c>
      <c r="J89" s="4" t="s">
        <v>715</v>
      </c>
      <c r="K89" s="5">
        <v>5953456</v>
      </c>
      <c r="L89" s="5">
        <v>248871</v>
      </c>
      <c r="M89" s="5">
        <v>19</v>
      </c>
      <c r="N89" s="5">
        <v>1</v>
      </c>
      <c r="O89" s="5">
        <v>18</v>
      </c>
      <c r="P89" s="5"/>
    </row>
    <row r="90" spans="1:16" x14ac:dyDescent="0.25">
      <c r="A90" s="4" t="s">
        <v>21</v>
      </c>
      <c r="B90" s="4" t="s">
        <v>86</v>
      </c>
      <c r="C90" s="5">
        <v>35794</v>
      </c>
      <c r="D90" s="4" t="s">
        <v>58</v>
      </c>
      <c r="E90" s="4" t="s">
        <v>103</v>
      </c>
      <c r="F90" s="4" t="s">
        <v>104</v>
      </c>
      <c r="G90" s="4" t="s">
        <v>57</v>
      </c>
      <c r="H90" s="4" t="s">
        <v>27</v>
      </c>
      <c r="I90" s="4" t="s">
        <v>715</v>
      </c>
      <c r="J90" s="4" t="s">
        <v>638</v>
      </c>
      <c r="K90" s="5">
        <v>5839956</v>
      </c>
      <c r="L90" s="5">
        <v>707865</v>
      </c>
      <c r="M90" s="5">
        <v>18</v>
      </c>
      <c r="N90" s="5">
        <v>3</v>
      </c>
      <c r="O90" s="5">
        <v>14</v>
      </c>
      <c r="P90" s="5"/>
    </row>
    <row r="91" spans="1:16" x14ac:dyDescent="0.25">
      <c r="A91" s="4" t="s">
        <v>21</v>
      </c>
      <c r="B91" s="4" t="s">
        <v>86</v>
      </c>
      <c r="C91" s="5">
        <v>35796</v>
      </c>
      <c r="D91" s="4" t="s">
        <v>58</v>
      </c>
      <c r="E91" s="4" t="s">
        <v>105</v>
      </c>
      <c r="F91" s="4" t="s">
        <v>105</v>
      </c>
      <c r="G91" s="4" t="s">
        <v>57</v>
      </c>
      <c r="H91" s="4" t="s">
        <v>27</v>
      </c>
      <c r="I91" s="4" t="s">
        <v>715</v>
      </c>
      <c r="J91" s="4" t="s">
        <v>638</v>
      </c>
      <c r="K91" s="5">
        <v>5945401</v>
      </c>
      <c r="L91" s="5">
        <v>765303</v>
      </c>
      <c r="M91" s="5">
        <v>18</v>
      </c>
      <c r="N91" s="5">
        <v>1</v>
      </c>
      <c r="O91" s="5">
        <v>34</v>
      </c>
      <c r="P91" s="5"/>
    </row>
    <row r="92" spans="1:16" x14ac:dyDescent="0.25">
      <c r="A92" s="4" t="s">
        <v>21</v>
      </c>
      <c r="B92" s="4" t="s">
        <v>86</v>
      </c>
      <c r="C92" s="5">
        <v>36201</v>
      </c>
      <c r="D92" s="4" t="s">
        <v>58</v>
      </c>
      <c r="E92" s="4" t="s">
        <v>62</v>
      </c>
      <c r="F92" s="4" t="s">
        <v>106</v>
      </c>
      <c r="G92" s="4" t="s">
        <v>57</v>
      </c>
      <c r="H92" s="4" t="s">
        <v>27</v>
      </c>
      <c r="I92" s="4" t="s">
        <v>715</v>
      </c>
      <c r="J92" s="4" t="s">
        <v>638</v>
      </c>
      <c r="K92" s="5">
        <v>5884233</v>
      </c>
      <c r="L92" s="5">
        <v>737385</v>
      </c>
      <c r="M92" s="5">
        <v>18</v>
      </c>
      <c r="N92" s="5">
        <v>2</v>
      </c>
      <c r="O92" s="5">
        <v>35</v>
      </c>
      <c r="P92" s="5"/>
    </row>
    <row r="93" spans="1:16" x14ac:dyDescent="0.25">
      <c r="A93" s="4" t="s">
        <v>21</v>
      </c>
      <c r="B93" s="4" t="s">
        <v>86</v>
      </c>
      <c r="C93" s="5">
        <v>36215</v>
      </c>
      <c r="D93" s="4" t="s">
        <v>58</v>
      </c>
      <c r="E93" s="4" t="s">
        <v>62</v>
      </c>
      <c r="F93" s="4" t="s">
        <v>106</v>
      </c>
      <c r="G93" s="4" t="s">
        <v>57</v>
      </c>
      <c r="H93" s="4" t="s">
        <v>27</v>
      </c>
      <c r="I93" s="4" t="s">
        <v>715</v>
      </c>
      <c r="J93" s="4" t="s">
        <v>638</v>
      </c>
      <c r="K93" s="5">
        <v>5885817</v>
      </c>
      <c r="L93" s="5">
        <v>741692</v>
      </c>
      <c r="M93" s="5">
        <v>18</v>
      </c>
      <c r="N93" s="5">
        <v>1</v>
      </c>
      <c r="O93" s="5">
        <v>30</v>
      </c>
      <c r="P93" s="5"/>
    </row>
    <row r="94" spans="1:16" x14ac:dyDescent="0.25">
      <c r="A94" s="4" t="s">
        <v>21</v>
      </c>
      <c r="B94" s="4" t="s">
        <v>86</v>
      </c>
      <c r="C94" s="5">
        <v>36242</v>
      </c>
      <c r="D94" s="4" t="s">
        <v>58</v>
      </c>
      <c r="E94" s="4" t="s">
        <v>59</v>
      </c>
      <c r="F94" s="4" t="s">
        <v>59</v>
      </c>
      <c r="G94" s="4" t="s">
        <v>57</v>
      </c>
      <c r="H94" s="4" t="s">
        <v>27</v>
      </c>
      <c r="I94" s="4" t="s">
        <v>715</v>
      </c>
      <c r="J94" s="4" t="s">
        <v>715</v>
      </c>
      <c r="K94" s="5">
        <v>5860954</v>
      </c>
      <c r="L94" s="5">
        <v>750311</v>
      </c>
      <c r="M94" s="5">
        <v>18</v>
      </c>
      <c r="N94" s="5">
        <v>1</v>
      </c>
      <c r="O94" s="5">
        <v>13</v>
      </c>
      <c r="P94" s="5"/>
    </row>
    <row r="95" spans="1:16" x14ac:dyDescent="0.25">
      <c r="A95" s="4" t="s">
        <v>21</v>
      </c>
      <c r="B95" s="4" t="s">
        <v>86</v>
      </c>
      <c r="C95" s="5">
        <v>36249</v>
      </c>
      <c r="D95" s="4" t="s">
        <v>58</v>
      </c>
      <c r="E95" s="4" t="s">
        <v>107</v>
      </c>
      <c r="F95" s="4" t="s">
        <v>108</v>
      </c>
      <c r="G95" s="4" t="s">
        <v>57</v>
      </c>
      <c r="H95" s="4" t="s">
        <v>27</v>
      </c>
      <c r="I95" s="4" t="s">
        <v>715</v>
      </c>
      <c r="J95" s="4" t="s">
        <v>638</v>
      </c>
      <c r="K95" s="5">
        <v>5953669</v>
      </c>
      <c r="L95" s="5">
        <v>757812</v>
      </c>
      <c r="M95" s="5">
        <v>18</v>
      </c>
      <c r="N95" s="5">
        <v>1</v>
      </c>
      <c r="O95" s="5">
        <v>33.43</v>
      </c>
      <c r="P95" s="5"/>
    </row>
    <row r="96" spans="1:16" x14ac:dyDescent="0.25">
      <c r="A96" s="4" t="s">
        <v>21</v>
      </c>
      <c r="B96" s="4" t="s">
        <v>86</v>
      </c>
      <c r="C96" s="5">
        <v>36269</v>
      </c>
      <c r="D96" s="4" t="s">
        <v>58</v>
      </c>
      <c r="E96" s="4" t="s">
        <v>109</v>
      </c>
      <c r="F96" s="4" t="s">
        <v>109</v>
      </c>
      <c r="G96" s="4" t="s">
        <v>57</v>
      </c>
      <c r="H96" s="4" t="s">
        <v>27</v>
      </c>
      <c r="I96" s="4" t="s">
        <v>715</v>
      </c>
      <c r="J96" s="4" t="s">
        <v>715</v>
      </c>
      <c r="K96" s="5">
        <v>5916416</v>
      </c>
      <c r="L96" s="5">
        <v>232680</v>
      </c>
      <c r="M96" s="5">
        <v>19</v>
      </c>
      <c r="N96" s="5">
        <v>2</v>
      </c>
      <c r="O96" s="5">
        <v>55</v>
      </c>
      <c r="P96" s="5"/>
    </row>
    <row r="97" spans="1:16" x14ac:dyDescent="0.25">
      <c r="A97" s="4" t="s">
        <v>21</v>
      </c>
      <c r="B97" s="4" t="s">
        <v>86</v>
      </c>
      <c r="C97" s="5">
        <v>36270</v>
      </c>
      <c r="D97" s="4" t="s">
        <v>58</v>
      </c>
      <c r="E97" s="4" t="s">
        <v>110</v>
      </c>
      <c r="F97" s="4" t="s">
        <v>110</v>
      </c>
      <c r="G97" s="4" t="s">
        <v>57</v>
      </c>
      <c r="H97" s="4" t="s">
        <v>27</v>
      </c>
      <c r="I97" s="4" t="s">
        <v>715</v>
      </c>
      <c r="J97" s="4" t="s">
        <v>715</v>
      </c>
      <c r="K97" s="5">
        <v>5890012</v>
      </c>
      <c r="L97" s="5">
        <v>235123</v>
      </c>
      <c r="M97" s="5">
        <v>19</v>
      </c>
      <c r="N97" s="5">
        <v>1</v>
      </c>
      <c r="O97" s="5">
        <v>21</v>
      </c>
      <c r="P97" s="5"/>
    </row>
    <row r="98" spans="1:16" x14ac:dyDescent="0.25">
      <c r="A98" s="4" t="s">
        <v>21</v>
      </c>
      <c r="B98" s="4" t="s">
        <v>86</v>
      </c>
      <c r="C98" s="5">
        <v>36272</v>
      </c>
      <c r="D98" s="4" t="s">
        <v>58</v>
      </c>
      <c r="E98" s="4" t="s">
        <v>111</v>
      </c>
      <c r="F98" s="4" t="s">
        <v>112</v>
      </c>
      <c r="G98" s="4" t="s">
        <v>57</v>
      </c>
      <c r="H98" s="4" t="s">
        <v>27</v>
      </c>
      <c r="I98" s="4" t="s">
        <v>715</v>
      </c>
      <c r="J98" s="4" t="s">
        <v>715</v>
      </c>
      <c r="K98" s="5">
        <v>5915412</v>
      </c>
      <c r="L98" s="5">
        <v>741718</v>
      </c>
      <c r="M98" s="5">
        <v>18</v>
      </c>
      <c r="N98" s="5">
        <v>1</v>
      </c>
      <c r="O98" s="5">
        <v>40</v>
      </c>
      <c r="P98" s="5"/>
    </row>
    <row r="99" spans="1:16" x14ac:dyDescent="0.25">
      <c r="A99" s="4" t="s">
        <v>21</v>
      </c>
      <c r="B99" s="4" t="s">
        <v>86</v>
      </c>
      <c r="C99" s="5">
        <v>36275</v>
      </c>
      <c r="D99" s="4" t="s">
        <v>58</v>
      </c>
      <c r="E99" s="4" t="s">
        <v>101</v>
      </c>
      <c r="F99" s="4" t="s">
        <v>113</v>
      </c>
      <c r="G99" s="4" t="s">
        <v>57</v>
      </c>
      <c r="H99" s="4" t="s">
        <v>27</v>
      </c>
      <c r="I99" s="4" t="s">
        <v>715</v>
      </c>
      <c r="J99" s="4" t="s">
        <v>715</v>
      </c>
      <c r="K99" s="5">
        <v>5977346</v>
      </c>
      <c r="L99" s="5">
        <v>232398</v>
      </c>
      <c r="M99" s="5">
        <v>19</v>
      </c>
      <c r="N99" s="5">
        <v>1</v>
      </c>
      <c r="O99" s="5">
        <v>30</v>
      </c>
      <c r="P99" s="5"/>
    </row>
    <row r="100" spans="1:16" x14ac:dyDescent="0.25">
      <c r="A100" s="4" t="s">
        <v>21</v>
      </c>
      <c r="B100" s="4" t="s">
        <v>86</v>
      </c>
      <c r="C100" s="5">
        <v>36350</v>
      </c>
      <c r="D100" s="4" t="s">
        <v>58</v>
      </c>
      <c r="E100" s="4" t="s">
        <v>111</v>
      </c>
      <c r="F100" s="4" t="s">
        <v>112</v>
      </c>
      <c r="G100" s="4" t="s">
        <v>57</v>
      </c>
      <c r="H100" s="4" t="s">
        <v>27</v>
      </c>
      <c r="I100" s="4" t="s">
        <v>715</v>
      </c>
      <c r="J100" s="4" t="s">
        <v>715</v>
      </c>
      <c r="K100" s="5">
        <v>5916234</v>
      </c>
      <c r="L100" s="5">
        <v>740804</v>
      </c>
      <c r="M100" s="5">
        <v>18</v>
      </c>
      <c r="N100" s="5">
        <v>1</v>
      </c>
      <c r="O100" s="5">
        <v>86</v>
      </c>
      <c r="P100" s="5"/>
    </row>
    <row r="101" spans="1:16" x14ac:dyDescent="0.25">
      <c r="A101" s="4" t="s">
        <v>21</v>
      </c>
      <c r="B101" s="4" t="s">
        <v>86</v>
      </c>
      <c r="C101" s="5">
        <v>36353</v>
      </c>
      <c r="D101" s="4" t="s">
        <v>58</v>
      </c>
      <c r="E101" s="4" t="s">
        <v>111</v>
      </c>
      <c r="F101" s="4" t="s">
        <v>114</v>
      </c>
      <c r="G101" s="4" t="s">
        <v>57</v>
      </c>
      <c r="H101" s="4" t="s">
        <v>27</v>
      </c>
      <c r="I101" s="4" t="s">
        <v>715</v>
      </c>
      <c r="J101" s="4" t="s">
        <v>715</v>
      </c>
      <c r="K101" s="5">
        <v>5923692</v>
      </c>
      <c r="L101" s="5">
        <v>736544</v>
      </c>
      <c r="M101" s="5">
        <v>18</v>
      </c>
      <c r="N101" s="5">
        <v>3</v>
      </c>
      <c r="O101" s="5">
        <v>68</v>
      </c>
      <c r="P101" s="5"/>
    </row>
    <row r="102" spans="1:16" x14ac:dyDescent="0.25">
      <c r="A102" s="4" t="s">
        <v>21</v>
      </c>
      <c r="B102" s="4" t="s">
        <v>86</v>
      </c>
      <c r="C102" s="5">
        <v>36436</v>
      </c>
      <c r="D102" s="4" t="s">
        <v>58</v>
      </c>
      <c r="E102" s="4" t="s">
        <v>111</v>
      </c>
      <c r="F102" s="4" t="s">
        <v>111</v>
      </c>
      <c r="G102" s="4" t="s">
        <v>57</v>
      </c>
      <c r="H102" s="4" t="s">
        <v>27</v>
      </c>
      <c r="I102" s="4" t="s">
        <v>715</v>
      </c>
      <c r="J102" s="4" t="s">
        <v>715</v>
      </c>
      <c r="K102" s="5">
        <v>5932698</v>
      </c>
      <c r="L102" s="5">
        <v>739843</v>
      </c>
      <c r="M102" s="5">
        <v>18</v>
      </c>
      <c r="N102" s="5">
        <v>1</v>
      </c>
      <c r="O102" s="5">
        <v>12</v>
      </c>
      <c r="P102" s="5"/>
    </row>
    <row r="103" spans="1:16" x14ac:dyDescent="0.25">
      <c r="A103" s="4" t="s">
        <v>21</v>
      </c>
      <c r="B103" s="4" t="s">
        <v>86</v>
      </c>
      <c r="C103" s="5">
        <v>36622</v>
      </c>
      <c r="D103" s="4" t="s">
        <v>58</v>
      </c>
      <c r="E103" s="4" t="s">
        <v>109</v>
      </c>
      <c r="F103" s="4" t="s">
        <v>115</v>
      </c>
      <c r="G103" s="4" t="s">
        <v>57</v>
      </c>
      <c r="H103" s="4" t="s">
        <v>27</v>
      </c>
      <c r="I103" s="4" t="s">
        <v>715</v>
      </c>
      <c r="J103" s="4" t="s">
        <v>715</v>
      </c>
      <c r="K103" s="6">
        <v>5917636</v>
      </c>
      <c r="L103" s="6">
        <v>762461</v>
      </c>
      <c r="M103" s="5">
        <v>18</v>
      </c>
      <c r="N103" s="5">
        <v>5</v>
      </c>
      <c r="O103" s="5">
        <v>45</v>
      </c>
      <c r="P103" s="5" t="s">
        <v>650</v>
      </c>
    </row>
    <row r="104" spans="1:16" x14ac:dyDescent="0.25">
      <c r="A104" s="4" t="s">
        <v>21</v>
      </c>
      <c r="B104" s="4" t="s">
        <v>86</v>
      </c>
      <c r="C104" s="5">
        <v>36925</v>
      </c>
      <c r="D104" s="4" t="s">
        <v>58</v>
      </c>
      <c r="E104" s="4" t="s">
        <v>59</v>
      </c>
      <c r="F104" s="4" t="s">
        <v>87</v>
      </c>
      <c r="G104" s="4" t="s">
        <v>57</v>
      </c>
      <c r="H104" s="4" t="s">
        <v>27</v>
      </c>
      <c r="I104" s="4" t="s">
        <v>715</v>
      </c>
      <c r="J104" s="4" t="s">
        <v>715</v>
      </c>
      <c r="K104" s="5">
        <v>5860629</v>
      </c>
      <c r="L104" s="5">
        <v>747350</v>
      </c>
      <c r="M104" s="5">
        <v>18</v>
      </c>
      <c r="N104" s="5">
        <v>1</v>
      </c>
      <c r="O104" s="5">
        <v>22</v>
      </c>
      <c r="P104" s="5"/>
    </row>
    <row r="105" spans="1:16" x14ac:dyDescent="0.25">
      <c r="A105" s="4" t="s">
        <v>21</v>
      </c>
      <c r="B105" s="4" t="s">
        <v>86</v>
      </c>
      <c r="C105" s="5">
        <v>37075</v>
      </c>
      <c r="D105" s="4" t="s">
        <v>58</v>
      </c>
      <c r="E105" s="4" t="s">
        <v>59</v>
      </c>
      <c r="F105" s="4" t="s">
        <v>116</v>
      </c>
      <c r="G105" s="4" t="s">
        <v>57</v>
      </c>
      <c r="H105" s="4" t="s">
        <v>27</v>
      </c>
      <c r="I105" s="4" t="s">
        <v>715</v>
      </c>
      <c r="J105" s="4" t="s">
        <v>715</v>
      </c>
      <c r="K105" s="5">
        <v>5861321</v>
      </c>
      <c r="L105" s="5">
        <v>749985</v>
      </c>
      <c r="M105" s="5">
        <v>18</v>
      </c>
      <c r="N105" s="5">
        <v>1</v>
      </c>
      <c r="O105" s="5">
        <v>22</v>
      </c>
      <c r="P105" s="5"/>
    </row>
    <row r="106" spans="1:16" x14ac:dyDescent="0.25">
      <c r="A106" s="4" t="s">
        <v>21</v>
      </c>
      <c r="B106" s="4" t="s">
        <v>86</v>
      </c>
      <c r="C106" s="5">
        <v>37077</v>
      </c>
      <c r="D106" s="4" t="s">
        <v>58</v>
      </c>
      <c r="E106" s="4" t="s">
        <v>111</v>
      </c>
      <c r="F106" s="4" t="s">
        <v>117</v>
      </c>
      <c r="G106" s="4" t="s">
        <v>57</v>
      </c>
      <c r="H106" s="4" t="s">
        <v>27</v>
      </c>
      <c r="I106" s="4" t="s">
        <v>715</v>
      </c>
      <c r="J106" s="4" t="s">
        <v>638</v>
      </c>
      <c r="K106" s="5">
        <v>5918783</v>
      </c>
      <c r="L106" s="5">
        <v>755010</v>
      </c>
      <c r="M106" s="5">
        <v>18</v>
      </c>
      <c r="N106" s="5">
        <v>1</v>
      </c>
      <c r="O106" s="5">
        <v>8.9</v>
      </c>
      <c r="P106" s="5"/>
    </row>
    <row r="107" spans="1:16" x14ac:dyDescent="0.25">
      <c r="A107" s="4" t="s">
        <v>13</v>
      </c>
      <c r="B107" s="4" t="s">
        <v>86</v>
      </c>
      <c r="C107" s="5">
        <v>37087</v>
      </c>
      <c r="D107" s="4" t="s">
        <v>33</v>
      </c>
      <c r="E107" s="4" t="s">
        <v>118</v>
      </c>
      <c r="F107" s="4" t="s">
        <v>119</v>
      </c>
      <c r="G107" s="4" t="s">
        <v>26</v>
      </c>
      <c r="H107" s="4" t="s">
        <v>27</v>
      </c>
      <c r="I107" s="4" t="s">
        <v>715</v>
      </c>
      <c r="J107" s="4" t="s">
        <v>638</v>
      </c>
      <c r="K107" s="5">
        <v>6025549</v>
      </c>
      <c r="L107" s="5">
        <v>265350</v>
      </c>
      <c r="M107" s="5">
        <v>19</v>
      </c>
      <c r="N107" s="5">
        <v>1</v>
      </c>
      <c r="O107" s="5">
        <v>12</v>
      </c>
      <c r="P107" s="5"/>
    </row>
    <row r="108" spans="1:16" x14ac:dyDescent="0.25">
      <c r="A108" s="4" t="s">
        <v>21</v>
      </c>
      <c r="B108" s="4" t="s">
        <v>86</v>
      </c>
      <c r="C108" s="5">
        <v>37102</v>
      </c>
      <c r="D108" s="4" t="s">
        <v>58</v>
      </c>
      <c r="E108" s="4" t="s">
        <v>111</v>
      </c>
      <c r="F108" s="4" t="s">
        <v>117</v>
      </c>
      <c r="G108" s="4" t="s">
        <v>57</v>
      </c>
      <c r="H108" s="4" t="s">
        <v>27</v>
      </c>
      <c r="I108" s="4" t="s">
        <v>715</v>
      </c>
      <c r="J108" s="4" t="s">
        <v>638</v>
      </c>
      <c r="K108" s="5">
        <v>5920745</v>
      </c>
      <c r="L108" s="5">
        <v>751196</v>
      </c>
      <c r="M108" s="5">
        <v>18</v>
      </c>
      <c r="N108" s="5">
        <v>1</v>
      </c>
      <c r="O108" s="5">
        <v>7.5</v>
      </c>
      <c r="P108" s="5"/>
    </row>
    <row r="109" spans="1:16" x14ac:dyDescent="0.25">
      <c r="A109" s="4" t="s">
        <v>21</v>
      </c>
      <c r="B109" s="4" t="s">
        <v>86</v>
      </c>
      <c r="C109" s="5">
        <v>37107</v>
      </c>
      <c r="D109" s="4" t="s">
        <v>58</v>
      </c>
      <c r="E109" s="4" t="s">
        <v>111</v>
      </c>
      <c r="F109" s="4" t="s">
        <v>117</v>
      </c>
      <c r="G109" s="4" t="s">
        <v>57</v>
      </c>
      <c r="H109" s="4" t="s">
        <v>27</v>
      </c>
      <c r="I109" s="4" t="s">
        <v>715</v>
      </c>
      <c r="J109" s="4" t="s">
        <v>638</v>
      </c>
      <c r="K109" s="5">
        <v>5920899</v>
      </c>
      <c r="L109" s="5">
        <v>751277</v>
      </c>
      <c r="M109" s="5">
        <v>18</v>
      </c>
      <c r="N109" s="5">
        <v>1</v>
      </c>
      <c r="O109" s="5">
        <v>15.47</v>
      </c>
      <c r="P109" s="5"/>
    </row>
    <row r="110" spans="1:16" x14ac:dyDescent="0.25">
      <c r="A110" s="4" t="s">
        <v>13</v>
      </c>
      <c r="B110" s="4" t="s">
        <v>86</v>
      </c>
      <c r="C110" s="5">
        <v>37184</v>
      </c>
      <c r="D110" s="4" t="s">
        <v>58</v>
      </c>
      <c r="E110" s="4" t="s">
        <v>101</v>
      </c>
      <c r="F110" s="4" t="s">
        <v>120</v>
      </c>
      <c r="G110" s="4" t="s">
        <v>26</v>
      </c>
      <c r="H110" s="4" t="s">
        <v>27</v>
      </c>
      <c r="I110" s="4" t="s">
        <v>715</v>
      </c>
      <c r="J110" s="4" t="s">
        <v>638</v>
      </c>
      <c r="K110" s="5">
        <v>5955690</v>
      </c>
      <c r="L110" s="5">
        <v>236010</v>
      </c>
      <c r="M110" s="5">
        <v>19</v>
      </c>
      <c r="N110" s="5">
        <v>1</v>
      </c>
      <c r="O110" s="5">
        <v>16.57</v>
      </c>
      <c r="P110" s="5"/>
    </row>
    <row r="111" spans="1:16" x14ac:dyDescent="0.25">
      <c r="A111" s="4" t="s">
        <v>21</v>
      </c>
      <c r="B111" s="4" t="s">
        <v>86</v>
      </c>
      <c r="C111" s="5">
        <v>37192</v>
      </c>
      <c r="D111" s="4" t="s">
        <v>58</v>
      </c>
      <c r="E111" s="4" t="s">
        <v>100</v>
      </c>
      <c r="F111" s="4" t="s">
        <v>121</v>
      </c>
      <c r="G111" s="4" t="s">
        <v>57</v>
      </c>
      <c r="H111" s="4" t="s">
        <v>27</v>
      </c>
      <c r="I111" s="4" t="s">
        <v>715</v>
      </c>
      <c r="J111" s="4" t="s">
        <v>715</v>
      </c>
      <c r="K111" s="5">
        <v>5914305</v>
      </c>
      <c r="L111" s="5">
        <v>740674</v>
      </c>
      <c r="M111" s="5">
        <v>18</v>
      </c>
      <c r="N111" s="5">
        <v>1</v>
      </c>
      <c r="O111" s="5">
        <v>32.6</v>
      </c>
      <c r="P111" s="5"/>
    </row>
    <row r="112" spans="1:16" x14ac:dyDescent="0.25">
      <c r="A112" s="4" t="s">
        <v>21</v>
      </c>
      <c r="B112" s="4" t="s">
        <v>86</v>
      </c>
      <c r="C112" s="5">
        <v>37194</v>
      </c>
      <c r="D112" s="4" t="s">
        <v>58</v>
      </c>
      <c r="E112" s="4" t="s">
        <v>94</v>
      </c>
      <c r="F112" s="4" t="s">
        <v>95</v>
      </c>
      <c r="G112" s="4" t="s">
        <v>57</v>
      </c>
      <c r="H112" s="4" t="s">
        <v>27</v>
      </c>
      <c r="I112" s="4" t="s">
        <v>715</v>
      </c>
      <c r="J112" s="4" t="s">
        <v>715</v>
      </c>
      <c r="K112" s="5">
        <v>5914285</v>
      </c>
      <c r="L112" s="5">
        <v>766039</v>
      </c>
      <c r="M112" s="5">
        <v>18</v>
      </c>
      <c r="N112" s="5">
        <v>1</v>
      </c>
      <c r="O112" s="5">
        <v>23</v>
      </c>
      <c r="P112" s="5"/>
    </row>
    <row r="113" spans="1:16" x14ac:dyDescent="0.25">
      <c r="A113" s="4" t="s">
        <v>21</v>
      </c>
      <c r="B113" s="4" t="s">
        <v>86</v>
      </c>
      <c r="C113" s="5">
        <v>37195</v>
      </c>
      <c r="D113" s="4" t="s">
        <v>58</v>
      </c>
      <c r="E113" s="4" t="s">
        <v>94</v>
      </c>
      <c r="F113" s="4" t="s">
        <v>95</v>
      </c>
      <c r="G113" s="4" t="s">
        <v>57</v>
      </c>
      <c r="H113" s="4" t="s">
        <v>27</v>
      </c>
      <c r="I113" s="4" t="s">
        <v>715</v>
      </c>
      <c r="J113" s="4" t="s">
        <v>715</v>
      </c>
      <c r="K113" s="5">
        <v>5915087</v>
      </c>
      <c r="L113" s="5">
        <v>767235</v>
      </c>
      <c r="M113" s="5">
        <v>18</v>
      </c>
      <c r="N113" s="5">
        <v>1</v>
      </c>
      <c r="O113" s="5">
        <v>23</v>
      </c>
      <c r="P113" s="5"/>
    </row>
    <row r="114" spans="1:16" x14ac:dyDescent="0.25">
      <c r="A114" s="4" t="s">
        <v>21</v>
      </c>
      <c r="B114" s="4" t="s">
        <v>86</v>
      </c>
      <c r="C114" s="5">
        <v>37327</v>
      </c>
      <c r="D114" s="4" t="s">
        <v>58</v>
      </c>
      <c r="E114" s="4" t="s">
        <v>94</v>
      </c>
      <c r="F114" s="4" t="s">
        <v>94</v>
      </c>
      <c r="G114" s="4" t="s">
        <v>26</v>
      </c>
      <c r="H114" s="4" t="s">
        <v>27</v>
      </c>
      <c r="I114" s="4" t="s">
        <v>715</v>
      </c>
      <c r="J114" s="4" t="s">
        <v>638</v>
      </c>
      <c r="K114" s="5">
        <v>5909504</v>
      </c>
      <c r="L114" s="5">
        <v>757893</v>
      </c>
      <c r="M114" s="5">
        <v>18</v>
      </c>
      <c r="N114" s="5">
        <v>1</v>
      </c>
      <c r="O114" s="5">
        <v>29.5</v>
      </c>
      <c r="P114" s="5"/>
    </row>
    <row r="115" spans="1:16" x14ac:dyDescent="0.25">
      <c r="A115" s="4" t="s">
        <v>21</v>
      </c>
      <c r="B115" s="4" t="s">
        <v>86</v>
      </c>
      <c r="C115" s="5">
        <v>37330</v>
      </c>
      <c r="D115" s="4" t="s">
        <v>58</v>
      </c>
      <c r="E115" s="4" t="s">
        <v>111</v>
      </c>
      <c r="F115" s="4" t="s">
        <v>114</v>
      </c>
      <c r="G115" s="4" t="s">
        <v>57</v>
      </c>
      <c r="H115" s="4" t="s">
        <v>27</v>
      </c>
      <c r="I115" s="4" t="s">
        <v>715</v>
      </c>
      <c r="J115" s="4" t="s">
        <v>715</v>
      </c>
      <c r="K115" s="5">
        <v>5925399</v>
      </c>
      <c r="L115" s="5">
        <v>736311</v>
      </c>
      <c r="M115" s="5">
        <v>18</v>
      </c>
      <c r="N115" s="5">
        <v>1</v>
      </c>
      <c r="O115" s="5">
        <v>21.48</v>
      </c>
      <c r="P115" s="5"/>
    </row>
    <row r="116" spans="1:16" x14ac:dyDescent="0.25">
      <c r="A116" s="4" t="s">
        <v>13</v>
      </c>
      <c r="B116" s="4" t="s">
        <v>86</v>
      </c>
      <c r="C116" s="5">
        <v>37374</v>
      </c>
      <c r="D116" s="4" t="s">
        <v>33</v>
      </c>
      <c r="E116" s="4" t="s">
        <v>122</v>
      </c>
      <c r="F116" s="4" t="s">
        <v>122</v>
      </c>
      <c r="G116" s="4" t="s">
        <v>26</v>
      </c>
      <c r="H116" s="4" t="s">
        <v>27</v>
      </c>
      <c r="I116" s="4" t="s">
        <v>715</v>
      </c>
      <c r="J116" s="4" t="s">
        <v>715</v>
      </c>
      <c r="K116" s="5">
        <v>6113790</v>
      </c>
      <c r="L116" s="5">
        <v>295831</v>
      </c>
      <c r="M116" s="5">
        <v>19</v>
      </c>
      <c r="N116" s="5">
        <v>1</v>
      </c>
      <c r="O116" s="5">
        <v>12</v>
      </c>
      <c r="P116" s="5"/>
    </row>
    <row r="117" spans="1:16" x14ac:dyDescent="0.25">
      <c r="A117" s="4" t="s">
        <v>21</v>
      </c>
      <c r="B117" s="4" t="s">
        <v>86</v>
      </c>
      <c r="C117" s="5">
        <v>37378</v>
      </c>
      <c r="D117" s="4" t="s">
        <v>58</v>
      </c>
      <c r="E117" s="4" t="s">
        <v>111</v>
      </c>
      <c r="F117" s="4" t="s">
        <v>109</v>
      </c>
      <c r="G117" s="4" t="s">
        <v>57</v>
      </c>
      <c r="H117" s="4" t="s">
        <v>27</v>
      </c>
      <c r="I117" s="4" t="s">
        <v>715</v>
      </c>
      <c r="J117" s="4" t="s">
        <v>638</v>
      </c>
      <c r="K117" s="5">
        <v>5919938</v>
      </c>
      <c r="L117" s="5">
        <v>753071</v>
      </c>
      <c r="M117" s="5">
        <v>18</v>
      </c>
      <c r="N117" s="5">
        <v>1</v>
      </c>
      <c r="O117" s="5">
        <v>37.200000000000003</v>
      </c>
      <c r="P117" s="5"/>
    </row>
    <row r="118" spans="1:16" x14ac:dyDescent="0.25">
      <c r="A118" s="4" t="s">
        <v>13</v>
      </c>
      <c r="B118" s="4" t="s">
        <v>86</v>
      </c>
      <c r="C118" s="5">
        <v>37382</v>
      </c>
      <c r="D118" s="4" t="s">
        <v>33</v>
      </c>
      <c r="E118" s="4" t="s">
        <v>122</v>
      </c>
      <c r="F118" s="4" t="s">
        <v>122</v>
      </c>
      <c r="G118" s="4" t="s">
        <v>26</v>
      </c>
      <c r="H118" s="4" t="s">
        <v>27</v>
      </c>
      <c r="I118" s="4" t="s">
        <v>715</v>
      </c>
      <c r="J118" s="4" t="s">
        <v>715</v>
      </c>
      <c r="K118" s="5">
        <v>6114160</v>
      </c>
      <c r="L118" s="5">
        <v>295119</v>
      </c>
      <c r="M118" s="5">
        <v>19</v>
      </c>
      <c r="N118" s="5">
        <v>1</v>
      </c>
      <c r="O118" s="5">
        <v>24.3</v>
      </c>
      <c r="P118" s="5"/>
    </row>
    <row r="119" spans="1:16" x14ac:dyDescent="0.25">
      <c r="A119" s="4" t="s">
        <v>21</v>
      </c>
      <c r="B119" s="4" t="s">
        <v>86</v>
      </c>
      <c r="C119" s="5">
        <v>37467</v>
      </c>
      <c r="D119" s="4" t="s">
        <v>58</v>
      </c>
      <c r="E119" s="4" t="s">
        <v>109</v>
      </c>
      <c r="F119" s="4" t="s">
        <v>109</v>
      </c>
      <c r="G119" s="4" t="s">
        <v>57</v>
      </c>
      <c r="H119" s="4" t="s">
        <v>27</v>
      </c>
      <c r="I119" s="4" t="s">
        <v>715</v>
      </c>
      <c r="J119" s="4" t="s">
        <v>715</v>
      </c>
      <c r="K119" s="5">
        <v>5915989</v>
      </c>
      <c r="L119" s="5">
        <v>754017</v>
      </c>
      <c r="M119" s="5">
        <v>18</v>
      </c>
      <c r="N119" s="5">
        <v>1</v>
      </c>
      <c r="O119" s="5">
        <v>51</v>
      </c>
      <c r="P119" s="5"/>
    </row>
    <row r="120" spans="1:16" x14ac:dyDescent="0.25">
      <c r="A120" s="4" t="s">
        <v>21</v>
      </c>
      <c r="B120" s="4" t="s">
        <v>86</v>
      </c>
      <c r="C120" s="5">
        <v>37468</v>
      </c>
      <c r="D120" s="4" t="s">
        <v>58</v>
      </c>
      <c r="E120" s="4" t="s">
        <v>100</v>
      </c>
      <c r="F120" s="4" t="s">
        <v>100</v>
      </c>
      <c r="G120" s="4" t="s">
        <v>57</v>
      </c>
      <c r="H120" s="4" t="s">
        <v>27</v>
      </c>
      <c r="I120" s="4" t="s">
        <v>715</v>
      </c>
      <c r="J120" s="4" t="s">
        <v>715</v>
      </c>
      <c r="K120" s="5">
        <v>5910818</v>
      </c>
      <c r="L120" s="5">
        <v>741087</v>
      </c>
      <c r="M120" s="5">
        <v>18</v>
      </c>
      <c r="N120" s="5">
        <v>2</v>
      </c>
      <c r="O120" s="5">
        <v>48</v>
      </c>
      <c r="P120" s="5"/>
    </row>
    <row r="121" spans="1:16" x14ac:dyDescent="0.25">
      <c r="A121" s="4" t="s">
        <v>21</v>
      </c>
      <c r="B121" s="4" t="s">
        <v>86</v>
      </c>
      <c r="C121" s="5">
        <v>37757</v>
      </c>
      <c r="D121" s="4" t="s">
        <v>58</v>
      </c>
      <c r="E121" s="4" t="s">
        <v>110</v>
      </c>
      <c r="F121" s="4" t="s">
        <v>110</v>
      </c>
      <c r="G121" s="4" t="s">
        <v>26</v>
      </c>
      <c r="H121" s="4" t="s">
        <v>27</v>
      </c>
      <c r="I121" s="4" t="s">
        <v>715</v>
      </c>
      <c r="J121" s="4" t="s">
        <v>638</v>
      </c>
      <c r="K121" s="5">
        <v>5896101</v>
      </c>
      <c r="L121" s="5">
        <v>754943</v>
      </c>
      <c r="M121" s="5">
        <v>18</v>
      </c>
      <c r="N121" s="5">
        <v>1</v>
      </c>
      <c r="O121" s="5">
        <v>41.8</v>
      </c>
      <c r="P121" s="5"/>
    </row>
    <row r="122" spans="1:16" x14ac:dyDescent="0.25">
      <c r="A122" s="4" t="s">
        <v>21</v>
      </c>
      <c r="B122" s="4" t="s">
        <v>86</v>
      </c>
      <c r="C122" s="5">
        <v>37920</v>
      </c>
      <c r="D122" s="4" t="s">
        <v>58</v>
      </c>
      <c r="E122" s="4" t="s">
        <v>101</v>
      </c>
      <c r="F122" s="4" t="s">
        <v>101</v>
      </c>
      <c r="G122" s="4" t="s">
        <v>26</v>
      </c>
      <c r="H122" s="4" t="s">
        <v>27</v>
      </c>
      <c r="I122" s="4" t="s">
        <v>715</v>
      </c>
      <c r="J122" s="4" t="s">
        <v>715</v>
      </c>
      <c r="K122" s="5">
        <v>5961359</v>
      </c>
      <c r="L122" s="5">
        <v>247373</v>
      </c>
      <c r="M122" s="5">
        <v>19</v>
      </c>
      <c r="N122" s="5">
        <v>1</v>
      </c>
      <c r="O122" s="5">
        <v>18</v>
      </c>
      <c r="P122" s="5"/>
    </row>
    <row r="123" spans="1:16" x14ac:dyDescent="0.25">
      <c r="A123" s="4" t="s">
        <v>21</v>
      </c>
      <c r="B123" s="4" t="s">
        <v>86</v>
      </c>
      <c r="C123" s="5">
        <v>37924</v>
      </c>
      <c r="D123" s="4" t="s">
        <v>58</v>
      </c>
      <c r="E123" s="4" t="s">
        <v>101</v>
      </c>
      <c r="F123" s="4" t="s">
        <v>125</v>
      </c>
      <c r="G123" s="4" t="s">
        <v>57</v>
      </c>
      <c r="H123" s="4" t="s">
        <v>27</v>
      </c>
      <c r="I123" s="4" t="s">
        <v>715</v>
      </c>
      <c r="J123" s="4" t="s">
        <v>715</v>
      </c>
      <c r="K123" s="5">
        <v>5971521</v>
      </c>
      <c r="L123" s="5">
        <v>767560</v>
      </c>
      <c r="M123" s="5">
        <v>18</v>
      </c>
      <c r="N123" s="5">
        <v>3</v>
      </c>
      <c r="O123" s="5">
        <v>42</v>
      </c>
      <c r="P123" s="5"/>
    </row>
    <row r="124" spans="1:16" x14ac:dyDescent="0.25">
      <c r="A124" s="4" t="s">
        <v>21</v>
      </c>
      <c r="B124" s="4" t="s">
        <v>86</v>
      </c>
      <c r="C124" s="5">
        <v>37959</v>
      </c>
      <c r="D124" s="4" t="s">
        <v>58</v>
      </c>
      <c r="E124" s="4" t="s">
        <v>59</v>
      </c>
      <c r="F124" s="4" t="s">
        <v>126</v>
      </c>
      <c r="G124" s="4" t="s">
        <v>57</v>
      </c>
      <c r="H124" s="4" t="s">
        <v>27</v>
      </c>
      <c r="I124" s="4" t="s">
        <v>715</v>
      </c>
      <c r="J124" s="4" t="s">
        <v>715</v>
      </c>
      <c r="K124" s="5">
        <v>5871753</v>
      </c>
      <c r="L124" s="5">
        <v>734802</v>
      </c>
      <c r="M124" s="5">
        <v>18</v>
      </c>
      <c r="N124" s="5">
        <v>1</v>
      </c>
      <c r="O124" s="5">
        <v>30.26</v>
      </c>
      <c r="P124" s="5"/>
    </row>
    <row r="125" spans="1:16" x14ac:dyDescent="0.25">
      <c r="A125" s="4" t="s">
        <v>21</v>
      </c>
      <c r="B125" s="4" t="s">
        <v>86</v>
      </c>
      <c r="C125" s="5">
        <v>37986</v>
      </c>
      <c r="D125" s="4" t="s">
        <v>97</v>
      </c>
      <c r="E125" s="4" t="s">
        <v>98</v>
      </c>
      <c r="F125" s="4" t="s">
        <v>98</v>
      </c>
      <c r="G125" s="4" t="s">
        <v>57</v>
      </c>
      <c r="H125" s="4" t="s">
        <v>27</v>
      </c>
      <c r="I125" s="4" t="s">
        <v>715</v>
      </c>
      <c r="J125" s="4" t="s">
        <v>715</v>
      </c>
      <c r="K125" s="5">
        <v>5804042</v>
      </c>
      <c r="L125" s="5">
        <v>705680</v>
      </c>
      <c r="M125" s="5">
        <v>18</v>
      </c>
      <c r="N125" s="5">
        <v>1</v>
      </c>
      <c r="O125" s="5">
        <v>10</v>
      </c>
      <c r="P125" s="5"/>
    </row>
    <row r="126" spans="1:16" x14ac:dyDescent="0.25">
      <c r="A126" s="4" t="s">
        <v>21</v>
      </c>
      <c r="B126" s="4" t="s">
        <v>86</v>
      </c>
      <c r="C126" s="5">
        <v>38011</v>
      </c>
      <c r="D126" s="4" t="s">
        <v>58</v>
      </c>
      <c r="E126" s="4" t="s">
        <v>111</v>
      </c>
      <c r="F126" s="4" t="s">
        <v>111</v>
      </c>
      <c r="G126" s="4" t="s">
        <v>26</v>
      </c>
      <c r="H126" s="4" t="s">
        <v>27</v>
      </c>
      <c r="I126" s="4" t="s">
        <v>715</v>
      </c>
      <c r="J126" s="4" t="s">
        <v>715</v>
      </c>
      <c r="K126" s="5">
        <v>5919231</v>
      </c>
      <c r="L126" s="5">
        <v>743963</v>
      </c>
      <c r="M126" s="5">
        <v>18</v>
      </c>
      <c r="N126" s="5">
        <v>1</v>
      </c>
      <c r="O126" s="5">
        <v>54</v>
      </c>
      <c r="P126" s="5"/>
    </row>
    <row r="127" spans="1:16" x14ac:dyDescent="0.25">
      <c r="A127" s="4" t="s">
        <v>13</v>
      </c>
      <c r="B127" s="4" t="s">
        <v>86</v>
      </c>
      <c r="C127" s="5">
        <v>38043</v>
      </c>
      <c r="D127" s="4" t="s">
        <v>58</v>
      </c>
      <c r="E127" s="4" t="s">
        <v>94</v>
      </c>
      <c r="F127" s="4" t="s">
        <v>94</v>
      </c>
      <c r="G127" s="4" t="s">
        <v>26</v>
      </c>
      <c r="H127" s="4" t="s">
        <v>27</v>
      </c>
      <c r="I127" s="4" t="s">
        <v>715</v>
      </c>
      <c r="J127" s="4" t="s">
        <v>715</v>
      </c>
      <c r="K127" s="5">
        <v>5911043</v>
      </c>
      <c r="L127" s="5">
        <v>761721</v>
      </c>
      <c r="M127" s="5">
        <v>18</v>
      </c>
      <c r="N127" s="5">
        <v>1</v>
      </c>
      <c r="O127" s="5">
        <v>4</v>
      </c>
      <c r="P127" s="5"/>
    </row>
    <row r="128" spans="1:16" x14ac:dyDescent="0.25">
      <c r="A128" s="4" t="s">
        <v>21</v>
      </c>
      <c r="B128" s="4" t="s">
        <v>86</v>
      </c>
      <c r="C128" s="5">
        <v>38666</v>
      </c>
      <c r="D128" s="4" t="s">
        <v>58</v>
      </c>
      <c r="E128" s="4" t="s">
        <v>110</v>
      </c>
      <c r="F128" s="4" t="s">
        <v>127</v>
      </c>
      <c r="G128" s="4" t="s">
        <v>57</v>
      </c>
      <c r="H128" s="4" t="s">
        <v>128</v>
      </c>
      <c r="I128" s="4" t="s">
        <v>715</v>
      </c>
      <c r="J128" s="4" t="s">
        <v>638</v>
      </c>
      <c r="K128" s="5">
        <v>5880706</v>
      </c>
      <c r="L128" s="5">
        <v>743037</v>
      </c>
      <c r="M128" s="5">
        <v>18</v>
      </c>
      <c r="N128" s="5">
        <v>1</v>
      </c>
      <c r="O128" s="5">
        <v>1</v>
      </c>
      <c r="P128" s="5"/>
    </row>
    <row r="129" spans="1:16" x14ac:dyDescent="0.25">
      <c r="A129" s="4" t="s">
        <v>13</v>
      </c>
      <c r="B129" s="4" t="s">
        <v>86</v>
      </c>
      <c r="C129" s="5">
        <v>38675</v>
      </c>
      <c r="D129" s="4" t="s">
        <v>58</v>
      </c>
      <c r="E129" s="4" t="s">
        <v>100</v>
      </c>
      <c r="F129" s="4" t="s">
        <v>100</v>
      </c>
      <c r="G129" s="4" t="s">
        <v>26</v>
      </c>
      <c r="H129" s="4" t="s">
        <v>27</v>
      </c>
      <c r="I129" s="4" t="s">
        <v>715</v>
      </c>
      <c r="J129" s="4" t="s">
        <v>638</v>
      </c>
      <c r="K129" s="5">
        <v>5905557</v>
      </c>
      <c r="L129" s="5">
        <v>756423</v>
      </c>
      <c r="M129" s="5">
        <v>18</v>
      </c>
      <c r="N129" s="5">
        <v>1</v>
      </c>
      <c r="O129" s="5">
        <v>17.5</v>
      </c>
      <c r="P129" s="5"/>
    </row>
    <row r="130" spans="1:16" x14ac:dyDescent="0.25">
      <c r="A130" s="4" t="s">
        <v>21</v>
      </c>
      <c r="B130" s="4" t="s">
        <v>86</v>
      </c>
      <c r="C130" s="5">
        <v>38762</v>
      </c>
      <c r="D130" s="4" t="s">
        <v>58</v>
      </c>
      <c r="E130" s="4" t="s">
        <v>101</v>
      </c>
      <c r="F130" s="4" t="s">
        <v>113</v>
      </c>
      <c r="G130" s="4" t="s">
        <v>57</v>
      </c>
      <c r="H130" s="4" t="s">
        <v>27</v>
      </c>
      <c r="I130" s="4" t="s">
        <v>715</v>
      </c>
      <c r="J130" s="4" t="s">
        <v>715</v>
      </c>
      <c r="K130" s="5">
        <v>5968889</v>
      </c>
      <c r="L130" s="5">
        <v>240172</v>
      </c>
      <c r="M130" s="5">
        <v>19</v>
      </c>
      <c r="N130" s="5">
        <v>1</v>
      </c>
      <c r="O130" s="5">
        <v>25.2</v>
      </c>
      <c r="P130" s="5"/>
    </row>
    <row r="131" spans="1:16" x14ac:dyDescent="0.25">
      <c r="A131" s="4" t="s">
        <v>13</v>
      </c>
      <c r="B131" s="4" t="s">
        <v>86</v>
      </c>
      <c r="C131" s="5">
        <v>39354</v>
      </c>
      <c r="D131" s="4" t="s">
        <v>58</v>
      </c>
      <c r="E131" s="4" t="s">
        <v>100</v>
      </c>
      <c r="F131" s="4" t="s">
        <v>129</v>
      </c>
      <c r="G131" s="4" t="s">
        <v>26</v>
      </c>
      <c r="H131" s="4" t="s">
        <v>27</v>
      </c>
      <c r="I131" s="4" t="s">
        <v>715</v>
      </c>
      <c r="J131" s="4" t="s">
        <v>638</v>
      </c>
      <c r="K131" s="5">
        <v>5904881</v>
      </c>
      <c r="L131" s="5">
        <v>746772</v>
      </c>
      <c r="M131" s="5">
        <v>18</v>
      </c>
      <c r="N131" s="5">
        <v>1</v>
      </c>
      <c r="O131" s="5">
        <v>11.38</v>
      </c>
      <c r="P131" s="5"/>
    </row>
    <row r="132" spans="1:16" x14ac:dyDescent="0.25">
      <c r="A132" s="4" t="s">
        <v>21</v>
      </c>
      <c r="B132" s="4" t="s">
        <v>86</v>
      </c>
      <c r="C132" s="5">
        <v>39358</v>
      </c>
      <c r="D132" s="4" t="s">
        <v>58</v>
      </c>
      <c r="E132" s="4" t="s">
        <v>111</v>
      </c>
      <c r="F132" s="4" t="s">
        <v>130</v>
      </c>
      <c r="G132" s="4" t="s">
        <v>57</v>
      </c>
      <c r="H132" s="4" t="s">
        <v>18</v>
      </c>
      <c r="I132" s="4" t="s">
        <v>715</v>
      </c>
      <c r="J132" s="4" t="s">
        <v>715</v>
      </c>
      <c r="K132" s="5">
        <v>5931517</v>
      </c>
      <c r="L132" s="5">
        <v>746100</v>
      </c>
      <c r="M132" s="5">
        <v>18</v>
      </c>
      <c r="N132" s="5">
        <v>1</v>
      </c>
      <c r="O132" s="5">
        <v>1</v>
      </c>
      <c r="P132" s="5"/>
    </row>
    <row r="133" spans="1:16" x14ac:dyDescent="0.25">
      <c r="A133" s="4" t="s">
        <v>21</v>
      </c>
      <c r="B133" s="4" t="s">
        <v>86</v>
      </c>
      <c r="C133" s="5">
        <v>39383</v>
      </c>
      <c r="D133" s="4" t="s">
        <v>58</v>
      </c>
      <c r="E133" s="4" t="s">
        <v>100</v>
      </c>
      <c r="F133" s="4" t="s">
        <v>100</v>
      </c>
      <c r="G133" s="4" t="s">
        <v>26</v>
      </c>
      <c r="H133" s="4" t="s">
        <v>27</v>
      </c>
      <c r="I133" s="4" t="s">
        <v>715</v>
      </c>
      <c r="J133" s="4" t="s">
        <v>638</v>
      </c>
      <c r="K133" s="5">
        <v>5902573</v>
      </c>
      <c r="L133" s="5">
        <v>760050</v>
      </c>
      <c r="M133" s="5">
        <v>18</v>
      </c>
      <c r="N133" s="5">
        <v>3</v>
      </c>
      <c r="O133" s="5">
        <v>79</v>
      </c>
      <c r="P133" s="5"/>
    </row>
    <row r="134" spans="1:16" x14ac:dyDescent="0.25">
      <c r="A134" s="4" t="s">
        <v>21</v>
      </c>
      <c r="B134" s="4" t="s">
        <v>131</v>
      </c>
      <c r="C134" s="5">
        <v>35756</v>
      </c>
      <c r="D134" s="4" t="s">
        <v>33</v>
      </c>
      <c r="E134" s="4" t="s">
        <v>43</v>
      </c>
      <c r="F134" s="4" t="s">
        <v>132</v>
      </c>
      <c r="G134" s="4" t="s">
        <v>26</v>
      </c>
      <c r="H134" s="4" t="s">
        <v>18</v>
      </c>
      <c r="I134" s="4" t="s">
        <v>715</v>
      </c>
      <c r="J134" s="4" t="s">
        <v>715</v>
      </c>
      <c r="K134" s="5">
        <v>6065523</v>
      </c>
      <c r="L134" s="5">
        <v>288621</v>
      </c>
      <c r="M134" s="5">
        <v>19</v>
      </c>
      <c r="N134" s="5">
        <v>1</v>
      </c>
      <c r="O134" s="5">
        <v>4.5</v>
      </c>
      <c r="P134" s="5"/>
    </row>
    <row r="135" spans="1:16" x14ac:dyDescent="0.25">
      <c r="A135" s="4" t="s">
        <v>21</v>
      </c>
      <c r="B135" s="4" t="s">
        <v>131</v>
      </c>
      <c r="C135" s="5">
        <v>35760</v>
      </c>
      <c r="D135" s="4" t="s">
        <v>33</v>
      </c>
      <c r="E135" s="4" t="s">
        <v>133</v>
      </c>
      <c r="F135" s="4" t="s">
        <v>134</v>
      </c>
      <c r="G135" s="4" t="s">
        <v>26</v>
      </c>
      <c r="H135" s="4" t="s">
        <v>18</v>
      </c>
      <c r="I135" s="4" t="s">
        <v>715</v>
      </c>
      <c r="J135" s="4" t="s">
        <v>715</v>
      </c>
      <c r="K135" s="5">
        <v>6062623</v>
      </c>
      <c r="L135" s="5">
        <v>268553</v>
      </c>
      <c r="M135" s="5">
        <v>19</v>
      </c>
      <c r="N135" s="5">
        <v>1</v>
      </c>
      <c r="O135" s="5">
        <v>10.1</v>
      </c>
      <c r="P135" s="5"/>
    </row>
    <row r="136" spans="1:16" x14ac:dyDescent="0.25">
      <c r="A136" s="4" t="s">
        <v>21</v>
      </c>
      <c r="B136" s="4" t="s">
        <v>131</v>
      </c>
      <c r="C136" s="5">
        <v>35762</v>
      </c>
      <c r="D136" s="4" t="s">
        <v>33</v>
      </c>
      <c r="E136" s="4" t="s">
        <v>43</v>
      </c>
      <c r="F136" s="4" t="s">
        <v>135</v>
      </c>
      <c r="G136" s="4" t="s">
        <v>26</v>
      </c>
      <c r="H136" s="4" t="s">
        <v>18</v>
      </c>
      <c r="I136" s="4" t="s">
        <v>715</v>
      </c>
      <c r="J136" s="4" t="s">
        <v>715</v>
      </c>
      <c r="K136" s="5">
        <v>6064679</v>
      </c>
      <c r="L136" s="5">
        <v>283401</v>
      </c>
      <c r="M136" s="5">
        <v>19</v>
      </c>
      <c r="N136" s="5">
        <v>1</v>
      </c>
      <c r="O136" s="5">
        <v>12.5</v>
      </c>
      <c r="P136" s="5"/>
    </row>
    <row r="137" spans="1:16" x14ac:dyDescent="0.25">
      <c r="A137" s="4" t="s">
        <v>21</v>
      </c>
      <c r="B137" s="4" t="s">
        <v>131</v>
      </c>
      <c r="C137" s="5">
        <v>35777</v>
      </c>
      <c r="D137" s="4" t="s">
        <v>33</v>
      </c>
      <c r="E137" s="4" t="s">
        <v>45</v>
      </c>
      <c r="F137" s="4" t="s">
        <v>45</v>
      </c>
      <c r="G137" s="4" t="s">
        <v>26</v>
      </c>
      <c r="H137" s="4" t="s">
        <v>18</v>
      </c>
      <c r="I137" s="4" t="s">
        <v>715</v>
      </c>
      <c r="J137" s="4" t="s">
        <v>715</v>
      </c>
      <c r="K137" s="5">
        <v>6085897</v>
      </c>
      <c r="L137" s="5">
        <v>276840</v>
      </c>
      <c r="M137" s="5">
        <v>19</v>
      </c>
      <c r="N137" s="5">
        <v>1</v>
      </c>
      <c r="O137" s="5">
        <v>4</v>
      </c>
      <c r="P137" s="5"/>
    </row>
    <row r="138" spans="1:16" x14ac:dyDescent="0.25">
      <c r="A138" s="4" t="s">
        <v>21</v>
      </c>
      <c r="B138" s="4" t="s">
        <v>131</v>
      </c>
      <c r="C138" s="5">
        <v>35778</v>
      </c>
      <c r="D138" s="4" t="s">
        <v>33</v>
      </c>
      <c r="E138" s="4" t="s">
        <v>69</v>
      </c>
      <c r="F138" s="4" t="s">
        <v>69</v>
      </c>
      <c r="G138" s="4" t="s">
        <v>26</v>
      </c>
      <c r="H138" s="4" t="s">
        <v>18</v>
      </c>
      <c r="I138" s="4" t="s">
        <v>715</v>
      </c>
      <c r="J138" s="4" t="s">
        <v>715</v>
      </c>
      <c r="K138" s="5">
        <v>6085463</v>
      </c>
      <c r="L138" s="5">
        <v>244834</v>
      </c>
      <c r="M138" s="5">
        <v>19</v>
      </c>
      <c r="N138" s="5">
        <v>1</v>
      </c>
      <c r="O138" s="5">
        <v>9.6999999999999993</v>
      </c>
      <c r="P138" s="5"/>
    </row>
    <row r="139" spans="1:16" x14ac:dyDescent="0.25">
      <c r="A139" s="4" t="s">
        <v>21</v>
      </c>
      <c r="B139" s="4" t="s">
        <v>131</v>
      </c>
      <c r="C139" s="5">
        <v>35780</v>
      </c>
      <c r="D139" s="4" t="s">
        <v>33</v>
      </c>
      <c r="E139" s="4" t="s">
        <v>43</v>
      </c>
      <c r="F139" s="4" t="s">
        <v>136</v>
      </c>
      <c r="G139" s="4" t="s">
        <v>26</v>
      </c>
      <c r="H139" s="4" t="s">
        <v>18</v>
      </c>
      <c r="I139" s="4" t="s">
        <v>715</v>
      </c>
      <c r="J139" s="4" t="s">
        <v>715</v>
      </c>
      <c r="K139" s="5">
        <v>6069838</v>
      </c>
      <c r="L139" s="5">
        <v>284651</v>
      </c>
      <c r="M139" s="5">
        <v>19</v>
      </c>
      <c r="N139" s="5">
        <v>1</v>
      </c>
      <c r="O139" s="5">
        <v>18.100000000000001</v>
      </c>
      <c r="P139" s="5"/>
    </row>
    <row r="140" spans="1:16" x14ac:dyDescent="0.25">
      <c r="A140" s="4" t="s">
        <v>21</v>
      </c>
      <c r="B140" s="4" t="s">
        <v>131</v>
      </c>
      <c r="C140" s="5">
        <v>35781</v>
      </c>
      <c r="D140" s="4" t="s">
        <v>33</v>
      </c>
      <c r="E140" s="4" t="s">
        <v>137</v>
      </c>
      <c r="F140" s="4" t="s">
        <v>138</v>
      </c>
      <c r="G140" s="4" t="s">
        <v>26</v>
      </c>
      <c r="H140" s="4" t="s">
        <v>18</v>
      </c>
      <c r="I140" s="4" t="s">
        <v>715</v>
      </c>
      <c r="J140" s="4" t="s">
        <v>715</v>
      </c>
      <c r="K140" s="5">
        <v>6044252</v>
      </c>
      <c r="L140" s="5">
        <v>276857</v>
      </c>
      <c r="M140" s="5">
        <v>19</v>
      </c>
      <c r="N140" s="5">
        <v>1</v>
      </c>
      <c r="O140" s="5">
        <v>4.95</v>
      </c>
      <c r="P140" s="5"/>
    </row>
    <row r="141" spans="1:16" x14ac:dyDescent="0.25">
      <c r="A141" s="4" t="s">
        <v>21</v>
      </c>
      <c r="B141" s="4" t="s">
        <v>131</v>
      </c>
      <c r="C141" s="5">
        <v>35789</v>
      </c>
      <c r="D141" s="4" t="s">
        <v>33</v>
      </c>
      <c r="E141" s="4" t="s">
        <v>137</v>
      </c>
      <c r="F141" s="4" t="s">
        <v>137</v>
      </c>
      <c r="G141" s="4" t="s">
        <v>26</v>
      </c>
      <c r="H141" s="4" t="s">
        <v>18</v>
      </c>
      <c r="I141" s="4" t="s">
        <v>715</v>
      </c>
      <c r="J141" s="4" t="s">
        <v>715</v>
      </c>
      <c r="K141" s="5">
        <v>6048696</v>
      </c>
      <c r="L141" s="5">
        <v>276920</v>
      </c>
      <c r="M141" s="5">
        <v>19</v>
      </c>
      <c r="N141" s="5">
        <v>1</v>
      </c>
      <c r="O141" s="5">
        <v>4.4000000000000004</v>
      </c>
      <c r="P141" s="5"/>
    </row>
    <row r="142" spans="1:16" x14ac:dyDescent="0.25">
      <c r="A142" s="4" t="s">
        <v>21</v>
      </c>
      <c r="B142" s="4" t="s">
        <v>131</v>
      </c>
      <c r="C142" s="5">
        <v>35799</v>
      </c>
      <c r="D142" s="4" t="s">
        <v>33</v>
      </c>
      <c r="E142" s="4" t="s">
        <v>45</v>
      </c>
      <c r="F142" s="4" t="s">
        <v>45</v>
      </c>
      <c r="G142" s="4" t="s">
        <v>26</v>
      </c>
      <c r="H142" s="4" t="s">
        <v>18</v>
      </c>
      <c r="I142" s="4" t="s">
        <v>715</v>
      </c>
      <c r="J142" s="4" t="s">
        <v>715</v>
      </c>
      <c r="K142" s="5">
        <v>6095529</v>
      </c>
      <c r="L142" s="5">
        <v>273722</v>
      </c>
      <c r="M142" s="5">
        <v>19</v>
      </c>
      <c r="N142" s="5">
        <v>1</v>
      </c>
      <c r="O142" s="5">
        <v>2.7</v>
      </c>
      <c r="P142" s="5"/>
    </row>
    <row r="143" spans="1:16" x14ac:dyDescent="0.25">
      <c r="A143" s="4" t="s">
        <v>21</v>
      </c>
      <c r="B143" s="4" t="s">
        <v>131</v>
      </c>
      <c r="C143" s="5">
        <v>35801</v>
      </c>
      <c r="D143" s="4" t="s">
        <v>33</v>
      </c>
      <c r="E143" s="4" t="s">
        <v>47</v>
      </c>
      <c r="F143" s="4" t="s">
        <v>139</v>
      </c>
      <c r="G143" s="4" t="s">
        <v>26</v>
      </c>
      <c r="H143" s="4" t="s">
        <v>18</v>
      </c>
      <c r="I143" s="4" t="s">
        <v>715</v>
      </c>
      <c r="J143" s="4" t="s">
        <v>715</v>
      </c>
      <c r="K143" s="5">
        <v>6073941</v>
      </c>
      <c r="L143" s="5">
        <v>290450</v>
      </c>
      <c r="M143" s="5">
        <v>19</v>
      </c>
      <c r="N143" s="5">
        <v>1</v>
      </c>
      <c r="O143" s="5">
        <v>1</v>
      </c>
      <c r="P143" s="5"/>
    </row>
    <row r="144" spans="1:16" x14ac:dyDescent="0.25">
      <c r="A144" s="4" t="s">
        <v>21</v>
      </c>
      <c r="B144" s="4" t="s">
        <v>131</v>
      </c>
      <c r="C144" s="5">
        <v>35802</v>
      </c>
      <c r="D144" s="4" t="s">
        <v>33</v>
      </c>
      <c r="E144" s="4" t="s">
        <v>35</v>
      </c>
      <c r="F144" s="4" t="s">
        <v>140</v>
      </c>
      <c r="G144" s="4" t="s">
        <v>26</v>
      </c>
      <c r="H144" s="4" t="s">
        <v>27</v>
      </c>
      <c r="I144" s="4" t="s">
        <v>715</v>
      </c>
      <c r="J144" s="4" t="s">
        <v>638</v>
      </c>
      <c r="K144" s="5">
        <v>6133811</v>
      </c>
      <c r="L144" s="5">
        <v>312700</v>
      </c>
      <c r="M144" s="5">
        <v>19</v>
      </c>
      <c r="N144" s="5">
        <v>1</v>
      </c>
      <c r="O144" s="5">
        <v>12</v>
      </c>
      <c r="P144" s="5"/>
    </row>
    <row r="145" spans="1:16" x14ac:dyDescent="0.25">
      <c r="A145" s="4" t="s">
        <v>21</v>
      </c>
      <c r="B145" s="4" t="s">
        <v>131</v>
      </c>
      <c r="C145" s="5">
        <v>35825</v>
      </c>
      <c r="D145" s="4" t="s">
        <v>33</v>
      </c>
      <c r="E145" s="4" t="s">
        <v>137</v>
      </c>
      <c r="F145" s="4" t="s">
        <v>141</v>
      </c>
      <c r="G145" s="4" t="s">
        <v>26</v>
      </c>
      <c r="H145" s="4" t="s">
        <v>27</v>
      </c>
      <c r="I145" s="4" t="s">
        <v>715</v>
      </c>
      <c r="J145" s="4" t="s">
        <v>638</v>
      </c>
      <c r="K145" s="5">
        <v>6054699</v>
      </c>
      <c r="L145" s="5">
        <v>275999</v>
      </c>
      <c r="M145" s="5">
        <v>19</v>
      </c>
      <c r="N145" s="5">
        <v>1</v>
      </c>
      <c r="O145" s="5">
        <v>24</v>
      </c>
      <c r="P145" s="5"/>
    </row>
    <row r="146" spans="1:16" x14ac:dyDescent="0.25">
      <c r="A146" s="4" t="s">
        <v>21</v>
      </c>
      <c r="B146" s="4" t="s">
        <v>131</v>
      </c>
      <c r="C146" s="5">
        <v>35829</v>
      </c>
      <c r="D146" s="4" t="s">
        <v>33</v>
      </c>
      <c r="E146" s="4" t="s">
        <v>69</v>
      </c>
      <c r="F146" s="4" t="s">
        <v>69</v>
      </c>
      <c r="G146" s="4" t="s">
        <v>26</v>
      </c>
      <c r="H146" s="4" t="s">
        <v>18</v>
      </c>
      <c r="I146" s="4" t="s">
        <v>715</v>
      </c>
      <c r="J146" s="4" t="s">
        <v>715</v>
      </c>
      <c r="K146" s="5">
        <v>6085767</v>
      </c>
      <c r="L146" s="5">
        <v>244300</v>
      </c>
      <c r="M146" s="5">
        <v>19</v>
      </c>
      <c r="N146" s="5">
        <v>1</v>
      </c>
      <c r="O146" s="5">
        <v>8</v>
      </c>
      <c r="P146" s="5"/>
    </row>
    <row r="147" spans="1:16" x14ac:dyDescent="0.25">
      <c r="A147" s="4" t="s">
        <v>21</v>
      </c>
      <c r="B147" s="4" t="s">
        <v>131</v>
      </c>
      <c r="C147" s="5">
        <v>35830</v>
      </c>
      <c r="D147" s="4" t="s">
        <v>33</v>
      </c>
      <c r="E147" s="4" t="s">
        <v>137</v>
      </c>
      <c r="F147" s="4" t="s">
        <v>142</v>
      </c>
      <c r="G147" s="4" t="s">
        <v>26</v>
      </c>
      <c r="H147" s="4" t="s">
        <v>18</v>
      </c>
      <c r="I147" s="4" t="s">
        <v>715</v>
      </c>
      <c r="J147" s="4" t="s">
        <v>715</v>
      </c>
      <c r="K147" s="5">
        <v>6043842</v>
      </c>
      <c r="L147" s="5">
        <v>279812</v>
      </c>
      <c r="M147" s="5">
        <v>19</v>
      </c>
      <c r="N147" s="5">
        <v>1</v>
      </c>
      <c r="O147" s="5">
        <v>7</v>
      </c>
      <c r="P147" s="5"/>
    </row>
    <row r="148" spans="1:16" x14ac:dyDescent="0.25">
      <c r="A148" s="4" t="s">
        <v>21</v>
      </c>
      <c r="B148" s="4" t="s">
        <v>131</v>
      </c>
      <c r="C148" s="5">
        <v>35831</v>
      </c>
      <c r="D148" s="4" t="s">
        <v>33</v>
      </c>
      <c r="E148" s="4" t="s">
        <v>45</v>
      </c>
      <c r="F148" s="4" t="s">
        <v>45</v>
      </c>
      <c r="G148" s="4" t="s">
        <v>26</v>
      </c>
      <c r="H148" s="4" t="s">
        <v>18</v>
      </c>
      <c r="I148" s="4" t="s">
        <v>715</v>
      </c>
      <c r="J148" s="4" t="s">
        <v>715</v>
      </c>
      <c r="K148" s="5">
        <v>6086464</v>
      </c>
      <c r="L148" s="5">
        <v>282749</v>
      </c>
      <c r="M148" s="5">
        <v>19</v>
      </c>
      <c r="N148" s="5">
        <v>1</v>
      </c>
      <c r="O148" s="5">
        <v>3</v>
      </c>
      <c r="P148" s="5"/>
    </row>
    <row r="149" spans="1:16" x14ac:dyDescent="0.25">
      <c r="A149" s="4" t="s">
        <v>21</v>
      </c>
      <c r="B149" s="4" t="s">
        <v>131</v>
      </c>
      <c r="C149" s="5">
        <v>35833</v>
      </c>
      <c r="D149" s="4" t="s">
        <v>33</v>
      </c>
      <c r="E149" s="4" t="s">
        <v>133</v>
      </c>
      <c r="F149" s="4" t="s">
        <v>143</v>
      </c>
      <c r="G149" s="4" t="s">
        <v>26</v>
      </c>
      <c r="H149" s="4" t="s">
        <v>18</v>
      </c>
      <c r="I149" s="4" t="s">
        <v>715</v>
      </c>
      <c r="J149" s="4" t="s">
        <v>715</v>
      </c>
      <c r="K149" s="5">
        <v>6068804</v>
      </c>
      <c r="L149" s="5">
        <v>260289</v>
      </c>
      <c r="M149" s="5">
        <v>19</v>
      </c>
      <c r="N149" s="5">
        <v>1</v>
      </c>
      <c r="O149" s="5">
        <v>4</v>
      </c>
      <c r="P149" s="5"/>
    </row>
    <row r="150" spans="1:16" x14ac:dyDescent="0.25">
      <c r="A150" s="4" t="s">
        <v>21</v>
      </c>
      <c r="B150" s="4" t="s">
        <v>131</v>
      </c>
      <c r="C150" s="5">
        <v>35834</v>
      </c>
      <c r="D150" s="4" t="s">
        <v>33</v>
      </c>
      <c r="E150" s="4" t="s">
        <v>137</v>
      </c>
      <c r="F150" s="4" t="s">
        <v>137</v>
      </c>
      <c r="G150" s="4" t="s">
        <v>26</v>
      </c>
      <c r="H150" s="4" t="s">
        <v>18</v>
      </c>
      <c r="I150" s="4" t="s">
        <v>715</v>
      </c>
      <c r="J150" s="4" t="s">
        <v>715</v>
      </c>
      <c r="K150" s="5">
        <v>6044844</v>
      </c>
      <c r="L150" s="5">
        <v>281142</v>
      </c>
      <c r="M150" s="5">
        <v>19</v>
      </c>
      <c r="N150" s="5">
        <v>1</v>
      </c>
      <c r="O150" s="5">
        <v>7.15</v>
      </c>
      <c r="P150" s="5"/>
    </row>
    <row r="151" spans="1:16" x14ac:dyDescent="0.25">
      <c r="A151" s="4" t="s">
        <v>21</v>
      </c>
      <c r="B151" s="4" t="s">
        <v>131</v>
      </c>
      <c r="C151" s="5">
        <v>35841</v>
      </c>
      <c r="D151" s="4" t="s">
        <v>33</v>
      </c>
      <c r="E151" s="4" t="s">
        <v>43</v>
      </c>
      <c r="F151" s="4" t="s">
        <v>135</v>
      </c>
      <c r="G151" s="4" t="s">
        <v>26</v>
      </c>
      <c r="H151" s="4" t="s">
        <v>18</v>
      </c>
      <c r="I151" s="4" t="s">
        <v>715</v>
      </c>
      <c r="J151" s="4" t="s">
        <v>715</v>
      </c>
      <c r="K151" s="5">
        <v>6067789</v>
      </c>
      <c r="L151" s="5">
        <v>286776</v>
      </c>
      <c r="M151" s="5">
        <v>19</v>
      </c>
      <c r="N151" s="5">
        <v>1</v>
      </c>
      <c r="O151" s="5">
        <v>4.3</v>
      </c>
      <c r="P151" s="5"/>
    </row>
    <row r="152" spans="1:16" x14ac:dyDescent="0.25">
      <c r="A152" s="4" t="s">
        <v>21</v>
      </c>
      <c r="B152" s="4" t="s">
        <v>131</v>
      </c>
      <c r="C152" s="5">
        <v>36030</v>
      </c>
      <c r="D152" s="4" t="s">
        <v>33</v>
      </c>
      <c r="E152" s="4" t="s">
        <v>144</v>
      </c>
      <c r="F152" s="4" t="s">
        <v>144</v>
      </c>
      <c r="G152" s="4" t="s">
        <v>26</v>
      </c>
      <c r="H152" s="4" t="s">
        <v>18</v>
      </c>
      <c r="I152" s="4" t="s">
        <v>715</v>
      </c>
      <c r="J152" s="4" t="s">
        <v>715</v>
      </c>
      <c r="K152" s="5">
        <v>6060233</v>
      </c>
      <c r="L152" s="5">
        <v>252980</v>
      </c>
      <c r="M152" s="5">
        <v>19</v>
      </c>
      <c r="N152" s="5">
        <v>1</v>
      </c>
      <c r="O152" s="5">
        <v>3</v>
      </c>
      <c r="P152" s="5"/>
    </row>
    <row r="153" spans="1:16" x14ac:dyDescent="0.25">
      <c r="A153" s="4" t="s">
        <v>21</v>
      </c>
      <c r="B153" s="4" t="s">
        <v>131</v>
      </c>
      <c r="C153" s="5">
        <v>36034</v>
      </c>
      <c r="D153" s="4" t="s">
        <v>33</v>
      </c>
      <c r="E153" s="4" t="s">
        <v>47</v>
      </c>
      <c r="F153" s="4" t="s">
        <v>145</v>
      </c>
      <c r="G153" s="4" t="s">
        <v>26</v>
      </c>
      <c r="H153" s="4" t="s">
        <v>18</v>
      </c>
      <c r="I153" s="4" t="s">
        <v>715</v>
      </c>
      <c r="J153" s="4" t="s">
        <v>715</v>
      </c>
      <c r="K153" s="5">
        <v>6083683</v>
      </c>
      <c r="L153" s="5">
        <v>284099</v>
      </c>
      <c r="M153" s="5">
        <v>19</v>
      </c>
      <c r="N153" s="5">
        <v>1</v>
      </c>
      <c r="O153" s="5">
        <v>3</v>
      </c>
      <c r="P153" s="5"/>
    </row>
    <row r="154" spans="1:16" x14ac:dyDescent="0.25">
      <c r="A154" s="4" t="s">
        <v>21</v>
      </c>
      <c r="B154" s="4" t="s">
        <v>131</v>
      </c>
      <c r="C154" s="5">
        <v>36037</v>
      </c>
      <c r="D154" s="4" t="s">
        <v>33</v>
      </c>
      <c r="E154" s="4" t="s">
        <v>43</v>
      </c>
      <c r="F154" s="4" t="s">
        <v>136</v>
      </c>
      <c r="G154" s="4" t="s">
        <v>26</v>
      </c>
      <c r="H154" s="4" t="s">
        <v>18</v>
      </c>
      <c r="I154" s="4" t="s">
        <v>715</v>
      </c>
      <c r="J154" s="4" t="s">
        <v>715</v>
      </c>
      <c r="K154" s="5">
        <v>6070842</v>
      </c>
      <c r="L154" s="5">
        <v>284512</v>
      </c>
      <c r="M154" s="5">
        <v>19</v>
      </c>
      <c r="N154" s="5">
        <v>1</v>
      </c>
      <c r="O154" s="5">
        <v>17.899999999999999</v>
      </c>
      <c r="P154" s="5"/>
    </row>
    <row r="155" spans="1:16" x14ac:dyDescent="0.25">
      <c r="A155" s="4" t="s">
        <v>21</v>
      </c>
      <c r="B155" s="4" t="s">
        <v>131</v>
      </c>
      <c r="C155" s="5">
        <v>36041</v>
      </c>
      <c r="D155" s="4" t="s">
        <v>33</v>
      </c>
      <c r="E155" s="4" t="s">
        <v>146</v>
      </c>
      <c r="F155" s="4" t="s">
        <v>146</v>
      </c>
      <c r="G155" s="4" t="s">
        <v>26</v>
      </c>
      <c r="H155" s="4" t="s">
        <v>18</v>
      </c>
      <c r="I155" s="4" t="s">
        <v>715</v>
      </c>
      <c r="J155" s="4" t="s">
        <v>715</v>
      </c>
      <c r="K155" s="5">
        <v>6049899</v>
      </c>
      <c r="L155" s="5">
        <v>273141</v>
      </c>
      <c r="M155" s="5">
        <v>19</v>
      </c>
      <c r="N155" s="5">
        <v>1</v>
      </c>
      <c r="O155" s="5">
        <v>2</v>
      </c>
      <c r="P155" s="5"/>
    </row>
    <row r="156" spans="1:16" x14ac:dyDescent="0.25">
      <c r="A156" s="4" t="s">
        <v>21</v>
      </c>
      <c r="B156" s="4" t="s">
        <v>131</v>
      </c>
      <c r="C156" s="5">
        <v>36101</v>
      </c>
      <c r="D156" s="4" t="s">
        <v>33</v>
      </c>
      <c r="E156" s="4" t="s">
        <v>118</v>
      </c>
      <c r="F156" s="4" t="s">
        <v>118</v>
      </c>
      <c r="G156" s="4" t="s">
        <v>26</v>
      </c>
      <c r="H156" s="4" t="s">
        <v>27</v>
      </c>
      <c r="I156" s="4" t="s">
        <v>715</v>
      </c>
      <c r="J156" s="4" t="s">
        <v>638</v>
      </c>
      <c r="K156" s="5">
        <v>6028664</v>
      </c>
      <c r="L156" s="5">
        <v>273182</v>
      </c>
      <c r="M156" s="5">
        <v>19</v>
      </c>
      <c r="N156" s="5">
        <v>1</v>
      </c>
      <c r="O156" s="5">
        <v>15</v>
      </c>
      <c r="P156" s="5"/>
    </row>
    <row r="157" spans="1:16" x14ac:dyDescent="0.25">
      <c r="A157" s="4" t="s">
        <v>21</v>
      </c>
      <c r="B157" s="4" t="s">
        <v>131</v>
      </c>
      <c r="C157" s="5">
        <v>36104</v>
      </c>
      <c r="D157" s="4" t="s">
        <v>33</v>
      </c>
      <c r="E157" s="4" t="s">
        <v>137</v>
      </c>
      <c r="F157" s="4" t="s">
        <v>141</v>
      </c>
      <c r="G157" s="4" t="s">
        <v>26</v>
      </c>
      <c r="H157" s="4" t="s">
        <v>27</v>
      </c>
      <c r="I157" s="4" t="s">
        <v>715</v>
      </c>
      <c r="J157" s="4" t="s">
        <v>638</v>
      </c>
      <c r="K157" s="5">
        <v>6053202</v>
      </c>
      <c r="L157" s="5">
        <v>274678</v>
      </c>
      <c r="M157" s="5">
        <v>19</v>
      </c>
      <c r="N157" s="5">
        <v>1</v>
      </c>
      <c r="O157" s="5">
        <v>2.2000000000000002</v>
      </c>
      <c r="P157" s="5"/>
    </row>
    <row r="158" spans="1:16" x14ac:dyDescent="0.25">
      <c r="A158" s="4" t="s">
        <v>21</v>
      </c>
      <c r="B158" s="4" t="s">
        <v>131</v>
      </c>
      <c r="C158" s="5">
        <v>36105</v>
      </c>
      <c r="D158" s="4" t="s">
        <v>33</v>
      </c>
      <c r="E158" s="4" t="s">
        <v>137</v>
      </c>
      <c r="F158" s="4" t="s">
        <v>141</v>
      </c>
      <c r="G158" s="4" t="s">
        <v>26</v>
      </c>
      <c r="H158" s="4" t="s">
        <v>27</v>
      </c>
      <c r="I158" s="4" t="s">
        <v>715</v>
      </c>
      <c r="J158" s="4" t="s">
        <v>638</v>
      </c>
      <c r="K158" s="5">
        <v>6052971</v>
      </c>
      <c r="L158" s="5">
        <v>275089</v>
      </c>
      <c r="M158" s="5">
        <v>19</v>
      </c>
      <c r="N158" s="5">
        <v>1</v>
      </c>
      <c r="O158" s="5">
        <v>6.13</v>
      </c>
      <c r="P158" s="5"/>
    </row>
    <row r="159" spans="1:16" x14ac:dyDescent="0.25">
      <c r="A159" s="4" t="s">
        <v>21</v>
      </c>
      <c r="B159" s="4" t="s">
        <v>131</v>
      </c>
      <c r="C159" s="5">
        <v>36110</v>
      </c>
      <c r="D159" s="4" t="s">
        <v>33</v>
      </c>
      <c r="E159" s="4" t="s">
        <v>147</v>
      </c>
      <c r="F159" s="4" t="s">
        <v>147</v>
      </c>
      <c r="G159" s="4" t="s">
        <v>26</v>
      </c>
      <c r="H159" s="4" t="s">
        <v>18</v>
      </c>
      <c r="I159" s="4" t="s">
        <v>715</v>
      </c>
      <c r="J159" s="4" t="s">
        <v>715</v>
      </c>
      <c r="K159" s="5">
        <v>6047719</v>
      </c>
      <c r="L159" s="5">
        <v>250282</v>
      </c>
      <c r="M159" s="5">
        <v>19</v>
      </c>
      <c r="N159" s="5">
        <v>1</v>
      </c>
      <c r="O159" s="5">
        <v>2.4</v>
      </c>
      <c r="P159" s="5"/>
    </row>
    <row r="160" spans="1:16" x14ac:dyDescent="0.25">
      <c r="A160" s="4" t="s">
        <v>21</v>
      </c>
      <c r="B160" s="4" t="s">
        <v>131</v>
      </c>
      <c r="C160" s="5">
        <v>36126</v>
      </c>
      <c r="D160" s="4" t="s">
        <v>33</v>
      </c>
      <c r="E160" s="4" t="s">
        <v>146</v>
      </c>
      <c r="F160" s="4" t="s">
        <v>146</v>
      </c>
      <c r="G160" s="4" t="s">
        <v>26</v>
      </c>
      <c r="H160" s="4" t="s">
        <v>18</v>
      </c>
      <c r="I160" s="4" t="s">
        <v>715</v>
      </c>
      <c r="J160" s="4" t="s">
        <v>715</v>
      </c>
      <c r="K160" s="5">
        <v>6081249</v>
      </c>
      <c r="L160" s="5">
        <v>253098</v>
      </c>
      <c r="M160" s="5">
        <v>19</v>
      </c>
      <c r="N160" s="5">
        <v>1</v>
      </c>
      <c r="O160" s="5">
        <v>2.9</v>
      </c>
      <c r="P160" s="5"/>
    </row>
    <row r="161" spans="1:16" x14ac:dyDescent="0.25">
      <c r="A161" s="4" t="s">
        <v>21</v>
      </c>
      <c r="B161" s="4" t="s">
        <v>131</v>
      </c>
      <c r="C161" s="5">
        <v>36129</v>
      </c>
      <c r="D161" s="4" t="s">
        <v>33</v>
      </c>
      <c r="E161" s="4" t="s">
        <v>47</v>
      </c>
      <c r="F161" s="4" t="s">
        <v>47</v>
      </c>
      <c r="G161" s="4" t="s">
        <v>26</v>
      </c>
      <c r="H161" s="4" t="s">
        <v>18</v>
      </c>
      <c r="I161" s="4" t="s">
        <v>715</v>
      </c>
      <c r="J161" s="4" t="s">
        <v>715</v>
      </c>
      <c r="K161" s="5">
        <v>6083434</v>
      </c>
      <c r="L161" s="5">
        <v>277869</v>
      </c>
      <c r="M161" s="5">
        <v>19</v>
      </c>
      <c r="N161" s="5">
        <v>1</v>
      </c>
      <c r="O161" s="5">
        <v>1</v>
      </c>
      <c r="P161" s="5"/>
    </row>
    <row r="162" spans="1:16" x14ac:dyDescent="0.25">
      <c r="A162" s="4" t="s">
        <v>21</v>
      </c>
      <c r="B162" s="4" t="s">
        <v>131</v>
      </c>
      <c r="C162" s="5">
        <v>36130</v>
      </c>
      <c r="D162" s="4" t="s">
        <v>33</v>
      </c>
      <c r="E162" s="4" t="s">
        <v>47</v>
      </c>
      <c r="F162" s="4" t="s">
        <v>47</v>
      </c>
      <c r="G162" s="4" t="s">
        <v>26</v>
      </c>
      <c r="H162" s="4" t="s">
        <v>18</v>
      </c>
      <c r="I162" s="4" t="s">
        <v>715</v>
      </c>
      <c r="J162" s="4" t="s">
        <v>715</v>
      </c>
      <c r="K162" s="5">
        <v>6083588</v>
      </c>
      <c r="L162" s="5">
        <v>277420</v>
      </c>
      <c r="M162" s="5">
        <v>19</v>
      </c>
      <c r="N162" s="5">
        <v>1</v>
      </c>
      <c r="O162" s="5">
        <v>1</v>
      </c>
      <c r="P162" s="5"/>
    </row>
    <row r="163" spans="1:16" x14ac:dyDescent="0.25">
      <c r="A163" s="4" t="s">
        <v>21</v>
      </c>
      <c r="B163" s="4" t="s">
        <v>131</v>
      </c>
      <c r="C163" s="5">
        <v>36139</v>
      </c>
      <c r="D163" s="4" t="s">
        <v>33</v>
      </c>
      <c r="E163" s="4" t="s">
        <v>43</v>
      </c>
      <c r="F163" s="4" t="s">
        <v>148</v>
      </c>
      <c r="G163" s="4" t="s">
        <v>26</v>
      </c>
      <c r="H163" s="4" t="s">
        <v>18</v>
      </c>
      <c r="I163" s="4" t="s">
        <v>715</v>
      </c>
      <c r="J163" s="4" t="s">
        <v>715</v>
      </c>
      <c r="K163" s="5">
        <v>6072671</v>
      </c>
      <c r="L163" s="5">
        <v>271323</v>
      </c>
      <c r="M163" s="5">
        <v>19</v>
      </c>
      <c r="N163" s="5">
        <v>1</v>
      </c>
      <c r="O163" s="5">
        <v>4.9000000000000004</v>
      </c>
      <c r="P163" s="5"/>
    </row>
    <row r="164" spans="1:16" x14ac:dyDescent="0.25">
      <c r="A164" s="4" t="s">
        <v>21</v>
      </c>
      <c r="B164" s="4" t="s">
        <v>131</v>
      </c>
      <c r="C164" s="5">
        <v>36141</v>
      </c>
      <c r="D164" s="4" t="s">
        <v>33</v>
      </c>
      <c r="E164" s="4" t="s">
        <v>137</v>
      </c>
      <c r="F164" s="4" t="s">
        <v>137</v>
      </c>
      <c r="G164" s="4" t="s">
        <v>26</v>
      </c>
      <c r="H164" s="4" t="s">
        <v>18</v>
      </c>
      <c r="I164" s="4" t="s">
        <v>715</v>
      </c>
      <c r="J164" s="4" t="s">
        <v>715</v>
      </c>
      <c r="K164" s="5">
        <v>6042765</v>
      </c>
      <c r="L164" s="5">
        <v>278260</v>
      </c>
      <c r="M164" s="5">
        <v>19</v>
      </c>
      <c r="N164" s="5">
        <v>1</v>
      </c>
      <c r="O164" s="5">
        <v>4.2</v>
      </c>
      <c r="P164" s="5"/>
    </row>
    <row r="165" spans="1:16" x14ac:dyDescent="0.25">
      <c r="A165" s="4" t="s">
        <v>21</v>
      </c>
      <c r="B165" s="4" t="s">
        <v>131</v>
      </c>
      <c r="C165" s="5">
        <v>36143</v>
      </c>
      <c r="D165" s="4" t="s">
        <v>33</v>
      </c>
      <c r="E165" s="4" t="s">
        <v>137</v>
      </c>
      <c r="F165" s="4" t="s">
        <v>137</v>
      </c>
      <c r="G165" s="4" t="s">
        <v>26</v>
      </c>
      <c r="H165" s="4" t="s">
        <v>18</v>
      </c>
      <c r="I165" s="4" t="s">
        <v>715</v>
      </c>
      <c r="J165" s="4" t="s">
        <v>715</v>
      </c>
      <c r="K165" s="5">
        <v>6050202</v>
      </c>
      <c r="L165" s="5">
        <v>277422</v>
      </c>
      <c r="M165" s="5">
        <v>19</v>
      </c>
      <c r="N165" s="5">
        <v>1</v>
      </c>
      <c r="O165" s="5">
        <v>2.2999999999999998</v>
      </c>
      <c r="P165" s="5"/>
    </row>
    <row r="166" spans="1:16" x14ac:dyDescent="0.25">
      <c r="A166" s="4" t="s">
        <v>21</v>
      </c>
      <c r="B166" s="4" t="s">
        <v>131</v>
      </c>
      <c r="C166" s="5">
        <v>36179</v>
      </c>
      <c r="D166" s="4" t="s">
        <v>33</v>
      </c>
      <c r="E166" s="4" t="s">
        <v>43</v>
      </c>
      <c r="F166" s="4" t="s">
        <v>149</v>
      </c>
      <c r="G166" s="4" t="s">
        <v>26</v>
      </c>
      <c r="H166" s="4" t="s">
        <v>18</v>
      </c>
      <c r="I166" s="4" t="s">
        <v>715</v>
      </c>
      <c r="J166" s="4" t="s">
        <v>715</v>
      </c>
      <c r="K166" s="5">
        <v>6068882</v>
      </c>
      <c r="L166" s="5">
        <v>282694</v>
      </c>
      <c r="M166" s="5">
        <v>19</v>
      </c>
      <c r="N166" s="5">
        <v>1</v>
      </c>
      <c r="O166" s="5">
        <v>12.7</v>
      </c>
      <c r="P166" s="5"/>
    </row>
    <row r="167" spans="1:16" x14ac:dyDescent="0.25">
      <c r="A167" s="4" t="s">
        <v>21</v>
      </c>
      <c r="B167" s="4" t="s">
        <v>131</v>
      </c>
      <c r="C167" s="5">
        <v>36189</v>
      </c>
      <c r="D167" s="4" t="s">
        <v>33</v>
      </c>
      <c r="E167" s="4" t="s">
        <v>45</v>
      </c>
      <c r="F167" s="4" t="s">
        <v>45</v>
      </c>
      <c r="G167" s="4" t="s">
        <v>26</v>
      </c>
      <c r="H167" s="4" t="s">
        <v>18</v>
      </c>
      <c r="I167" s="4" t="s">
        <v>715</v>
      </c>
      <c r="J167" s="4" t="s">
        <v>715</v>
      </c>
      <c r="K167" s="5">
        <v>6076696</v>
      </c>
      <c r="L167" s="5">
        <v>291943</v>
      </c>
      <c r="M167" s="5">
        <v>19</v>
      </c>
      <c r="N167" s="5">
        <v>1</v>
      </c>
      <c r="O167" s="5">
        <v>1</v>
      </c>
      <c r="P167" s="5"/>
    </row>
    <row r="168" spans="1:16" x14ac:dyDescent="0.25">
      <c r="A168" s="4" t="s">
        <v>21</v>
      </c>
      <c r="B168" s="4" t="s">
        <v>131</v>
      </c>
      <c r="C168" s="5">
        <v>36192</v>
      </c>
      <c r="D168" s="4" t="s">
        <v>33</v>
      </c>
      <c r="E168" s="4" t="s">
        <v>137</v>
      </c>
      <c r="F168" s="4" t="s">
        <v>137</v>
      </c>
      <c r="G168" s="4" t="s">
        <v>26</v>
      </c>
      <c r="H168" s="4" t="s">
        <v>27</v>
      </c>
      <c r="I168" s="4" t="s">
        <v>715</v>
      </c>
      <c r="J168" s="4" t="s">
        <v>638</v>
      </c>
      <c r="K168" s="5">
        <v>6049567</v>
      </c>
      <c r="L168" s="5">
        <v>277401</v>
      </c>
      <c r="M168" s="5">
        <v>19</v>
      </c>
      <c r="N168" s="5">
        <v>3</v>
      </c>
      <c r="O168" s="5">
        <v>11</v>
      </c>
      <c r="P168" s="5"/>
    </row>
    <row r="169" spans="1:16" x14ac:dyDescent="0.25">
      <c r="A169" s="4" t="s">
        <v>21</v>
      </c>
      <c r="B169" s="4" t="s">
        <v>131</v>
      </c>
      <c r="C169" s="5">
        <v>36194</v>
      </c>
      <c r="D169" s="4" t="s">
        <v>33</v>
      </c>
      <c r="E169" s="4" t="s">
        <v>43</v>
      </c>
      <c r="F169" s="4" t="s">
        <v>150</v>
      </c>
      <c r="G169" s="4" t="s">
        <v>26</v>
      </c>
      <c r="H169" s="4" t="s">
        <v>18</v>
      </c>
      <c r="I169" s="4" t="s">
        <v>715</v>
      </c>
      <c r="J169" s="4" t="s">
        <v>715</v>
      </c>
      <c r="K169" s="5">
        <v>6057866</v>
      </c>
      <c r="L169" s="5">
        <v>272150</v>
      </c>
      <c r="M169" s="5">
        <v>19</v>
      </c>
      <c r="N169" s="5">
        <v>1</v>
      </c>
      <c r="O169" s="5">
        <v>2</v>
      </c>
      <c r="P169" s="5"/>
    </row>
    <row r="170" spans="1:16" x14ac:dyDescent="0.25">
      <c r="A170" s="4" t="s">
        <v>21</v>
      </c>
      <c r="B170" s="4" t="s">
        <v>131</v>
      </c>
      <c r="C170" s="5">
        <v>36196</v>
      </c>
      <c r="D170" s="4" t="s">
        <v>33</v>
      </c>
      <c r="E170" s="4" t="s">
        <v>45</v>
      </c>
      <c r="F170" s="4" t="s">
        <v>45</v>
      </c>
      <c r="G170" s="4" t="s">
        <v>26</v>
      </c>
      <c r="H170" s="4" t="s">
        <v>18</v>
      </c>
      <c r="I170" s="4" t="s">
        <v>715</v>
      </c>
      <c r="J170" s="4" t="s">
        <v>715</v>
      </c>
      <c r="K170" s="5">
        <v>6089014</v>
      </c>
      <c r="L170" s="5">
        <v>278811</v>
      </c>
      <c r="M170" s="5">
        <v>19</v>
      </c>
      <c r="N170" s="5">
        <v>1</v>
      </c>
      <c r="O170" s="5">
        <v>2</v>
      </c>
      <c r="P170" s="5"/>
    </row>
    <row r="171" spans="1:16" x14ac:dyDescent="0.25">
      <c r="A171" s="4" t="s">
        <v>21</v>
      </c>
      <c r="B171" s="4" t="s">
        <v>131</v>
      </c>
      <c r="C171" s="5">
        <v>36296</v>
      </c>
      <c r="D171" s="4" t="s">
        <v>37</v>
      </c>
      <c r="E171" s="4" t="s">
        <v>151</v>
      </c>
      <c r="F171" s="4" t="s">
        <v>152</v>
      </c>
      <c r="G171" s="4" t="s">
        <v>26</v>
      </c>
      <c r="H171" s="4" t="s">
        <v>18</v>
      </c>
      <c r="I171" s="4" t="s">
        <v>715</v>
      </c>
      <c r="J171" s="4" t="s">
        <v>715</v>
      </c>
      <c r="K171" s="5">
        <v>6237012</v>
      </c>
      <c r="L171" s="5">
        <v>351122</v>
      </c>
      <c r="M171" s="5">
        <v>19</v>
      </c>
      <c r="N171" s="5">
        <v>1</v>
      </c>
      <c r="O171" s="5">
        <v>0.3</v>
      </c>
      <c r="P171" s="5"/>
    </row>
    <row r="172" spans="1:16" x14ac:dyDescent="0.25">
      <c r="A172" s="4" t="s">
        <v>21</v>
      </c>
      <c r="B172" s="4" t="s">
        <v>131</v>
      </c>
      <c r="C172" s="5">
        <v>36306</v>
      </c>
      <c r="D172" s="4" t="s">
        <v>33</v>
      </c>
      <c r="E172" s="4" t="s">
        <v>47</v>
      </c>
      <c r="F172" s="4" t="s">
        <v>47</v>
      </c>
      <c r="G172" s="4" t="s">
        <v>26</v>
      </c>
      <c r="H172" s="4" t="s">
        <v>18</v>
      </c>
      <c r="I172" s="4" t="s">
        <v>715</v>
      </c>
      <c r="J172" s="4" t="s">
        <v>715</v>
      </c>
      <c r="K172" s="5">
        <v>6082321</v>
      </c>
      <c r="L172" s="5">
        <v>281251</v>
      </c>
      <c r="M172" s="5">
        <v>19</v>
      </c>
      <c r="N172" s="5">
        <v>1</v>
      </c>
      <c r="O172" s="5">
        <v>2</v>
      </c>
      <c r="P172" s="5"/>
    </row>
    <row r="173" spans="1:16" x14ac:dyDescent="0.25">
      <c r="A173" s="4" t="s">
        <v>21</v>
      </c>
      <c r="B173" s="4" t="s">
        <v>131</v>
      </c>
      <c r="C173" s="5">
        <v>36307</v>
      </c>
      <c r="D173" s="4" t="s">
        <v>33</v>
      </c>
      <c r="E173" s="4" t="s">
        <v>69</v>
      </c>
      <c r="F173" s="4" t="s">
        <v>69</v>
      </c>
      <c r="G173" s="4" t="s">
        <v>26</v>
      </c>
      <c r="H173" s="4" t="s">
        <v>18</v>
      </c>
      <c r="I173" s="4" t="s">
        <v>715</v>
      </c>
      <c r="J173" s="4" t="s">
        <v>715</v>
      </c>
      <c r="K173" s="5">
        <v>6086302</v>
      </c>
      <c r="L173" s="5">
        <v>243798</v>
      </c>
      <c r="M173" s="5">
        <v>19</v>
      </c>
      <c r="N173" s="5">
        <v>1</v>
      </c>
      <c r="O173" s="5">
        <v>4</v>
      </c>
      <c r="P173" s="5"/>
    </row>
    <row r="174" spans="1:16" x14ac:dyDescent="0.25">
      <c r="A174" s="4" t="s">
        <v>21</v>
      </c>
      <c r="B174" s="4" t="s">
        <v>131</v>
      </c>
      <c r="C174" s="5">
        <v>36313</v>
      </c>
      <c r="D174" s="4" t="s">
        <v>33</v>
      </c>
      <c r="E174" s="4" t="s">
        <v>146</v>
      </c>
      <c r="F174" s="4" t="s">
        <v>146</v>
      </c>
      <c r="G174" s="4" t="s">
        <v>26</v>
      </c>
      <c r="H174" s="4" t="s">
        <v>128</v>
      </c>
      <c r="I174" s="4" t="s">
        <v>715</v>
      </c>
      <c r="J174" s="4" t="s">
        <v>638</v>
      </c>
      <c r="K174" s="5">
        <v>6052421</v>
      </c>
      <c r="L174" s="5">
        <v>278482</v>
      </c>
      <c r="M174" s="5">
        <v>19</v>
      </c>
      <c r="N174" s="5">
        <v>1</v>
      </c>
      <c r="O174" s="5">
        <v>4.4000000000000004</v>
      </c>
      <c r="P174" s="5"/>
    </row>
    <row r="175" spans="1:16" x14ac:dyDescent="0.25">
      <c r="A175" s="4" t="s">
        <v>21</v>
      </c>
      <c r="B175" s="4" t="s">
        <v>131</v>
      </c>
      <c r="C175" s="5">
        <v>36321</v>
      </c>
      <c r="D175" s="4" t="s">
        <v>33</v>
      </c>
      <c r="E175" s="4" t="s">
        <v>43</v>
      </c>
      <c r="F175" s="4" t="s">
        <v>150</v>
      </c>
      <c r="G175" s="4" t="s">
        <v>26</v>
      </c>
      <c r="H175" s="4" t="s">
        <v>18</v>
      </c>
      <c r="I175" s="4" t="s">
        <v>715</v>
      </c>
      <c r="J175" s="4" t="s">
        <v>715</v>
      </c>
      <c r="K175" s="5">
        <v>6058616</v>
      </c>
      <c r="L175" s="5">
        <v>269415</v>
      </c>
      <c r="M175" s="5">
        <v>19</v>
      </c>
      <c r="N175" s="5">
        <v>1</v>
      </c>
      <c r="O175" s="5">
        <v>0.4</v>
      </c>
      <c r="P175" s="5"/>
    </row>
    <row r="176" spans="1:16" x14ac:dyDescent="0.25">
      <c r="A176" s="4" t="s">
        <v>21</v>
      </c>
      <c r="B176" s="4" t="s">
        <v>131</v>
      </c>
      <c r="C176" s="5">
        <v>36322</v>
      </c>
      <c r="D176" s="4" t="s">
        <v>33</v>
      </c>
      <c r="E176" s="4" t="s">
        <v>43</v>
      </c>
      <c r="F176" s="4" t="s">
        <v>150</v>
      </c>
      <c r="G176" s="4" t="s">
        <v>26</v>
      </c>
      <c r="H176" s="4" t="s">
        <v>18</v>
      </c>
      <c r="I176" s="4" t="s">
        <v>715</v>
      </c>
      <c r="J176" s="4" t="s">
        <v>715</v>
      </c>
      <c r="K176" s="5">
        <v>6058438</v>
      </c>
      <c r="L176" s="5">
        <v>269803</v>
      </c>
      <c r="M176" s="5">
        <v>19</v>
      </c>
      <c r="N176" s="5">
        <v>1</v>
      </c>
      <c r="O176" s="5">
        <v>0.43</v>
      </c>
      <c r="P176" s="5"/>
    </row>
    <row r="177" spans="1:16" x14ac:dyDescent="0.25">
      <c r="A177" s="4" t="s">
        <v>21</v>
      </c>
      <c r="B177" s="4" t="s">
        <v>131</v>
      </c>
      <c r="C177" s="5">
        <v>36324</v>
      </c>
      <c r="D177" s="4" t="s">
        <v>33</v>
      </c>
      <c r="E177" s="4" t="s">
        <v>43</v>
      </c>
      <c r="F177" s="4" t="s">
        <v>150</v>
      </c>
      <c r="G177" s="4" t="s">
        <v>26</v>
      </c>
      <c r="H177" s="4" t="s">
        <v>18</v>
      </c>
      <c r="I177" s="4" t="s">
        <v>715</v>
      </c>
      <c r="J177" s="4" t="s">
        <v>715</v>
      </c>
      <c r="K177" s="5">
        <v>6058300</v>
      </c>
      <c r="L177" s="5">
        <v>271532</v>
      </c>
      <c r="M177" s="5">
        <v>19</v>
      </c>
      <c r="N177" s="5">
        <v>1</v>
      </c>
      <c r="O177" s="5">
        <v>2</v>
      </c>
      <c r="P177" s="5"/>
    </row>
    <row r="178" spans="1:16" x14ac:dyDescent="0.25">
      <c r="A178" s="4" t="s">
        <v>21</v>
      </c>
      <c r="B178" s="4" t="s">
        <v>131</v>
      </c>
      <c r="C178" s="5">
        <v>36335</v>
      </c>
      <c r="D178" s="4" t="s">
        <v>33</v>
      </c>
      <c r="E178" s="4" t="s">
        <v>146</v>
      </c>
      <c r="F178" s="4" t="s">
        <v>146</v>
      </c>
      <c r="G178" s="4" t="s">
        <v>26</v>
      </c>
      <c r="H178" s="4" t="s">
        <v>18</v>
      </c>
      <c r="I178" s="4" t="s">
        <v>715</v>
      </c>
      <c r="J178" s="4" t="s">
        <v>715</v>
      </c>
      <c r="K178" s="5">
        <v>6052973</v>
      </c>
      <c r="L178" s="5">
        <v>275886</v>
      </c>
      <c r="M178" s="5">
        <v>19</v>
      </c>
      <c r="N178" s="5">
        <v>1</v>
      </c>
      <c r="O178" s="5">
        <v>20</v>
      </c>
      <c r="P178" s="5"/>
    </row>
    <row r="179" spans="1:16" x14ac:dyDescent="0.25">
      <c r="A179" s="4" t="s">
        <v>21</v>
      </c>
      <c r="B179" s="4" t="s">
        <v>131</v>
      </c>
      <c r="C179" s="5">
        <v>36342</v>
      </c>
      <c r="D179" s="4" t="s">
        <v>33</v>
      </c>
      <c r="E179" s="4" t="s">
        <v>35</v>
      </c>
      <c r="F179" s="4" t="s">
        <v>140</v>
      </c>
      <c r="G179" s="4" t="s">
        <v>26</v>
      </c>
      <c r="H179" s="4" t="s">
        <v>27</v>
      </c>
      <c r="I179" s="4" t="s">
        <v>638</v>
      </c>
      <c r="J179" s="4" t="s">
        <v>715</v>
      </c>
      <c r="K179" s="5">
        <v>6128900</v>
      </c>
      <c r="L179" s="5">
        <v>321922</v>
      </c>
      <c r="M179" s="5">
        <v>19</v>
      </c>
      <c r="N179" s="5">
        <v>1</v>
      </c>
      <c r="O179" s="5">
        <v>4.0999999999999996</v>
      </c>
      <c r="P179" s="5"/>
    </row>
    <row r="180" spans="1:16" x14ac:dyDescent="0.25">
      <c r="A180" s="4" t="s">
        <v>21</v>
      </c>
      <c r="B180" s="4" t="s">
        <v>131</v>
      </c>
      <c r="C180" s="5">
        <v>36407</v>
      </c>
      <c r="D180" s="4" t="s">
        <v>33</v>
      </c>
      <c r="E180" s="4" t="s">
        <v>43</v>
      </c>
      <c r="F180" s="4" t="s">
        <v>43</v>
      </c>
      <c r="G180" s="4" t="s">
        <v>26</v>
      </c>
      <c r="H180" s="4" t="s">
        <v>18</v>
      </c>
      <c r="I180" s="4" t="s">
        <v>715</v>
      </c>
      <c r="J180" s="4" t="s">
        <v>715</v>
      </c>
      <c r="K180" s="5">
        <v>6064573</v>
      </c>
      <c r="L180" s="5">
        <v>272998</v>
      </c>
      <c r="M180" s="5">
        <v>19</v>
      </c>
      <c r="N180" s="5">
        <v>1</v>
      </c>
      <c r="O180" s="5">
        <v>5</v>
      </c>
      <c r="P180" s="5"/>
    </row>
    <row r="181" spans="1:16" x14ac:dyDescent="0.25">
      <c r="A181" s="4" t="s">
        <v>21</v>
      </c>
      <c r="B181" s="4" t="s">
        <v>131</v>
      </c>
      <c r="C181" s="5">
        <v>36408</v>
      </c>
      <c r="D181" s="4" t="s">
        <v>33</v>
      </c>
      <c r="E181" s="4" t="s">
        <v>133</v>
      </c>
      <c r="F181" s="4" t="s">
        <v>143</v>
      </c>
      <c r="G181" s="4" t="s">
        <v>26</v>
      </c>
      <c r="H181" s="4" t="s">
        <v>18</v>
      </c>
      <c r="I181" s="4" t="s">
        <v>715</v>
      </c>
      <c r="J181" s="4" t="s">
        <v>715</v>
      </c>
      <c r="K181" s="5">
        <v>6063249</v>
      </c>
      <c r="L181" s="5">
        <v>259278</v>
      </c>
      <c r="M181" s="5">
        <v>19</v>
      </c>
      <c r="N181" s="5">
        <v>1</v>
      </c>
      <c r="O181" s="5">
        <v>4</v>
      </c>
      <c r="P181" s="5"/>
    </row>
    <row r="182" spans="1:16" x14ac:dyDescent="0.25">
      <c r="A182" s="4" t="s">
        <v>21</v>
      </c>
      <c r="B182" s="4" t="s">
        <v>131</v>
      </c>
      <c r="C182" s="5">
        <v>36411</v>
      </c>
      <c r="D182" s="4" t="s">
        <v>33</v>
      </c>
      <c r="E182" s="4" t="s">
        <v>133</v>
      </c>
      <c r="F182" s="4" t="s">
        <v>133</v>
      </c>
      <c r="G182" s="4" t="s">
        <v>26</v>
      </c>
      <c r="H182" s="4" t="s">
        <v>18</v>
      </c>
      <c r="I182" s="4" t="s">
        <v>715</v>
      </c>
      <c r="J182" s="4" t="s">
        <v>715</v>
      </c>
      <c r="K182" s="5">
        <v>6063521</v>
      </c>
      <c r="L182" s="5">
        <v>258743</v>
      </c>
      <c r="M182" s="5">
        <v>19</v>
      </c>
      <c r="N182" s="5">
        <v>1</v>
      </c>
      <c r="O182" s="5">
        <v>11.5</v>
      </c>
      <c r="P182" s="5"/>
    </row>
    <row r="183" spans="1:16" x14ac:dyDescent="0.25">
      <c r="A183" s="4" t="s">
        <v>21</v>
      </c>
      <c r="B183" s="4" t="s">
        <v>131</v>
      </c>
      <c r="C183" s="5">
        <v>36412</v>
      </c>
      <c r="D183" s="4" t="s">
        <v>33</v>
      </c>
      <c r="E183" s="4" t="s">
        <v>133</v>
      </c>
      <c r="F183" s="4" t="s">
        <v>143</v>
      </c>
      <c r="G183" s="4" t="s">
        <v>26</v>
      </c>
      <c r="H183" s="4" t="s">
        <v>18</v>
      </c>
      <c r="I183" s="4" t="s">
        <v>715</v>
      </c>
      <c r="J183" s="4" t="s">
        <v>715</v>
      </c>
      <c r="K183" s="5">
        <v>6062709</v>
      </c>
      <c r="L183" s="5">
        <v>257187</v>
      </c>
      <c r="M183" s="5">
        <v>19</v>
      </c>
      <c r="N183" s="5">
        <v>1</v>
      </c>
      <c r="O183" s="5">
        <v>0.6</v>
      </c>
      <c r="P183" s="5"/>
    </row>
    <row r="184" spans="1:16" x14ac:dyDescent="0.25">
      <c r="A184" s="4" t="s">
        <v>21</v>
      </c>
      <c r="B184" s="4" t="s">
        <v>131</v>
      </c>
      <c r="C184" s="5">
        <v>36417</v>
      </c>
      <c r="D184" s="4" t="s">
        <v>33</v>
      </c>
      <c r="E184" s="4" t="s">
        <v>133</v>
      </c>
      <c r="F184" s="4" t="s">
        <v>134</v>
      </c>
      <c r="G184" s="4" t="s">
        <v>26</v>
      </c>
      <c r="H184" s="4" t="s">
        <v>18</v>
      </c>
      <c r="I184" s="4" t="s">
        <v>715</v>
      </c>
      <c r="J184" s="4" t="s">
        <v>715</v>
      </c>
      <c r="K184" s="5">
        <v>6060666</v>
      </c>
      <c r="L184" s="5">
        <v>268515</v>
      </c>
      <c r="M184" s="5">
        <v>19</v>
      </c>
      <c r="N184" s="5">
        <v>1</v>
      </c>
      <c r="O184" s="5">
        <v>4</v>
      </c>
      <c r="P184" s="5"/>
    </row>
    <row r="185" spans="1:16" x14ac:dyDescent="0.25">
      <c r="A185" s="4" t="s">
        <v>21</v>
      </c>
      <c r="B185" s="4" t="s">
        <v>131</v>
      </c>
      <c r="C185" s="5">
        <v>36424</v>
      </c>
      <c r="D185" s="4" t="s">
        <v>33</v>
      </c>
      <c r="E185" s="4" t="s">
        <v>43</v>
      </c>
      <c r="F185" s="4" t="s">
        <v>43</v>
      </c>
      <c r="G185" s="4" t="s">
        <v>26</v>
      </c>
      <c r="H185" s="4" t="s">
        <v>27</v>
      </c>
      <c r="I185" s="4" t="s">
        <v>715</v>
      </c>
      <c r="J185" s="4" t="s">
        <v>638</v>
      </c>
      <c r="K185" s="5">
        <v>6064054</v>
      </c>
      <c r="L185" s="5">
        <v>273371</v>
      </c>
      <c r="M185" s="5">
        <v>19</v>
      </c>
      <c r="N185" s="5">
        <v>1</v>
      </c>
      <c r="O185" s="5">
        <v>4.0999999999999996</v>
      </c>
      <c r="P185" s="5"/>
    </row>
    <row r="186" spans="1:16" x14ac:dyDescent="0.25">
      <c r="A186" s="4" t="s">
        <v>21</v>
      </c>
      <c r="B186" s="4" t="s">
        <v>131</v>
      </c>
      <c r="C186" s="5">
        <v>36491</v>
      </c>
      <c r="D186" s="4" t="s">
        <v>37</v>
      </c>
      <c r="E186" s="4" t="s">
        <v>151</v>
      </c>
      <c r="F186" s="4" t="s">
        <v>152</v>
      </c>
      <c r="G186" s="4" t="s">
        <v>26</v>
      </c>
      <c r="H186" s="4" t="s">
        <v>18</v>
      </c>
      <c r="I186" s="4" t="s">
        <v>715</v>
      </c>
      <c r="J186" s="4" t="s">
        <v>715</v>
      </c>
      <c r="K186" s="5">
        <v>6235672</v>
      </c>
      <c r="L186" s="5">
        <v>351572</v>
      </c>
      <c r="M186" s="5">
        <v>19</v>
      </c>
      <c r="N186" s="5">
        <v>1</v>
      </c>
      <c r="O186" s="5">
        <v>0.5</v>
      </c>
      <c r="P186" s="5"/>
    </row>
    <row r="187" spans="1:16" x14ac:dyDescent="0.25">
      <c r="A187" s="4" t="s">
        <v>21</v>
      </c>
      <c r="B187" s="4" t="s">
        <v>131</v>
      </c>
      <c r="C187" s="5">
        <v>36497</v>
      </c>
      <c r="D187" s="4" t="s">
        <v>33</v>
      </c>
      <c r="E187" s="4" t="s">
        <v>137</v>
      </c>
      <c r="F187" s="4" t="s">
        <v>137</v>
      </c>
      <c r="G187" s="4" t="s">
        <v>26</v>
      </c>
      <c r="H187" s="4" t="s">
        <v>18</v>
      </c>
      <c r="I187" s="4" t="s">
        <v>715</v>
      </c>
      <c r="J187" s="4" t="s">
        <v>715</v>
      </c>
      <c r="K187" s="5">
        <v>6048657</v>
      </c>
      <c r="L187" s="5">
        <v>277999</v>
      </c>
      <c r="M187" s="5">
        <v>19</v>
      </c>
      <c r="N187" s="5">
        <v>1</v>
      </c>
      <c r="O187" s="5">
        <v>2</v>
      </c>
      <c r="P187" s="5"/>
    </row>
    <row r="188" spans="1:16" x14ac:dyDescent="0.25">
      <c r="A188" s="4" t="s">
        <v>21</v>
      </c>
      <c r="B188" s="4" t="s">
        <v>131</v>
      </c>
      <c r="C188" s="5">
        <v>36498</v>
      </c>
      <c r="D188" s="4" t="s">
        <v>33</v>
      </c>
      <c r="E188" s="4" t="s">
        <v>43</v>
      </c>
      <c r="F188" s="4" t="s">
        <v>43</v>
      </c>
      <c r="G188" s="4" t="s">
        <v>26</v>
      </c>
      <c r="H188" s="4" t="s">
        <v>27</v>
      </c>
      <c r="I188" s="4" t="s">
        <v>715</v>
      </c>
      <c r="J188" s="4" t="s">
        <v>715</v>
      </c>
      <c r="K188" s="5">
        <v>6065467</v>
      </c>
      <c r="L188" s="5">
        <v>275596</v>
      </c>
      <c r="M188" s="5">
        <v>19</v>
      </c>
      <c r="N188" s="5">
        <v>2</v>
      </c>
      <c r="O188" s="5">
        <v>57.7</v>
      </c>
      <c r="P188" s="5"/>
    </row>
    <row r="189" spans="1:16" x14ac:dyDescent="0.25">
      <c r="A189" s="4" t="s">
        <v>21</v>
      </c>
      <c r="B189" s="4" t="s">
        <v>131</v>
      </c>
      <c r="C189" s="5">
        <v>36504</v>
      </c>
      <c r="D189" s="4" t="s">
        <v>33</v>
      </c>
      <c r="E189" s="4" t="s">
        <v>43</v>
      </c>
      <c r="F189" s="4" t="s">
        <v>132</v>
      </c>
      <c r="G189" s="4" t="s">
        <v>26</v>
      </c>
      <c r="H189" s="4" t="s">
        <v>27</v>
      </c>
      <c r="I189" s="4" t="s">
        <v>715</v>
      </c>
      <c r="J189" s="4" t="s">
        <v>638</v>
      </c>
      <c r="K189" s="5">
        <v>6065118</v>
      </c>
      <c r="L189" s="5">
        <v>286725</v>
      </c>
      <c r="M189" s="5">
        <v>19</v>
      </c>
      <c r="N189" s="5">
        <v>1</v>
      </c>
      <c r="O189" s="5">
        <v>16.899999999999999</v>
      </c>
      <c r="P189" s="5"/>
    </row>
    <row r="190" spans="1:16" x14ac:dyDescent="0.25">
      <c r="A190" s="4" t="s">
        <v>21</v>
      </c>
      <c r="B190" s="4" t="s">
        <v>131</v>
      </c>
      <c r="C190" s="5">
        <v>36508</v>
      </c>
      <c r="D190" s="4" t="s">
        <v>33</v>
      </c>
      <c r="E190" s="4" t="s">
        <v>118</v>
      </c>
      <c r="F190" s="4" t="s">
        <v>118</v>
      </c>
      <c r="G190" s="4" t="s">
        <v>26</v>
      </c>
      <c r="H190" s="4" t="s">
        <v>27</v>
      </c>
      <c r="I190" s="4" t="s">
        <v>715</v>
      </c>
      <c r="J190" s="4" t="s">
        <v>638</v>
      </c>
      <c r="K190" s="5">
        <v>6028849</v>
      </c>
      <c r="L190" s="5">
        <v>272873</v>
      </c>
      <c r="M190" s="5">
        <v>19</v>
      </c>
      <c r="N190" s="5">
        <v>1</v>
      </c>
      <c r="O190" s="5">
        <v>8.5</v>
      </c>
      <c r="P190" s="5"/>
    </row>
    <row r="191" spans="1:16" x14ac:dyDescent="0.25">
      <c r="A191" s="4" t="s">
        <v>21</v>
      </c>
      <c r="B191" s="4" t="s">
        <v>131</v>
      </c>
      <c r="C191" s="5">
        <v>36736</v>
      </c>
      <c r="D191" s="4" t="s">
        <v>33</v>
      </c>
      <c r="E191" s="4" t="s">
        <v>43</v>
      </c>
      <c r="F191" s="4" t="s">
        <v>150</v>
      </c>
      <c r="G191" s="4" t="s">
        <v>26</v>
      </c>
      <c r="H191" s="4" t="s">
        <v>18</v>
      </c>
      <c r="I191" s="4" t="s">
        <v>715</v>
      </c>
      <c r="J191" s="4" t="s">
        <v>715</v>
      </c>
      <c r="K191" s="5">
        <v>6058896</v>
      </c>
      <c r="L191" s="5">
        <v>271173</v>
      </c>
      <c r="M191" s="5">
        <v>19</v>
      </c>
      <c r="N191" s="5">
        <v>1</v>
      </c>
      <c r="O191" s="5">
        <v>0.8</v>
      </c>
      <c r="P191" s="5"/>
    </row>
    <row r="192" spans="1:16" x14ac:dyDescent="0.25">
      <c r="A192" s="4" t="s">
        <v>21</v>
      </c>
      <c r="B192" s="4" t="s">
        <v>131</v>
      </c>
      <c r="C192" s="5">
        <v>36741</v>
      </c>
      <c r="D192" s="4" t="s">
        <v>33</v>
      </c>
      <c r="E192" s="4" t="s">
        <v>43</v>
      </c>
      <c r="F192" s="4" t="s">
        <v>154</v>
      </c>
      <c r="G192" s="4" t="s">
        <v>26</v>
      </c>
      <c r="H192" s="4" t="s">
        <v>18</v>
      </c>
      <c r="I192" s="4" t="s">
        <v>715</v>
      </c>
      <c r="J192" s="4" t="s">
        <v>715</v>
      </c>
      <c r="K192" s="5">
        <v>6063595</v>
      </c>
      <c r="L192" s="5">
        <v>288362</v>
      </c>
      <c r="M192" s="5">
        <v>19</v>
      </c>
      <c r="N192" s="5">
        <v>1</v>
      </c>
      <c r="O192" s="5">
        <v>4.4000000000000004</v>
      </c>
      <c r="P192" s="5"/>
    </row>
    <row r="193" spans="1:16" x14ac:dyDescent="0.25">
      <c r="A193" s="4" t="s">
        <v>21</v>
      </c>
      <c r="B193" s="4" t="s">
        <v>131</v>
      </c>
      <c r="C193" s="5">
        <v>36928</v>
      </c>
      <c r="D193" s="4" t="s">
        <v>33</v>
      </c>
      <c r="E193" s="4" t="s">
        <v>66</v>
      </c>
      <c r="F193" s="4" t="s">
        <v>155</v>
      </c>
      <c r="G193" s="4" t="s">
        <v>26</v>
      </c>
      <c r="H193" s="4" t="s">
        <v>27</v>
      </c>
      <c r="I193" s="4" t="s">
        <v>715</v>
      </c>
      <c r="J193" s="4" t="s">
        <v>715</v>
      </c>
      <c r="K193" s="5">
        <v>6071862</v>
      </c>
      <c r="L193" s="5">
        <v>269043</v>
      </c>
      <c r="M193" s="5">
        <v>19</v>
      </c>
      <c r="N193" s="5">
        <v>2</v>
      </c>
      <c r="O193" s="5">
        <v>38.5</v>
      </c>
      <c r="P193" s="5"/>
    </row>
    <row r="194" spans="1:16" x14ac:dyDescent="0.25">
      <c r="A194" s="4" t="s">
        <v>21</v>
      </c>
      <c r="B194" s="4" t="s">
        <v>131</v>
      </c>
      <c r="C194" s="5">
        <v>36938</v>
      </c>
      <c r="D194" s="4" t="s">
        <v>33</v>
      </c>
      <c r="E194" s="4" t="s">
        <v>43</v>
      </c>
      <c r="F194" s="4" t="s">
        <v>43</v>
      </c>
      <c r="G194" s="4" t="s">
        <v>26</v>
      </c>
      <c r="H194" s="4" t="s">
        <v>27</v>
      </c>
      <c r="I194" s="4" t="s">
        <v>715</v>
      </c>
      <c r="J194" s="4" t="s">
        <v>638</v>
      </c>
      <c r="K194" s="5">
        <v>6062030</v>
      </c>
      <c r="L194" s="5">
        <v>272495</v>
      </c>
      <c r="M194" s="5">
        <v>19</v>
      </c>
      <c r="N194" s="5">
        <v>1</v>
      </c>
      <c r="O194" s="5">
        <v>41</v>
      </c>
      <c r="P194" s="5"/>
    </row>
    <row r="195" spans="1:16" x14ac:dyDescent="0.25">
      <c r="A195" s="4" t="s">
        <v>21</v>
      </c>
      <c r="B195" s="4" t="s">
        <v>131</v>
      </c>
      <c r="C195" s="5">
        <v>36943</v>
      </c>
      <c r="D195" s="4" t="s">
        <v>33</v>
      </c>
      <c r="E195" s="4" t="s">
        <v>43</v>
      </c>
      <c r="F195" s="4" t="s">
        <v>43</v>
      </c>
      <c r="G195" s="4" t="s">
        <v>26</v>
      </c>
      <c r="H195" s="4" t="s">
        <v>27</v>
      </c>
      <c r="I195" s="4" t="s">
        <v>715</v>
      </c>
      <c r="J195" s="4" t="s">
        <v>638</v>
      </c>
      <c r="K195" s="5">
        <v>6062776</v>
      </c>
      <c r="L195" s="5">
        <v>272337</v>
      </c>
      <c r="M195" s="5">
        <v>19</v>
      </c>
      <c r="N195" s="5">
        <v>1</v>
      </c>
      <c r="O195" s="5">
        <v>14</v>
      </c>
      <c r="P195" s="5"/>
    </row>
    <row r="196" spans="1:16" x14ac:dyDescent="0.25">
      <c r="A196" s="4" t="s">
        <v>21</v>
      </c>
      <c r="B196" s="4" t="s">
        <v>131</v>
      </c>
      <c r="C196" s="5">
        <v>36945</v>
      </c>
      <c r="D196" s="4" t="s">
        <v>33</v>
      </c>
      <c r="E196" s="4" t="s">
        <v>43</v>
      </c>
      <c r="F196" s="4" t="s">
        <v>43</v>
      </c>
      <c r="G196" s="4" t="s">
        <v>26</v>
      </c>
      <c r="H196" s="4" t="s">
        <v>27</v>
      </c>
      <c r="I196" s="4" t="s">
        <v>715</v>
      </c>
      <c r="J196" s="4" t="s">
        <v>638</v>
      </c>
      <c r="K196" s="5">
        <v>6063995</v>
      </c>
      <c r="L196" s="5">
        <v>273613</v>
      </c>
      <c r="M196" s="5">
        <v>19</v>
      </c>
      <c r="N196" s="5">
        <v>1</v>
      </c>
      <c r="O196" s="5">
        <v>12</v>
      </c>
      <c r="P196" s="5"/>
    </row>
    <row r="197" spans="1:16" x14ac:dyDescent="0.25">
      <c r="A197" s="4" t="s">
        <v>21</v>
      </c>
      <c r="B197" s="4" t="s">
        <v>131</v>
      </c>
      <c r="C197" s="5">
        <v>36946</v>
      </c>
      <c r="D197" s="4" t="s">
        <v>33</v>
      </c>
      <c r="E197" s="4" t="s">
        <v>43</v>
      </c>
      <c r="F197" s="4" t="s">
        <v>156</v>
      </c>
      <c r="G197" s="4" t="s">
        <v>26</v>
      </c>
      <c r="H197" s="4" t="s">
        <v>27</v>
      </c>
      <c r="I197" s="4" t="s">
        <v>715</v>
      </c>
      <c r="J197" s="4" t="s">
        <v>715</v>
      </c>
      <c r="K197" s="5">
        <v>6065889</v>
      </c>
      <c r="L197" s="5">
        <v>277146</v>
      </c>
      <c r="M197" s="5">
        <v>19</v>
      </c>
      <c r="N197" s="5">
        <v>1</v>
      </c>
      <c r="O197" s="5">
        <v>54</v>
      </c>
      <c r="P197" s="5"/>
    </row>
    <row r="198" spans="1:16" x14ac:dyDescent="0.25">
      <c r="A198" s="4" t="s">
        <v>21</v>
      </c>
      <c r="B198" s="4" t="s">
        <v>131</v>
      </c>
      <c r="C198" s="5">
        <v>36949</v>
      </c>
      <c r="D198" s="4" t="s">
        <v>33</v>
      </c>
      <c r="E198" s="4" t="s">
        <v>43</v>
      </c>
      <c r="F198" s="4" t="s">
        <v>154</v>
      </c>
      <c r="G198" s="4" t="s">
        <v>26</v>
      </c>
      <c r="H198" s="4" t="s">
        <v>18</v>
      </c>
      <c r="I198" s="4" t="s">
        <v>715</v>
      </c>
      <c r="J198" s="4" t="s">
        <v>715</v>
      </c>
      <c r="K198" s="5">
        <v>6065082</v>
      </c>
      <c r="L198" s="5">
        <v>290100</v>
      </c>
      <c r="M198" s="5">
        <v>19</v>
      </c>
      <c r="N198" s="5">
        <v>1</v>
      </c>
      <c r="O198" s="5">
        <v>3.2</v>
      </c>
      <c r="P198" s="5"/>
    </row>
    <row r="199" spans="1:16" x14ac:dyDescent="0.25">
      <c r="A199" s="4" t="s">
        <v>21</v>
      </c>
      <c r="B199" s="4" t="s">
        <v>131</v>
      </c>
      <c r="C199" s="5">
        <v>36999</v>
      </c>
      <c r="D199" s="4" t="s">
        <v>33</v>
      </c>
      <c r="E199" s="4" t="s">
        <v>146</v>
      </c>
      <c r="F199" s="4" t="s">
        <v>157</v>
      </c>
      <c r="G199" s="4" t="s">
        <v>26</v>
      </c>
      <c r="H199" s="4" t="s">
        <v>18</v>
      </c>
      <c r="I199" s="4" t="s">
        <v>715</v>
      </c>
      <c r="J199" s="4" t="s">
        <v>715</v>
      </c>
      <c r="K199" s="5">
        <v>6056454</v>
      </c>
      <c r="L199" s="5">
        <v>271368</v>
      </c>
      <c r="M199" s="5">
        <v>19</v>
      </c>
      <c r="N199" s="5">
        <v>1</v>
      </c>
      <c r="O199" s="5">
        <v>0.8</v>
      </c>
      <c r="P199" s="5"/>
    </row>
    <row r="200" spans="1:16" x14ac:dyDescent="0.25">
      <c r="A200" s="4" t="s">
        <v>21</v>
      </c>
      <c r="B200" s="4" t="s">
        <v>131</v>
      </c>
      <c r="C200" s="5">
        <v>37006</v>
      </c>
      <c r="D200" s="4" t="s">
        <v>33</v>
      </c>
      <c r="E200" s="4" t="s">
        <v>66</v>
      </c>
      <c r="F200" s="4" t="s">
        <v>67</v>
      </c>
      <c r="G200" s="4" t="s">
        <v>26</v>
      </c>
      <c r="H200" s="4" t="s">
        <v>27</v>
      </c>
      <c r="I200" s="4" t="s">
        <v>715</v>
      </c>
      <c r="J200" s="4" t="s">
        <v>715</v>
      </c>
      <c r="K200" s="5">
        <v>6075042</v>
      </c>
      <c r="L200" s="5">
        <v>266887</v>
      </c>
      <c r="M200" s="5">
        <v>19</v>
      </c>
      <c r="N200" s="5">
        <v>1</v>
      </c>
      <c r="O200" s="5">
        <v>10.8</v>
      </c>
      <c r="P200" s="5"/>
    </row>
    <row r="201" spans="1:16" x14ac:dyDescent="0.25">
      <c r="A201" s="4" t="s">
        <v>21</v>
      </c>
      <c r="B201" s="4" t="s">
        <v>131</v>
      </c>
      <c r="C201" s="5">
        <v>37008</v>
      </c>
      <c r="D201" s="4" t="s">
        <v>33</v>
      </c>
      <c r="E201" s="4" t="s">
        <v>43</v>
      </c>
      <c r="F201" s="4" t="s">
        <v>156</v>
      </c>
      <c r="G201" s="4" t="s">
        <v>26</v>
      </c>
      <c r="H201" s="4" t="s">
        <v>27</v>
      </c>
      <c r="I201" s="4" t="s">
        <v>715</v>
      </c>
      <c r="J201" s="4" t="s">
        <v>715</v>
      </c>
      <c r="K201" s="5">
        <v>6066477</v>
      </c>
      <c r="L201" s="5">
        <v>277102</v>
      </c>
      <c r="M201" s="5">
        <v>19</v>
      </c>
      <c r="N201" s="5">
        <v>1</v>
      </c>
      <c r="O201" s="5">
        <v>12.5</v>
      </c>
      <c r="P201" s="5"/>
    </row>
    <row r="202" spans="1:16" x14ac:dyDescent="0.25">
      <c r="A202" s="4" t="s">
        <v>21</v>
      </c>
      <c r="B202" s="4" t="s">
        <v>131</v>
      </c>
      <c r="C202" s="5">
        <v>37019</v>
      </c>
      <c r="D202" s="4" t="s">
        <v>33</v>
      </c>
      <c r="E202" s="4" t="s">
        <v>43</v>
      </c>
      <c r="F202" s="4" t="s">
        <v>132</v>
      </c>
      <c r="G202" s="4" t="s">
        <v>26</v>
      </c>
      <c r="H202" s="4" t="s">
        <v>18</v>
      </c>
      <c r="I202" s="4" t="s">
        <v>715</v>
      </c>
      <c r="J202" s="4" t="s">
        <v>715</v>
      </c>
      <c r="K202" s="5">
        <v>6066918</v>
      </c>
      <c r="L202" s="5">
        <v>289115</v>
      </c>
      <c r="M202" s="5">
        <v>19</v>
      </c>
      <c r="N202" s="5">
        <v>1</v>
      </c>
      <c r="O202" s="5">
        <v>2</v>
      </c>
      <c r="P202" s="5"/>
    </row>
    <row r="203" spans="1:16" x14ac:dyDescent="0.25">
      <c r="A203" s="4" t="s">
        <v>21</v>
      </c>
      <c r="B203" s="4" t="s">
        <v>131</v>
      </c>
      <c r="C203" s="5">
        <v>37022</v>
      </c>
      <c r="D203" s="4" t="s">
        <v>33</v>
      </c>
      <c r="E203" s="4" t="s">
        <v>43</v>
      </c>
      <c r="F203" s="4" t="s">
        <v>154</v>
      </c>
      <c r="G203" s="4" t="s">
        <v>26</v>
      </c>
      <c r="H203" s="4" t="s">
        <v>18</v>
      </c>
      <c r="I203" s="4" t="s">
        <v>715</v>
      </c>
      <c r="J203" s="4" t="s">
        <v>715</v>
      </c>
      <c r="K203" s="5">
        <v>6064022</v>
      </c>
      <c r="L203" s="5">
        <v>292040</v>
      </c>
      <c r="M203" s="5">
        <v>19</v>
      </c>
      <c r="N203" s="5">
        <v>1</v>
      </c>
      <c r="O203" s="5">
        <v>2</v>
      </c>
      <c r="P203" s="5"/>
    </row>
    <row r="204" spans="1:16" x14ac:dyDescent="0.25">
      <c r="A204" s="4" t="s">
        <v>21</v>
      </c>
      <c r="B204" s="4" t="s">
        <v>131</v>
      </c>
      <c r="C204" s="5">
        <v>37028</v>
      </c>
      <c r="D204" s="4" t="s">
        <v>33</v>
      </c>
      <c r="E204" s="4" t="s">
        <v>146</v>
      </c>
      <c r="F204" s="4" t="s">
        <v>146</v>
      </c>
      <c r="G204" s="4" t="s">
        <v>26</v>
      </c>
      <c r="H204" s="4" t="s">
        <v>18</v>
      </c>
      <c r="I204" s="4" t="s">
        <v>715</v>
      </c>
      <c r="J204" s="4" t="s">
        <v>715</v>
      </c>
      <c r="K204" s="5">
        <v>6053514</v>
      </c>
      <c r="L204" s="5">
        <v>270826</v>
      </c>
      <c r="M204" s="5">
        <v>19</v>
      </c>
      <c r="N204" s="5">
        <v>1</v>
      </c>
      <c r="O204" s="5">
        <v>3.5</v>
      </c>
      <c r="P204" s="5"/>
    </row>
    <row r="205" spans="1:16" x14ac:dyDescent="0.25">
      <c r="A205" s="4" t="s">
        <v>21</v>
      </c>
      <c r="B205" s="4" t="s">
        <v>131</v>
      </c>
      <c r="C205" s="5">
        <v>37044</v>
      </c>
      <c r="D205" s="4" t="s">
        <v>33</v>
      </c>
      <c r="E205" s="4" t="s">
        <v>66</v>
      </c>
      <c r="F205" s="4" t="s">
        <v>67</v>
      </c>
      <c r="G205" s="4" t="s">
        <v>26</v>
      </c>
      <c r="H205" s="4" t="s">
        <v>27</v>
      </c>
      <c r="I205" s="4" t="s">
        <v>715</v>
      </c>
      <c r="J205" s="4" t="s">
        <v>715</v>
      </c>
      <c r="K205" s="5">
        <v>6075221</v>
      </c>
      <c r="L205" s="5">
        <v>267369</v>
      </c>
      <c r="M205" s="5">
        <v>19</v>
      </c>
      <c r="N205" s="5">
        <v>1</v>
      </c>
      <c r="O205" s="5">
        <v>12.1</v>
      </c>
      <c r="P205" s="5"/>
    </row>
    <row r="206" spans="1:16" x14ac:dyDescent="0.25">
      <c r="A206" s="4" t="s">
        <v>21</v>
      </c>
      <c r="B206" s="4" t="s">
        <v>131</v>
      </c>
      <c r="C206" s="5">
        <v>37079</v>
      </c>
      <c r="D206" s="4" t="s">
        <v>33</v>
      </c>
      <c r="E206" s="4" t="s">
        <v>66</v>
      </c>
      <c r="F206" s="4" t="s">
        <v>67</v>
      </c>
      <c r="G206" s="4" t="s">
        <v>26</v>
      </c>
      <c r="H206" s="4" t="s">
        <v>27</v>
      </c>
      <c r="I206" s="4" t="s">
        <v>715</v>
      </c>
      <c r="J206" s="4" t="s">
        <v>715</v>
      </c>
      <c r="K206" s="5">
        <v>6074969</v>
      </c>
      <c r="L206" s="5">
        <v>266493</v>
      </c>
      <c r="M206" s="5">
        <v>19</v>
      </c>
      <c r="N206" s="5">
        <v>1</v>
      </c>
      <c r="O206" s="5">
        <v>21</v>
      </c>
      <c r="P206" s="5"/>
    </row>
    <row r="207" spans="1:16" x14ac:dyDescent="0.25">
      <c r="A207" s="4" t="s">
        <v>21</v>
      </c>
      <c r="B207" s="4" t="s">
        <v>131</v>
      </c>
      <c r="C207" s="5">
        <v>37080</v>
      </c>
      <c r="D207" s="4" t="s">
        <v>33</v>
      </c>
      <c r="E207" s="4" t="s">
        <v>66</v>
      </c>
      <c r="F207" s="4" t="s">
        <v>67</v>
      </c>
      <c r="G207" s="4" t="s">
        <v>26</v>
      </c>
      <c r="H207" s="4" t="s">
        <v>27</v>
      </c>
      <c r="I207" s="4" t="s">
        <v>715</v>
      </c>
      <c r="J207" s="4" t="s">
        <v>715</v>
      </c>
      <c r="K207" s="5">
        <v>6075608</v>
      </c>
      <c r="L207" s="5">
        <v>267031</v>
      </c>
      <c r="M207" s="5">
        <v>19</v>
      </c>
      <c r="N207" s="5">
        <v>1</v>
      </c>
      <c r="O207" s="5">
        <v>18.600000000000001</v>
      </c>
      <c r="P207" s="5"/>
    </row>
    <row r="208" spans="1:16" x14ac:dyDescent="0.25">
      <c r="A208" s="4" t="s">
        <v>21</v>
      </c>
      <c r="B208" s="4" t="s">
        <v>131</v>
      </c>
      <c r="C208" s="5">
        <v>37396</v>
      </c>
      <c r="D208" s="4" t="s">
        <v>33</v>
      </c>
      <c r="E208" s="4" t="s">
        <v>133</v>
      </c>
      <c r="F208" s="4" t="s">
        <v>143</v>
      </c>
      <c r="G208" s="4" t="s">
        <v>26</v>
      </c>
      <c r="H208" s="4" t="s">
        <v>18</v>
      </c>
      <c r="I208" s="4" t="s">
        <v>715</v>
      </c>
      <c r="J208" s="4" t="s">
        <v>715</v>
      </c>
      <c r="K208" s="5">
        <v>6065461</v>
      </c>
      <c r="L208" s="5">
        <v>263240</v>
      </c>
      <c r="M208" s="5">
        <v>19</v>
      </c>
      <c r="N208" s="5">
        <v>1</v>
      </c>
      <c r="O208" s="5">
        <v>0.4</v>
      </c>
      <c r="P208" s="5"/>
    </row>
    <row r="209" spans="1:16" x14ac:dyDescent="0.25">
      <c r="A209" s="4" t="s">
        <v>21</v>
      </c>
      <c r="B209" s="4" t="s">
        <v>131</v>
      </c>
      <c r="C209" s="5">
        <v>37401</v>
      </c>
      <c r="D209" s="4" t="s">
        <v>33</v>
      </c>
      <c r="E209" s="4" t="s">
        <v>47</v>
      </c>
      <c r="F209" s="4" t="s">
        <v>158</v>
      </c>
      <c r="G209" s="4" t="s">
        <v>26</v>
      </c>
      <c r="H209" s="4" t="s">
        <v>18</v>
      </c>
      <c r="I209" s="4" t="s">
        <v>715</v>
      </c>
      <c r="J209" s="4" t="s">
        <v>715</v>
      </c>
      <c r="K209" s="5">
        <v>6075905</v>
      </c>
      <c r="L209" s="5">
        <v>290743</v>
      </c>
      <c r="M209" s="5">
        <v>19</v>
      </c>
      <c r="N209" s="5">
        <v>1</v>
      </c>
      <c r="O209" s="5">
        <v>1</v>
      </c>
      <c r="P209" s="5"/>
    </row>
    <row r="210" spans="1:16" x14ac:dyDescent="0.25">
      <c r="A210" s="4" t="s">
        <v>21</v>
      </c>
      <c r="B210" s="4" t="s">
        <v>131</v>
      </c>
      <c r="C210" s="5">
        <v>37403</v>
      </c>
      <c r="D210" s="4" t="s">
        <v>33</v>
      </c>
      <c r="E210" s="4" t="s">
        <v>43</v>
      </c>
      <c r="F210" s="4" t="s">
        <v>159</v>
      </c>
      <c r="G210" s="4" t="s">
        <v>26</v>
      </c>
      <c r="H210" s="4" t="s">
        <v>27</v>
      </c>
      <c r="I210" s="4" t="s">
        <v>715</v>
      </c>
      <c r="J210" s="4" t="s">
        <v>638</v>
      </c>
      <c r="K210" s="5">
        <v>6068758</v>
      </c>
      <c r="L210" s="5">
        <v>271166</v>
      </c>
      <c r="M210" s="5">
        <v>19</v>
      </c>
      <c r="N210" s="5">
        <v>1</v>
      </c>
      <c r="O210" s="5">
        <v>9</v>
      </c>
      <c r="P210" s="5"/>
    </row>
    <row r="211" spans="1:16" x14ac:dyDescent="0.25">
      <c r="A211" s="4" t="s">
        <v>21</v>
      </c>
      <c r="B211" s="4" t="s">
        <v>131</v>
      </c>
      <c r="C211" s="5">
        <v>37405</v>
      </c>
      <c r="D211" s="4" t="s">
        <v>33</v>
      </c>
      <c r="E211" s="4" t="s">
        <v>137</v>
      </c>
      <c r="F211" s="4" t="s">
        <v>137</v>
      </c>
      <c r="G211" s="4" t="s">
        <v>26</v>
      </c>
      <c r="H211" s="4" t="s">
        <v>27</v>
      </c>
      <c r="I211" s="4" t="s">
        <v>715</v>
      </c>
      <c r="J211" s="4" t="s">
        <v>715</v>
      </c>
      <c r="K211" s="5">
        <v>6038845</v>
      </c>
      <c r="L211" s="5">
        <v>277693</v>
      </c>
      <c r="M211" s="5">
        <v>19</v>
      </c>
      <c r="N211" s="5">
        <v>3</v>
      </c>
      <c r="O211" s="5">
        <v>40.200000000000003</v>
      </c>
      <c r="P211" s="5"/>
    </row>
    <row r="212" spans="1:16" x14ac:dyDescent="0.25">
      <c r="A212" s="4" t="s">
        <v>21</v>
      </c>
      <c r="B212" s="4" t="s">
        <v>131</v>
      </c>
      <c r="C212" s="5">
        <v>37408</v>
      </c>
      <c r="D212" s="4" t="s">
        <v>33</v>
      </c>
      <c r="E212" s="4" t="s">
        <v>43</v>
      </c>
      <c r="F212" s="4" t="s">
        <v>154</v>
      </c>
      <c r="G212" s="4" t="s">
        <v>26</v>
      </c>
      <c r="H212" s="4" t="s">
        <v>18</v>
      </c>
      <c r="I212" s="4" t="s">
        <v>715</v>
      </c>
      <c r="J212" s="4" t="s">
        <v>715</v>
      </c>
      <c r="K212" s="5">
        <v>6066493</v>
      </c>
      <c r="L212" s="5">
        <v>290005</v>
      </c>
      <c r="M212" s="5">
        <v>19</v>
      </c>
      <c r="N212" s="5">
        <v>1</v>
      </c>
      <c r="O212" s="5">
        <v>8.5</v>
      </c>
      <c r="P212" s="5"/>
    </row>
    <row r="213" spans="1:16" x14ac:dyDescent="0.25">
      <c r="A213" s="4" t="s">
        <v>21</v>
      </c>
      <c r="B213" s="4" t="s">
        <v>131</v>
      </c>
      <c r="C213" s="5">
        <v>37461</v>
      </c>
      <c r="D213" s="4" t="s">
        <v>33</v>
      </c>
      <c r="E213" s="4" t="s">
        <v>69</v>
      </c>
      <c r="F213" s="4" t="s">
        <v>69</v>
      </c>
      <c r="G213" s="4" t="s">
        <v>26</v>
      </c>
      <c r="H213" s="4" t="s">
        <v>18</v>
      </c>
      <c r="I213" s="4" t="s">
        <v>715</v>
      </c>
      <c r="J213" s="4" t="s">
        <v>715</v>
      </c>
      <c r="K213" s="5">
        <v>6079983</v>
      </c>
      <c r="L213" s="5">
        <v>258189</v>
      </c>
      <c r="M213" s="5">
        <v>19</v>
      </c>
      <c r="N213" s="5">
        <v>1</v>
      </c>
      <c r="O213" s="5">
        <v>2.5</v>
      </c>
      <c r="P213" s="5"/>
    </row>
    <row r="214" spans="1:16" x14ac:dyDescent="0.25">
      <c r="A214" s="4" t="s">
        <v>21</v>
      </c>
      <c r="B214" s="4" t="s">
        <v>131</v>
      </c>
      <c r="C214" s="5">
        <v>37478</v>
      </c>
      <c r="D214" s="4" t="s">
        <v>33</v>
      </c>
      <c r="E214" s="4" t="s">
        <v>47</v>
      </c>
      <c r="F214" s="4" t="s">
        <v>139</v>
      </c>
      <c r="G214" s="4" t="s">
        <v>26</v>
      </c>
      <c r="H214" s="4" t="s">
        <v>18</v>
      </c>
      <c r="I214" s="4" t="s">
        <v>715</v>
      </c>
      <c r="J214" s="4" t="s">
        <v>715</v>
      </c>
      <c r="K214" s="5">
        <v>6074703</v>
      </c>
      <c r="L214" s="5">
        <v>289607</v>
      </c>
      <c r="M214" s="5">
        <v>19</v>
      </c>
      <c r="N214" s="5">
        <v>1</v>
      </c>
      <c r="O214" s="5">
        <v>1</v>
      </c>
      <c r="P214" s="5"/>
    </row>
    <row r="215" spans="1:16" x14ac:dyDescent="0.25">
      <c r="A215" s="4" t="s">
        <v>21</v>
      </c>
      <c r="B215" s="4" t="s">
        <v>131</v>
      </c>
      <c r="C215" s="5">
        <v>37481</v>
      </c>
      <c r="D215" s="4" t="s">
        <v>33</v>
      </c>
      <c r="E215" s="4" t="s">
        <v>47</v>
      </c>
      <c r="F215" s="4" t="s">
        <v>139</v>
      </c>
      <c r="G215" s="4" t="s">
        <v>26</v>
      </c>
      <c r="H215" s="4" t="s">
        <v>18</v>
      </c>
      <c r="I215" s="4" t="s">
        <v>715</v>
      </c>
      <c r="J215" s="4" t="s">
        <v>715</v>
      </c>
      <c r="K215" s="5">
        <v>6075290</v>
      </c>
      <c r="L215" s="5">
        <v>289184</v>
      </c>
      <c r="M215" s="5">
        <v>19</v>
      </c>
      <c r="N215" s="5">
        <v>1</v>
      </c>
      <c r="O215" s="5">
        <v>2</v>
      </c>
      <c r="P215" s="5"/>
    </row>
    <row r="216" spans="1:16" x14ac:dyDescent="0.25">
      <c r="A216" s="4" t="s">
        <v>21</v>
      </c>
      <c r="B216" s="4" t="s">
        <v>131</v>
      </c>
      <c r="C216" s="5">
        <v>37489</v>
      </c>
      <c r="D216" s="4" t="s">
        <v>33</v>
      </c>
      <c r="E216" s="4" t="s">
        <v>66</v>
      </c>
      <c r="F216" s="4" t="s">
        <v>67</v>
      </c>
      <c r="G216" s="4" t="s">
        <v>26</v>
      </c>
      <c r="H216" s="4" t="s">
        <v>27</v>
      </c>
      <c r="I216" s="4" t="s">
        <v>715</v>
      </c>
      <c r="J216" s="4" t="s">
        <v>715</v>
      </c>
      <c r="K216" s="5">
        <v>6074880</v>
      </c>
      <c r="L216" s="5">
        <v>266704</v>
      </c>
      <c r="M216" s="5">
        <v>19</v>
      </c>
      <c r="N216" s="5">
        <v>1</v>
      </c>
      <c r="O216" s="5">
        <v>17.8</v>
      </c>
      <c r="P216" s="5"/>
    </row>
    <row r="217" spans="1:16" x14ac:dyDescent="0.25">
      <c r="A217" s="4" t="s">
        <v>21</v>
      </c>
      <c r="B217" s="4" t="s">
        <v>131</v>
      </c>
      <c r="C217" s="5">
        <v>37491</v>
      </c>
      <c r="D217" s="4" t="s">
        <v>33</v>
      </c>
      <c r="E217" s="4" t="s">
        <v>66</v>
      </c>
      <c r="F217" s="4" t="s">
        <v>67</v>
      </c>
      <c r="G217" s="4" t="s">
        <v>26</v>
      </c>
      <c r="H217" s="4" t="s">
        <v>27</v>
      </c>
      <c r="I217" s="4" t="s">
        <v>715</v>
      </c>
      <c r="J217" s="4" t="s">
        <v>715</v>
      </c>
      <c r="K217" s="5">
        <v>6074868</v>
      </c>
      <c r="L217" s="5">
        <v>265963</v>
      </c>
      <c r="M217" s="5">
        <v>19</v>
      </c>
      <c r="N217" s="5">
        <v>1</v>
      </c>
      <c r="O217" s="5">
        <v>14.9</v>
      </c>
      <c r="P217" s="5"/>
    </row>
    <row r="218" spans="1:16" x14ac:dyDescent="0.25">
      <c r="A218" s="4" t="s">
        <v>21</v>
      </c>
      <c r="B218" s="4" t="s">
        <v>131</v>
      </c>
      <c r="C218" s="5">
        <v>37508</v>
      </c>
      <c r="D218" s="4" t="s">
        <v>33</v>
      </c>
      <c r="E218" s="4" t="s">
        <v>43</v>
      </c>
      <c r="F218" s="4" t="s">
        <v>160</v>
      </c>
      <c r="G218" s="4" t="s">
        <v>26</v>
      </c>
      <c r="H218" s="4" t="s">
        <v>27</v>
      </c>
      <c r="I218" s="4" t="s">
        <v>715</v>
      </c>
      <c r="J218" s="4" t="s">
        <v>638</v>
      </c>
      <c r="K218" s="5">
        <v>6062465</v>
      </c>
      <c r="L218" s="5">
        <v>271954</v>
      </c>
      <c r="M218" s="5">
        <v>19</v>
      </c>
      <c r="N218" s="5">
        <v>1</v>
      </c>
      <c r="O218" s="5">
        <v>7</v>
      </c>
      <c r="P218" s="5"/>
    </row>
    <row r="219" spans="1:16" x14ac:dyDescent="0.25">
      <c r="A219" s="4" t="s">
        <v>21</v>
      </c>
      <c r="B219" s="4" t="s">
        <v>131</v>
      </c>
      <c r="C219" s="5">
        <v>37509</v>
      </c>
      <c r="D219" s="4" t="s">
        <v>33</v>
      </c>
      <c r="E219" s="4" t="s">
        <v>43</v>
      </c>
      <c r="F219" s="4" t="s">
        <v>43</v>
      </c>
      <c r="G219" s="4" t="s">
        <v>26</v>
      </c>
      <c r="H219" s="4" t="s">
        <v>27</v>
      </c>
      <c r="I219" s="4" t="s">
        <v>715</v>
      </c>
      <c r="J219" s="4" t="s">
        <v>715</v>
      </c>
      <c r="K219" s="5">
        <v>6065823</v>
      </c>
      <c r="L219" s="5">
        <v>276311</v>
      </c>
      <c r="M219" s="5">
        <v>19</v>
      </c>
      <c r="N219" s="5">
        <v>2</v>
      </c>
      <c r="O219" s="5">
        <v>104.6</v>
      </c>
      <c r="P219" s="5"/>
    </row>
    <row r="220" spans="1:16" x14ac:dyDescent="0.25">
      <c r="A220" s="4" t="s">
        <v>21</v>
      </c>
      <c r="B220" s="4" t="s">
        <v>131</v>
      </c>
      <c r="C220" s="5">
        <v>37522</v>
      </c>
      <c r="D220" s="4" t="s">
        <v>33</v>
      </c>
      <c r="E220" s="4" t="s">
        <v>66</v>
      </c>
      <c r="F220" s="4" t="s">
        <v>66</v>
      </c>
      <c r="G220" s="4" t="s">
        <v>26</v>
      </c>
      <c r="H220" s="4" t="s">
        <v>18</v>
      </c>
      <c r="I220" s="4" t="s">
        <v>715</v>
      </c>
      <c r="J220" s="4" t="s">
        <v>715</v>
      </c>
      <c r="K220" s="5">
        <v>6073631</v>
      </c>
      <c r="L220" s="5">
        <v>262437</v>
      </c>
      <c r="M220" s="5">
        <v>19</v>
      </c>
      <c r="N220" s="5">
        <v>1</v>
      </c>
      <c r="O220" s="5">
        <v>0.6</v>
      </c>
      <c r="P220" s="5"/>
    </row>
    <row r="221" spans="1:16" x14ac:dyDescent="0.25">
      <c r="A221" s="4" t="s">
        <v>21</v>
      </c>
      <c r="B221" s="4" t="s">
        <v>131</v>
      </c>
      <c r="C221" s="5">
        <v>37532</v>
      </c>
      <c r="D221" s="4" t="s">
        <v>33</v>
      </c>
      <c r="E221" s="4" t="s">
        <v>146</v>
      </c>
      <c r="F221" s="4" t="s">
        <v>146</v>
      </c>
      <c r="G221" s="4" t="s">
        <v>26</v>
      </c>
      <c r="H221" s="4" t="s">
        <v>18</v>
      </c>
      <c r="I221" s="4" t="s">
        <v>715</v>
      </c>
      <c r="J221" s="4" t="s">
        <v>715</v>
      </c>
      <c r="K221" s="5">
        <v>6055384</v>
      </c>
      <c r="L221" s="5">
        <v>277955</v>
      </c>
      <c r="M221" s="5">
        <v>19</v>
      </c>
      <c r="N221" s="5">
        <v>1</v>
      </c>
      <c r="O221" s="5">
        <v>0.8</v>
      </c>
      <c r="P221" s="5"/>
    </row>
    <row r="222" spans="1:16" x14ac:dyDescent="0.25">
      <c r="A222" s="4" t="s">
        <v>21</v>
      </c>
      <c r="B222" s="4" t="s">
        <v>131</v>
      </c>
      <c r="C222" s="5">
        <v>37538</v>
      </c>
      <c r="D222" s="4" t="s">
        <v>33</v>
      </c>
      <c r="E222" s="4" t="s">
        <v>43</v>
      </c>
      <c r="F222" s="4" t="s">
        <v>161</v>
      </c>
      <c r="G222" s="4" t="s">
        <v>26</v>
      </c>
      <c r="H222" s="4" t="s">
        <v>18</v>
      </c>
      <c r="I222" s="4" t="s">
        <v>715</v>
      </c>
      <c r="J222" s="4" t="s">
        <v>715</v>
      </c>
      <c r="K222" s="5">
        <v>6070516</v>
      </c>
      <c r="L222" s="5">
        <v>278427</v>
      </c>
      <c r="M222" s="5">
        <v>19</v>
      </c>
      <c r="N222" s="5">
        <v>1</v>
      </c>
      <c r="O222" s="5">
        <v>2.8</v>
      </c>
      <c r="P222" s="5"/>
    </row>
    <row r="223" spans="1:16" x14ac:dyDescent="0.25">
      <c r="A223" s="4" t="s">
        <v>21</v>
      </c>
      <c r="B223" s="4" t="s">
        <v>131</v>
      </c>
      <c r="C223" s="5">
        <v>37539</v>
      </c>
      <c r="D223" s="4" t="s">
        <v>33</v>
      </c>
      <c r="E223" s="4" t="s">
        <v>43</v>
      </c>
      <c r="F223" s="4" t="s">
        <v>162</v>
      </c>
      <c r="G223" s="4" t="s">
        <v>26</v>
      </c>
      <c r="H223" s="4" t="s">
        <v>27</v>
      </c>
      <c r="I223" s="4" t="s">
        <v>715</v>
      </c>
      <c r="J223" s="4" t="s">
        <v>715</v>
      </c>
      <c r="K223" s="5">
        <v>6068324</v>
      </c>
      <c r="L223" s="5">
        <v>282109</v>
      </c>
      <c r="M223" s="5">
        <v>19</v>
      </c>
      <c r="N223" s="5">
        <v>1</v>
      </c>
      <c r="O223" s="5">
        <v>7.6</v>
      </c>
      <c r="P223" s="5"/>
    </row>
    <row r="224" spans="1:16" x14ac:dyDescent="0.25">
      <c r="A224" s="4" t="s">
        <v>21</v>
      </c>
      <c r="B224" s="4" t="s">
        <v>131</v>
      </c>
      <c r="C224" s="5">
        <v>37541</v>
      </c>
      <c r="D224" s="4" t="s">
        <v>33</v>
      </c>
      <c r="E224" s="4" t="s">
        <v>66</v>
      </c>
      <c r="F224" s="4" t="s">
        <v>67</v>
      </c>
      <c r="G224" s="4" t="s">
        <v>26</v>
      </c>
      <c r="H224" s="4" t="s">
        <v>27</v>
      </c>
      <c r="I224" s="4" t="s">
        <v>715</v>
      </c>
      <c r="J224" s="4" t="s">
        <v>715</v>
      </c>
      <c r="K224" s="5">
        <v>6074614</v>
      </c>
      <c r="L224" s="5">
        <v>266573</v>
      </c>
      <c r="M224" s="5">
        <v>19</v>
      </c>
      <c r="N224" s="5">
        <v>1</v>
      </c>
      <c r="O224" s="5">
        <v>9.6</v>
      </c>
      <c r="P224" s="5"/>
    </row>
    <row r="225" spans="1:16" x14ac:dyDescent="0.25">
      <c r="A225" s="4" t="s">
        <v>21</v>
      </c>
      <c r="B225" s="4" t="s">
        <v>131</v>
      </c>
      <c r="C225" s="5">
        <v>37576</v>
      </c>
      <c r="D225" s="4" t="s">
        <v>33</v>
      </c>
      <c r="E225" s="4" t="s">
        <v>146</v>
      </c>
      <c r="F225" s="4" t="s">
        <v>157</v>
      </c>
      <c r="G225" s="4" t="s">
        <v>26</v>
      </c>
      <c r="H225" s="4" t="s">
        <v>18</v>
      </c>
      <c r="I225" s="4" t="s">
        <v>715</v>
      </c>
      <c r="J225" s="4" t="s">
        <v>715</v>
      </c>
      <c r="K225" s="5">
        <v>6055962</v>
      </c>
      <c r="L225" s="5">
        <v>273473</v>
      </c>
      <c r="M225" s="5">
        <v>19</v>
      </c>
      <c r="N225" s="5">
        <v>1</v>
      </c>
      <c r="O225" s="5">
        <v>0.8</v>
      </c>
      <c r="P225" s="5"/>
    </row>
    <row r="226" spans="1:16" x14ac:dyDescent="0.25">
      <c r="A226" s="4" t="s">
        <v>21</v>
      </c>
      <c r="B226" s="4" t="s">
        <v>131</v>
      </c>
      <c r="C226" s="5">
        <v>37581</v>
      </c>
      <c r="D226" s="4" t="s">
        <v>33</v>
      </c>
      <c r="E226" s="4" t="s">
        <v>66</v>
      </c>
      <c r="F226" s="4" t="s">
        <v>67</v>
      </c>
      <c r="G226" s="4" t="s">
        <v>26</v>
      </c>
      <c r="H226" s="4" t="s">
        <v>27</v>
      </c>
      <c r="I226" s="4" t="s">
        <v>715</v>
      </c>
      <c r="J226" s="4" t="s">
        <v>715</v>
      </c>
      <c r="K226" s="5">
        <v>6075318</v>
      </c>
      <c r="L226" s="5">
        <v>267377</v>
      </c>
      <c r="M226" s="5">
        <v>19</v>
      </c>
      <c r="N226" s="5">
        <v>1</v>
      </c>
      <c r="O226" s="5">
        <v>7</v>
      </c>
      <c r="P226" s="5"/>
    </row>
    <row r="227" spans="1:16" x14ac:dyDescent="0.25">
      <c r="A227" s="4" t="s">
        <v>21</v>
      </c>
      <c r="B227" s="4" t="s">
        <v>131</v>
      </c>
      <c r="C227" s="5">
        <v>37582</v>
      </c>
      <c r="D227" s="4" t="s">
        <v>33</v>
      </c>
      <c r="E227" s="4" t="s">
        <v>43</v>
      </c>
      <c r="F227" s="4" t="s">
        <v>43</v>
      </c>
      <c r="G227" s="4" t="s">
        <v>26</v>
      </c>
      <c r="H227" s="4" t="s">
        <v>27</v>
      </c>
      <c r="I227" s="4" t="s">
        <v>715</v>
      </c>
      <c r="J227" s="4" t="s">
        <v>638</v>
      </c>
      <c r="K227" s="5">
        <v>6064249</v>
      </c>
      <c r="L227" s="5">
        <v>273863</v>
      </c>
      <c r="M227" s="5">
        <v>19</v>
      </c>
      <c r="N227" s="5">
        <v>1</v>
      </c>
      <c r="O227" s="5">
        <v>5</v>
      </c>
      <c r="P227" s="5"/>
    </row>
    <row r="228" spans="1:16" x14ac:dyDescent="0.25">
      <c r="A228" s="4" t="s">
        <v>21</v>
      </c>
      <c r="B228" s="4" t="s">
        <v>131</v>
      </c>
      <c r="C228" s="5">
        <v>37583</v>
      </c>
      <c r="D228" s="4" t="s">
        <v>33</v>
      </c>
      <c r="E228" s="4" t="s">
        <v>43</v>
      </c>
      <c r="F228" s="4" t="s">
        <v>163</v>
      </c>
      <c r="G228" s="4" t="s">
        <v>26</v>
      </c>
      <c r="H228" s="4" t="s">
        <v>27</v>
      </c>
      <c r="I228" s="4" t="s">
        <v>715</v>
      </c>
      <c r="J228" s="4" t="s">
        <v>715</v>
      </c>
      <c r="K228" s="5">
        <v>6061186</v>
      </c>
      <c r="L228" s="5">
        <v>281947</v>
      </c>
      <c r="M228" s="5">
        <v>19</v>
      </c>
      <c r="N228" s="5">
        <v>1</v>
      </c>
      <c r="O228" s="5">
        <v>9</v>
      </c>
      <c r="P228" s="5"/>
    </row>
    <row r="229" spans="1:16" x14ac:dyDescent="0.25">
      <c r="A229" s="4" t="s">
        <v>21</v>
      </c>
      <c r="B229" s="4" t="s">
        <v>131</v>
      </c>
      <c r="C229" s="5">
        <v>37585</v>
      </c>
      <c r="D229" s="4" t="s">
        <v>33</v>
      </c>
      <c r="E229" s="4" t="s">
        <v>43</v>
      </c>
      <c r="F229" s="4" t="s">
        <v>135</v>
      </c>
      <c r="G229" s="4" t="s">
        <v>26</v>
      </c>
      <c r="H229" s="4" t="s">
        <v>18</v>
      </c>
      <c r="I229" s="4" t="s">
        <v>715</v>
      </c>
      <c r="J229" s="4" t="s">
        <v>715</v>
      </c>
      <c r="K229" s="5">
        <v>6067048</v>
      </c>
      <c r="L229" s="5">
        <v>283168</v>
      </c>
      <c r="M229" s="5">
        <v>19</v>
      </c>
      <c r="N229" s="5">
        <v>1</v>
      </c>
      <c r="O229" s="5">
        <v>4.2</v>
      </c>
      <c r="P229" s="5"/>
    </row>
    <row r="230" spans="1:16" x14ac:dyDescent="0.25">
      <c r="A230" s="4" t="s">
        <v>21</v>
      </c>
      <c r="B230" s="4" t="s">
        <v>131</v>
      </c>
      <c r="C230" s="5">
        <v>37586</v>
      </c>
      <c r="D230" s="4" t="s">
        <v>33</v>
      </c>
      <c r="E230" s="4" t="s">
        <v>43</v>
      </c>
      <c r="F230" s="4" t="s">
        <v>135</v>
      </c>
      <c r="G230" s="4" t="s">
        <v>26</v>
      </c>
      <c r="H230" s="4" t="s">
        <v>18</v>
      </c>
      <c r="I230" s="4" t="s">
        <v>715</v>
      </c>
      <c r="J230" s="4" t="s">
        <v>715</v>
      </c>
      <c r="K230" s="5">
        <v>6065477</v>
      </c>
      <c r="L230" s="5">
        <v>285529</v>
      </c>
      <c r="M230" s="5">
        <v>19</v>
      </c>
      <c r="N230" s="5">
        <v>1</v>
      </c>
      <c r="O230" s="5">
        <v>4</v>
      </c>
      <c r="P230" s="5"/>
    </row>
    <row r="231" spans="1:16" x14ac:dyDescent="0.25">
      <c r="A231" s="4" t="s">
        <v>21</v>
      </c>
      <c r="B231" s="4" t="s">
        <v>131</v>
      </c>
      <c r="C231" s="5">
        <v>37593</v>
      </c>
      <c r="D231" s="4" t="s">
        <v>33</v>
      </c>
      <c r="E231" s="4" t="s">
        <v>66</v>
      </c>
      <c r="F231" s="4" t="s">
        <v>66</v>
      </c>
      <c r="G231" s="4" t="s">
        <v>26</v>
      </c>
      <c r="H231" s="4" t="s">
        <v>18</v>
      </c>
      <c r="I231" s="4" t="s">
        <v>715</v>
      </c>
      <c r="J231" s="4" t="s">
        <v>715</v>
      </c>
      <c r="K231" s="5">
        <v>6071350</v>
      </c>
      <c r="L231" s="5">
        <v>262174</v>
      </c>
      <c r="M231" s="5">
        <v>19</v>
      </c>
      <c r="N231" s="5">
        <v>1</v>
      </c>
      <c r="O231" s="5">
        <v>5.8</v>
      </c>
      <c r="P231" s="5"/>
    </row>
    <row r="232" spans="1:16" x14ac:dyDescent="0.25">
      <c r="A232" s="4" t="s">
        <v>21</v>
      </c>
      <c r="B232" s="4" t="s">
        <v>131</v>
      </c>
      <c r="C232" s="5">
        <v>37596</v>
      </c>
      <c r="D232" s="4" t="s">
        <v>33</v>
      </c>
      <c r="E232" s="4" t="s">
        <v>146</v>
      </c>
      <c r="F232" s="4" t="s">
        <v>165</v>
      </c>
      <c r="G232" s="4" t="s">
        <v>26</v>
      </c>
      <c r="H232" s="4" t="s">
        <v>18</v>
      </c>
      <c r="I232" s="4" t="s">
        <v>715</v>
      </c>
      <c r="J232" s="4" t="s">
        <v>715</v>
      </c>
      <c r="K232" s="5">
        <v>6051860</v>
      </c>
      <c r="L232" s="5">
        <v>277525</v>
      </c>
      <c r="M232" s="5">
        <v>19</v>
      </c>
      <c r="N232" s="5">
        <v>1</v>
      </c>
      <c r="O232" s="5">
        <v>0.6</v>
      </c>
      <c r="P232" s="5"/>
    </row>
    <row r="233" spans="1:16" x14ac:dyDescent="0.25">
      <c r="A233" s="4" t="s">
        <v>21</v>
      </c>
      <c r="B233" s="4" t="s">
        <v>131</v>
      </c>
      <c r="C233" s="5">
        <v>37599</v>
      </c>
      <c r="D233" s="4" t="s">
        <v>33</v>
      </c>
      <c r="E233" s="4" t="s">
        <v>146</v>
      </c>
      <c r="F233" s="4" t="s">
        <v>165</v>
      </c>
      <c r="G233" s="4" t="s">
        <v>26</v>
      </c>
      <c r="H233" s="4" t="s">
        <v>18</v>
      </c>
      <c r="I233" s="4" t="s">
        <v>715</v>
      </c>
      <c r="J233" s="4" t="s">
        <v>715</v>
      </c>
      <c r="K233" s="5">
        <v>6051185</v>
      </c>
      <c r="L233" s="5">
        <v>277057</v>
      </c>
      <c r="M233" s="5">
        <v>19</v>
      </c>
      <c r="N233" s="5">
        <v>1</v>
      </c>
      <c r="O233" s="5">
        <v>1.2</v>
      </c>
      <c r="P233" s="5"/>
    </row>
    <row r="234" spans="1:16" x14ac:dyDescent="0.25">
      <c r="A234" s="4" t="s">
        <v>21</v>
      </c>
      <c r="B234" s="4" t="s">
        <v>131</v>
      </c>
      <c r="C234" s="5">
        <v>37601</v>
      </c>
      <c r="D234" s="4" t="s">
        <v>33</v>
      </c>
      <c r="E234" s="4" t="s">
        <v>43</v>
      </c>
      <c r="F234" s="4" t="s">
        <v>161</v>
      </c>
      <c r="G234" s="4" t="s">
        <v>26</v>
      </c>
      <c r="H234" s="4" t="s">
        <v>18</v>
      </c>
      <c r="I234" s="4" t="s">
        <v>715</v>
      </c>
      <c r="J234" s="4" t="s">
        <v>715</v>
      </c>
      <c r="K234" s="5">
        <v>6071939</v>
      </c>
      <c r="L234" s="5">
        <v>280679</v>
      </c>
      <c r="M234" s="5">
        <v>19</v>
      </c>
      <c r="N234" s="5">
        <v>1</v>
      </c>
      <c r="O234" s="5">
        <v>2.6</v>
      </c>
      <c r="P234" s="5"/>
    </row>
    <row r="235" spans="1:16" x14ac:dyDescent="0.25">
      <c r="A235" s="4" t="s">
        <v>21</v>
      </c>
      <c r="B235" s="4" t="s">
        <v>131</v>
      </c>
      <c r="C235" s="5">
        <v>37714</v>
      </c>
      <c r="D235" s="4" t="s">
        <v>33</v>
      </c>
      <c r="E235" s="4" t="s">
        <v>69</v>
      </c>
      <c r="F235" s="4" t="s">
        <v>69</v>
      </c>
      <c r="G235" s="4" t="s">
        <v>26</v>
      </c>
      <c r="H235" s="4" t="s">
        <v>18</v>
      </c>
      <c r="I235" s="4" t="s">
        <v>715</v>
      </c>
      <c r="J235" s="4" t="s">
        <v>715</v>
      </c>
      <c r="K235" s="5">
        <v>6086302</v>
      </c>
      <c r="L235" s="5">
        <v>243798</v>
      </c>
      <c r="M235" s="5">
        <v>19</v>
      </c>
      <c r="N235" s="5">
        <v>1</v>
      </c>
      <c r="O235" s="5">
        <v>5.5</v>
      </c>
      <c r="P235" s="5"/>
    </row>
    <row r="236" spans="1:16" x14ac:dyDescent="0.25">
      <c r="A236" s="4" t="s">
        <v>21</v>
      </c>
      <c r="B236" s="4" t="s">
        <v>131</v>
      </c>
      <c r="C236" s="5">
        <v>37874</v>
      </c>
      <c r="D236" s="4" t="s">
        <v>37</v>
      </c>
      <c r="E236" s="4" t="s">
        <v>151</v>
      </c>
      <c r="F236" s="4" t="s">
        <v>152</v>
      </c>
      <c r="G236" s="4" t="s">
        <v>26</v>
      </c>
      <c r="H236" s="4" t="s">
        <v>18</v>
      </c>
      <c r="I236" s="4" t="s">
        <v>715</v>
      </c>
      <c r="J236" s="4" t="s">
        <v>715</v>
      </c>
      <c r="K236" s="5">
        <v>6238095</v>
      </c>
      <c r="L236" s="5">
        <v>349931</v>
      </c>
      <c r="M236" s="5">
        <v>19</v>
      </c>
      <c r="N236" s="5">
        <v>1</v>
      </c>
      <c r="O236" s="5">
        <v>0.8</v>
      </c>
      <c r="P236" s="5"/>
    </row>
    <row r="237" spans="1:16" x14ac:dyDescent="0.25">
      <c r="A237" s="4" t="s">
        <v>21</v>
      </c>
      <c r="B237" s="4" t="s">
        <v>131</v>
      </c>
      <c r="C237" s="5">
        <v>37929</v>
      </c>
      <c r="D237" s="4" t="s">
        <v>33</v>
      </c>
      <c r="E237" s="4" t="s">
        <v>35</v>
      </c>
      <c r="F237" s="4" t="s">
        <v>166</v>
      </c>
      <c r="G237" s="4" t="s">
        <v>26</v>
      </c>
      <c r="H237" s="4" t="s">
        <v>27</v>
      </c>
      <c r="I237" s="4" t="s">
        <v>715</v>
      </c>
      <c r="J237" s="4" t="s">
        <v>715</v>
      </c>
      <c r="K237" s="5">
        <v>6143576</v>
      </c>
      <c r="L237" s="5">
        <v>315054</v>
      </c>
      <c r="M237" s="5">
        <v>19</v>
      </c>
      <c r="N237" s="5">
        <v>1</v>
      </c>
      <c r="O237" s="5">
        <v>4.7</v>
      </c>
      <c r="P237" s="5"/>
    </row>
    <row r="238" spans="1:16" x14ac:dyDescent="0.25">
      <c r="A238" s="4" t="s">
        <v>21</v>
      </c>
      <c r="B238" s="4" t="s">
        <v>131</v>
      </c>
      <c r="C238" s="5">
        <v>37936</v>
      </c>
      <c r="D238" s="4" t="s">
        <v>33</v>
      </c>
      <c r="E238" s="4" t="s">
        <v>69</v>
      </c>
      <c r="F238" s="4" t="s">
        <v>69</v>
      </c>
      <c r="G238" s="4" t="s">
        <v>26</v>
      </c>
      <c r="H238" s="4" t="s">
        <v>18</v>
      </c>
      <c r="I238" s="4" t="s">
        <v>715</v>
      </c>
      <c r="J238" s="4" t="s">
        <v>715</v>
      </c>
      <c r="K238" s="5">
        <v>6086157</v>
      </c>
      <c r="L238" s="5">
        <v>244888</v>
      </c>
      <c r="M238" s="5">
        <v>19</v>
      </c>
      <c r="N238" s="5">
        <v>1</v>
      </c>
      <c r="O238" s="5">
        <v>12</v>
      </c>
      <c r="P238" s="5"/>
    </row>
    <row r="239" spans="1:16" x14ac:dyDescent="0.25">
      <c r="A239" s="4" t="s">
        <v>21</v>
      </c>
      <c r="B239" s="4" t="s">
        <v>131</v>
      </c>
      <c r="C239" s="5">
        <v>37938</v>
      </c>
      <c r="D239" s="4" t="s">
        <v>33</v>
      </c>
      <c r="E239" s="4" t="s">
        <v>144</v>
      </c>
      <c r="F239" s="4" t="s">
        <v>144</v>
      </c>
      <c r="G239" s="4" t="s">
        <v>26</v>
      </c>
      <c r="H239" s="4" t="s">
        <v>18</v>
      </c>
      <c r="I239" s="4" t="s">
        <v>715</v>
      </c>
      <c r="J239" s="4" t="s">
        <v>715</v>
      </c>
      <c r="K239" s="5">
        <v>6058978</v>
      </c>
      <c r="L239" s="5">
        <v>258094</v>
      </c>
      <c r="M239" s="5">
        <v>19</v>
      </c>
      <c r="N239" s="5">
        <v>1</v>
      </c>
      <c r="O239" s="5">
        <v>0.4</v>
      </c>
      <c r="P239" s="5"/>
    </row>
    <row r="240" spans="1:16" x14ac:dyDescent="0.25">
      <c r="A240" s="4" t="s">
        <v>21</v>
      </c>
      <c r="B240" s="4" t="s">
        <v>131</v>
      </c>
      <c r="C240" s="5">
        <v>37941</v>
      </c>
      <c r="D240" s="4" t="s">
        <v>37</v>
      </c>
      <c r="E240" s="4" t="s">
        <v>75</v>
      </c>
      <c r="F240" s="4" t="s">
        <v>75</v>
      </c>
      <c r="G240" s="4" t="s">
        <v>26</v>
      </c>
      <c r="H240" s="4" t="s">
        <v>18</v>
      </c>
      <c r="I240" s="4" t="s">
        <v>715</v>
      </c>
      <c r="J240" s="4" t="s">
        <v>715</v>
      </c>
      <c r="K240" s="5">
        <v>6222449</v>
      </c>
      <c r="L240" s="5">
        <v>349019</v>
      </c>
      <c r="M240" s="5">
        <v>19</v>
      </c>
      <c r="N240" s="5">
        <v>1</v>
      </c>
      <c r="O240" s="5">
        <v>0.8</v>
      </c>
      <c r="P240" s="5"/>
    </row>
    <row r="241" spans="1:16" x14ac:dyDescent="0.25">
      <c r="A241" s="4" t="s">
        <v>21</v>
      </c>
      <c r="B241" s="4" t="s">
        <v>131</v>
      </c>
      <c r="C241" s="5">
        <v>37942</v>
      </c>
      <c r="D241" s="4" t="s">
        <v>33</v>
      </c>
      <c r="E241" s="4" t="s">
        <v>167</v>
      </c>
      <c r="F241" s="4" t="s">
        <v>167</v>
      </c>
      <c r="G241" s="4" t="s">
        <v>26</v>
      </c>
      <c r="H241" s="4" t="s">
        <v>27</v>
      </c>
      <c r="I241" s="4" t="s">
        <v>638</v>
      </c>
      <c r="J241" s="4" t="s">
        <v>715</v>
      </c>
      <c r="K241" s="5">
        <v>6096698</v>
      </c>
      <c r="L241" s="5">
        <v>287473</v>
      </c>
      <c r="M241" s="5">
        <v>19</v>
      </c>
      <c r="N241" s="5">
        <v>1</v>
      </c>
      <c r="O241" s="5">
        <v>1</v>
      </c>
      <c r="P241" s="5"/>
    </row>
    <row r="242" spans="1:16" x14ac:dyDescent="0.25">
      <c r="A242" s="4" t="s">
        <v>21</v>
      </c>
      <c r="B242" s="4" t="s">
        <v>131</v>
      </c>
      <c r="C242" s="5">
        <v>37943</v>
      </c>
      <c r="D242" s="4" t="s">
        <v>33</v>
      </c>
      <c r="E242" s="4" t="s">
        <v>45</v>
      </c>
      <c r="F242" s="4" t="s">
        <v>45</v>
      </c>
      <c r="G242" s="4" t="s">
        <v>26</v>
      </c>
      <c r="H242" s="4" t="s">
        <v>18</v>
      </c>
      <c r="I242" s="4" t="s">
        <v>715</v>
      </c>
      <c r="J242" s="4" t="s">
        <v>715</v>
      </c>
      <c r="K242" s="5">
        <v>6087429</v>
      </c>
      <c r="L242" s="5">
        <v>274981</v>
      </c>
      <c r="M242" s="5">
        <v>19</v>
      </c>
      <c r="N242" s="5">
        <v>1</v>
      </c>
      <c r="O242" s="5">
        <v>1.99</v>
      </c>
      <c r="P242" s="5"/>
    </row>
    <row r="243" spans="1:16" x14ac:dyDescent="0.25">
      <c r="A243" s="4" t="s">
        <v>21</v>
      </c>
      <c r="B243" s="4" t="s">
        <v>131</v>
      </c>
      <c r="C243" s="5">
        <v>37953</v>
      </c>
      <c r="D243" s="4" t="s">
        <v>33</v>
      </c>
      <c r="E243" s="4" t="s">
        <v>43</v>
      </c>
      <c r="F243" s="4" t="s">
        <v>150</v>
      </c>
      <c r="G243" s="4" t="s">
        <v>26</v>
      </c>
      <c r="H243" s="4" t="s">
        <v>18</v>
      </c>
      <c r="I243" s="4" t="s">
        <v>715</v>
      </c>
      <c r="J243" s="4" t="s">
        <v>715</v>
      </c>
      <c r="K243" s="5">
        <v>6059515</v>
      </c>
      <c r="L243" s="5">
        <v>271444</v>
      </c>
      <c r="M243" s="5">
        <v>19</v>
      </c>
      <c r="N243" s="5">
        <v>1</v>
      </c>
      <c r="O243" s="5">
        <v>0.5</v>
      </c>
      <c r="P243" s="5"/>
    </row>
    <row r="244" spans="1:16" x14ac:dyDescent="0.25">
      <c r="A244" s="4" t="s">
        <v>21</v>
      </c>
      <c r="B244" s="4" t="s">
        <v>131</v>
      </c>
      <c r="C244" s="5">
        <v>37993</v>
      </c>
      <c r="D244" s="4" t="s">
        <v>33</v>
      </c>
      <c r="E244" s="4" t="s">
        <v>43</v>
      </c>
      <c r="F244" s="4" t="s">
        <v>150</v>
      </c>
      <c r="G244" s="4" t="s">
        <v>26</v>
      </c>
      <c r="H244" s="4" t="s">
        <v>18</v>
      </c>
      <c r="I244" s="4" t="s">
        <v>715</v>
      </c>
      <c r="J244" s="4" t="s">
        <v>715</v>
      </c>
      <c r="K244" s="5">
        <v>6059652</v>
      </c>
      <c r="L244" s="5">
        <v>271076</v>
      </c>
      <c r="M244" s="5">
        <v>19</v>
      </c>
      <c r="N244" s="5">
        <v>1</v>
      </c>
      <c r="O244" s="5">
        <v>0.5</v>
      </c>
      <c r="P244" s="5"/>
    </row>
    <row r="245" spans="1:16" x14ac:dyDescent="0.25">
      <c r="A245" s="4" t="s">
        <v>21</v>
      </c>
      <c r="B245" s="4" t="s">
        <v>131</v>
      </c>
      <c r="C245" s="5">
        <v>37995</v>
      </c>
      <c r="D245" s="4" t="s">
        <v>33</v>
      </c>
      <c r="E245" s="4" t="s">
        <v>43</v>
      </c>
      <c r="F245" s="4" t="s">
        <v>154</v>
      </c>
      <c r="G245" s="4" t="s">
        <v>26</v>
      </c>
      <c r="H245" s="4" t="s">
        <v>18</v>
      </c>
      <c r="I245" s="4" t="s">
        <v>715</v>
      </c>
      <c r="J245" s="4" t="s">
        <v>715</v>
      </c>
      <c r="K245" s="5">
        <v>6063781</v>
      </c>
      <c r="L245" s="5">
        <v>291192</v>
      </c>
      <c r="M245" s="5">
        <v>19</v>
      </c>
      <c r="N245" s="5">
        <v>1</v>
      </c>
      <c r="O245" s="5">
        <v>3.1</v>
      </c>
      <c r="P245" s="5"/>
    </row>
    <row r="246" spans="1:16" x14ac:dyDescent="0.25">
      <c r="A246" s="4" t="s">
        <v>21</v>
      </c>
      <c r="B246" s="4" t="s">
        <v>131</v>
      </c>
      <c r="C246" s="5">
        <v>37996</v>
      </c>
      <c r="D246" s="4" t="s">
        <v>33</v>
      </c>
      <c r="E246" s="4" t="s">
        <v>69</v>
      </c>
      <c r="F246" s="4" t="s">
        <v>69</v>
      </c>
      <c r="G246" s="4" t="s">
        <v>26</v>
      </c>
      <c r="H246" s="4" t="s">
        <v>18</v>
      </c>
      <c r="I246" s="4" t="s">
        <v>715</v>
      </c>
      <c r="J246" s="4" t="s">
        <v>715</v>
      </c>
      <c r="K246" s="5">
        <v>6086394</v>
      </c>
      <c r="L246" s="5">
        <v>244308</v>
      </c>
      <c r="M246" s="5">
        <v>19</v>
      </c>
      <c r="N246" s="5">
        <v>1</v>
      </c>
      <c r="O246" s="5">
        <v>8</v>
      </c>
      <c r="P246" s="5"/>
    </row>
    <row r="247" spans="1:16" x14ac:dyDescent="0.25">
      <c r="A247" s="4" t="s">
        <v>21</v>
      </c>
      <c r="B247" s="4" t="s">
        <v>131</v>
      </c>
      <c r="C247" s="5">
        <v>38001</v>
      </c>
      <c r="D247" s="4" t="s">
        <v>33</v>
      </c>
      <c r="E247" s="4" t="s">
        <v>43</v>
      </c>
      <c r="F247" s="4" t="s">
        <v>149</v>
      </c>
      <c r="G247" s="4" t="s">
        <v>26</v>
      </c>
      <c r="H247" s="4" t="s">
        <v>27</v>
      </c>
      <c r="I247" s="4" t="s">
        <v>715</v>
      </c>
      <c r="J247" s="4" t="s">
        <v>715</v>
      </c>
      <c r="K247" s="5">
        <v>6068429</v>
      </c>
      <c r="L247" s="5">
        <v>282341</v>
      </c>
      <c r="M247" s="5">
        <v>19</v>
      </c>
      <c r="N247" s="5">
        <v>1</v>
      </c>
      <c r="O247" s="5">
        <v>16</v>
      </c>
      <c r="P247" s="5"/>
    </row>
    <row r="248" spans="1:16" x14ac:dyDescent="0.25">
      <c r="A248" s="4" t="s">
        <v>21</v>
      </c>
      <c r="B248" s="4" t="s">
        <v>131</v>
      </c>
      <c r="C248" s="5">
        <v>38005</v>
      </c>
      <c r="D248" s="4" t="s">
        <v>33</v>
      </c>
      <c r="E248" s="4" t="s">
        <v>50</v>
      </c>
      <c r="F248" s="4" t="s">
        <v>50</v>
      </c>
      <c r="G248" s="4" t="s">
        <v>26</v>
      </c>
      <c r="H248" s="4" t="s">
        <v>27</v>
      </c>
      <c r="I248" s="4" t="s">
        <v>715</v>
      </c>
      <c r="J248" s="4" t="s">
        <v>715</v>
      </c>
      <c r="K248" s="5">
        <v>6130589</v>
      </c>
      <c r="L248" s="5">
        <v>312406</v>
      </c>
      <c r="M248" s="5">
        <v>19</v>
      </c>
      <c r="N248" s="5">
        <v>2</v>
      </c>
      <c r="O248" s="5">
        <v>48.3</v>
      </c>
      <c r="P248" s="5"/>
    </row>
    <row r="249" spans="1:16" x14ac:dyDescent="0.25">
      <c r="A249" s="4" t="s">
        <v>21</v>
      </c>
      <c r="B249" s="4" t="s">
        <v>131</v>
      </c>
      <c r="C249" s="5">
        <v>38009</v>
      </c>
      <c r="D249" s="4" t="s">
        <v>33</v>
      </c>
      <c r="E249" s="4" t="s">
        <v>66</v>
      </c>
      <c r="F249" s="4" t="s">
        <v>67</v>
      </c>
      <c r="G249" s="4" t="s">
        <v>26</v>
      </c>
      <c r="H249" s="4" t="s">
        <v>27</v>
      </c>
      <c r="I249" s="4" t="s">
        <v>715</v>
      </c>
      <c r="J249" s="4" t="s">
        <v>715</v>
      </c>
      <c r="K249" s="5">
        <v>6075042</v>
      </c>
      <c r="L249" s="5">
        <v>266887</v>
      </c>
      <c r="M249" s="5">
        <v>19</v>
      </c>
      <c r="N249" s="5">
        <v>1</v>
      </c>
      <c r="O249" s="5">
        <v>9</v>
      </c>
      <c r="P249" s="5"/>
    </row>
    <row r="250" spans="1:16" x14ac:dyDescent="0.25">
      <c r="A250" s="4" t="s">
        <v>21</v>
      </c>
      <c r="B250" s="4" t="s">
        <v>131</v>
      </c>
      <c r="C250" s="5">
        <v>38013</v>
      </c>
      <c r="D250" s="4" t="s">
        <v>33</v>
      </c>
      <c r="E250" s="4" t="s">
        <v>43</v>
      </c>
      <c r="F250" s="4" t="s">
        <v>168</v>
      </c>
      <c r="G250" s="4" t="s">
        <v>26</v>
      </c>
      <c r="H250" s="4" t="s">
        <v>27</v>
      </c>
      <c r="I250" s="4" t="s">
        <v>715</v>
      </c>
      <c r="J250" s="4" t="s">
        <v>638</v>
      </c>
      <c r="K250" s="5">
        <v>6070224</v>
      </c>
      <c r="L250" s="5">
        <v>275033</v>
      </c>
      <c r="M250" s="5">
        <v>19</v>
      </c>
      <c r="N250" s="5">
        <v>1</v>
      </c>
      <c r="O250" s="5">
        <v>14.9</v>
      </c>
      <c r="P250" s="5"/>
    </row>
    <row r="251" spans="1:16" x14ac:dyDescent="0.25">
      <c r="A251" s="4" t="s">
        <v>21</v>
      </c>
      <c r="B251" s="4" t="s">
        <v>131</v>
      </c>
      <c r="C251" s="5">
        <v>38030</v>
      </c>
      <c r="D251" s="4" t="s">
        <v>33</v>
      </c>
      <c r="E251" s="4" t="s">
        <v>43</v>
      </c>
      <c r="F251" s="4" t="s">
        <v>43</v>
      </c>
      <c r="G251" s="4" t="s">
        <v>26</v>
      </c>
      <c r="H251" s="4" t="s">
        <v>27</v>
      </c>
      <c r="I251" s="4" t="s">
        <v>715</v>
      </c>
      <c r="J251" s="4" t="s">
        <v>715</v>
      </c>
      <c r="K251" s="5">
        <v>6065654</v>
      </c>
      <c r="L251" s="5">
        <v>274902</v>
      </c>
      <c r="M251" s="5">
        <v>19</v>
      </c>
      <c r="N251" s="5">
        <v>1</v>
      </c>
      <c r="O251" s="5">
        <v>6.5</v>
      </c>
      <c r="P251" s="5"/>
    </row>
    <row r="252" spans="1:16" x14ac:dyDescent="0.25">
      <c r="A252" s="4" t="s">
        <v>21</v>
      </c>
      <c r="B252" s="4" t="s">
        <v>131</v>
      </c>
      <c r="C252" s="5">
        <v>38236</v>
      </c>
      <c r="D252" s="4" t="s">
        <v>37</v>
      </c>
      <c r="E252" s="4" t="s">
        <v>169</v>
      </c>
      <c r="F252" s="4" t="s">
        <v>169</v>
      </c>
      <c r="G252" s="4" t="s">
        <v>26</v>
      </c>
      <c r="H252" s="4" t="s">
        <v>27</v>
      </c>
      <c r="I252" s="4" t="s">
        <v>715</v>
      </c>
      <c r="J252" s="4" t="s">
        <v>638</v>
      </c>
      <c r="K252" s="5">
        <v>6219499</v>
      </c>
      <c r="L252" s="5">
        <v>343598</v>
      </c>
      <c r="M252" s="5">
        <v>19</v>
      </c>
      <c r="N252" s="5">
        <v>1</v>
      </c>
      <c r="O252" s="5">
        <v>5.9</v>
      </c>
      <c r="P252" s="5"/>
    </row>
    <row r="253" spans="1:16" x14ac:dyDescent="0.25">
      <c r="A253" s="4" t="s">
        <v>21</v>
      </c>
      <c r="B253" s="4" t="s">
        <v>131</v>
      </c>
      <c r="C253" s="5">
        <v>38291</v>
      </c>
      <c r="D253" s="4" t="s">
        <v>37</v>
      </c>
      <c r="E253" s="4" t="s">
        <v>73</v>
      </c>
      <c r="F253" s="4" t="s">
        <v>170</v>
      </c>
      <c r="G253" s="4" t="s">
        <v>26</v>
      </c>
      <c r="H253" s="4" t="s">
        <v>27</v>
      </c>
      <c r="I253" s="4" t="s">
        <v>715</v>
      </c>
      <c r="J253" s="4" t="s">
        <v>715</v>
      </c>
      <c r="K253" s="5">
        <v>6160349</v>
      </c>
      <c r="L253" s="5">
        <v>325078</v>
      </c>
      <c r="M253" s="5">
        <v>19</v>
      </c>
      <c r="N253" s="5">
        <v>1</v>
      </c>
      <c r="O253" s="5">
        <v>6</v>
      </c>
      <c r="P253" s="5"/>
    </row>
    <row r="254" spans="1:16" x14ac:dyDescent="0.25">
      <c r="A254" s="4" t="s">
        <v>21</v>
      </c>
      <c r="B254" s="4" t="s">
        <v>131</v>
      </c>
      <c r="C254" s="5">
        <v>38310</v>
      </c>
      <c r="D254" s="4" t="s">
        <v>37</v>
      </c>
      <c r="E254" s="4" t="s">
        <v>73</v>
      </c>
      <c r="F254" s="4" t="s">
        <v>170</v>
      </c>
      <c r="G254" s="4" t="s">
        <v>26</v>
      </c>
      <c r="H254" s="4" t="s">
        <v>27</v>
      </c>
      <c r="I254" s="4" t="s">
        <v>715</v>
      </c>
      <c r="J254" s="4" t="s">
        <v>638</v>
      </c>
      <c r="K254" s="5">
        <v>6159846</v>
      </c>
      <c r="L254" s="5">
        <v>325640</v>
      </c>
      <c r="M254" s="5">
        <v>19</v>
      </c>
      <c r="N254" s="5">
        <v>1</v>
      </c>
      <c r="O254" s="5">
        <v>12</v>
      </c>
      <c r="P254" s="5"/>
    </row>
    <row r="255" spans="1:16" x14ac:dyDescent="0.25">
      <c r="A255" s="4" t="s">
        <v>21</v>
      </c>
      <c r="B255" s="4" t="s">
        <v>131</v>
      </c>
      <c r="C255" s="5">
        <v>38313</v>
      </c>
      <c r="D255" s="4" t="s">
        <v>33</v>
      </c>
      <c r="E255" s="4" t="s">
        <v>43</v>
      </c>
      <c r="F255" s="4" t="s">
        <v>171</v>
      </c>
      <c r="G255" s="4" t="s">
        <v>26</v>
      </c>
      <c r="H255" s="4" t="s">
        <v>18</v>
      </c>
      <c r="I255" s="4" t="s">
        <v>715</v>
      </c>
      <c r="J255" s="4" t="s">
        <v>715</v>
      </c>
      <c r="K255" s="5">
        <v>6072237</v>
      </c>
      <c r="L255" s="5">
        <v>289029</v>
      </c>
      <c r="M255" s="5">
        <v>19</v>
      </c>
      <c r="N255" s="5">
        <v>1</v>
      </c>
      <c r="O255" s="5">
        <v>3.75</v>
      </c>
      <c r="P255" s="5"/>
    </row>
    <row r="256" spans="1:16" x14ac:dyDescent="0.25">
      <c r="A256" s="4" t="s">
        <v>21</v>
      </c>
      <c r="B256" s="4" t="s">
        <v>131</v>
      </c>
      <c r="C256" s="5">
        <v>38317</v>
      </c>
      <c r="D256" s="4" t="s">
        <v>33</v>
      </c>
      <c r="E256" s="4" t="s">
        <v>146</v>
      </c>
      <c r="F256" s="4" t="s">
        <v>146</v>
      </c>
      <c r="G256" s="4" t="s">
        <v>26</v>
      </c>
      <c r="H256" s="4" t="s">
        <v>18</v>
      </c>
      <c r="I256" s="4" t="s">
        <v>715</v>
      </c>
      <c r="J256" s="4" t="s">
        <v>715</v>
      </c>
      <c r="K256" s="5">
        <v>6053465</v>
      </c>
      <c r="L256" s="5">
        <v>276641</v>
      </c>
      <c r="M256" s="5">
        <v>19</v>
      </c>
      <c r="N256" s="5">
        <v>1</v>
      </c>
      <c r="O256" s="5">
        <v>8.1999999999999993</v>
      </c>
      <c r="P256" s="5"/>
    </row>
    <row r="257" spans="1:16" x14ac:dyDescent="0.25">
      <c r="A257" s="4" t="s">
        <v>21</v>
      </c>
      <c r="B257" s="4" t="s">
        <v>131</v>
      </c>
      <c r="C257" s="5">
        <v>38325</v>
      </c>
      <c r="D257" s="4" t="s">
        <v>37</v>
      </c>
      <c r="E257" s="4" t="s">
        <v>169</v>
      </c>
      <c r="F257" s="4" t="s">
        <v>169</v>
      </c>
      <c r="G257" s="4" t="s">
        <v>26</v>
      </c>
      <c r="H257" s="4" t="s">
        <v>27</v>
      </c>
      <c r="I257" s="4" t="s">
        <v>715</v>
      </c>
      <c r="J257" s="4" t="s">
        <v>638</v>
      </c>
      <c r="K257" s="5">
        <v>6219232</v>
      </c>
      <c r="L257" s="5">
        <v>337899</v>
      </c>
      <c r="M257" s="5">
        <v>19</v>
      </c>
      <c r="N257" s="5">
        <v>1</v>
      </c>
      <c r="O257" s="5">
        <v>20</v>
      </c>
      <c r="P257" s="5"/>
    </row>
    <row r="258" spans="1:16" x14ac:dyDescent="0.25">
      <c r="A258" s="4" t="s">
        <v>21</v>
      </c>
      <c r="B258" s="4" t="s">
        <v>131</v>
      </c>
      <c r="C258" s="5">
        <v>38340</v>
      </c>
      <c r="D258" s="4" t="s">
        <v>33</v>
      </c>
      <c r="E258" s="4" t="s">
        <v>43</v>
      </c>
      <c r="F258" s="4" t="s">
        <v>168</v>
      </c>
      <c r="G258" s="4" t="s">
        <v>26</v>
      </c>
      <c r="H258" s="4" t="s">
        <v>27</v>
      </c>
      <c r="I258" s="4" t="s">
        <v>715</v>
      </c>
      <c r="J258" s="4" t="s">
        <v>638</v>
      </c>
      <c r="K258" s="5">
        <v>6070863</v>
      </c>
      <c r="L258" s="5">
        <v>274717</v>
      </c>
      <c r="M258" s="5">
        <v>19</v>
      </c>
      <c r="N258" s="5">
        <v>1</v>
      </c>
      <c r="O258" s="5">
        <v>5.2</v>
      </c>
      <c r="P258" s="5"/>
    </row>
    <row r="259" spans="1:16" x14ac:dyDescent="0.25">
      <c r="A259" s="4" t="s">
        <v>21</v>
      </c>
      <c r="B259" s="4" t="s">
        <v>131</v>
      </c>
      <c r="C259" s="5">
        <v>38345</v>
      </c>
      <c r="D259" s="4" t="s">
        <v>33</v>
      </c>
      <c r="E259" s="4" t="s">
        <v>43</v>
      </c>
      <c r="F259" s="4" t="s">
        <v>43</v>
      </c>
      <c r="G259" s="4" t="s">
        <v>26</v>
      </c>
      <c r="H259" s="4" t="s">
        <v>27</v>
      </c>
      <c r="I259" s="4" t="s">
        <v>715</v>
      </c>
      <c r="J259" s="4" t="s">
        <v>715</v>
      </c>
      <c r="K259" s="5">
        <v>6065703</v>
      </c>
      <c r="L259" s="5">
        <v>274719</v>
      </c>
      <c r="M259" s="5">
        <v>19</v>
      </c>
      <c r="N259" s="5">
        <v>1</v>
      </c>
      <c r="O259" s="5">
        <v>7.7</v>
      </c>
      <c r="P259" s="5"/>
    </row>
    <row r="260" spans="1:16" x14ac:dyDescent="0.25">
      <c r="A260" s="4" t="s">
        <v>21</v>
      </c>
      <c r="B260" s="4" t="s">
        <v>131</v>
      </c>
      <c r="C260" s="5">
        <v>38351</v>
      </c>
      <c r="D260" s="4" t="s">
        <v>33</v>
      </c>
      <c r="E260" s="4" t="s">
        <v>43</v>
      </c>
      <c r="F260" s="4" t="s">
        <v>163</v>
      </c>
      <c r="G260" s="4" t="s">
        <v>26</v>
      </c>
      <c r="H260" s="4" t="s">
        <v>27</v>
      </c>
      <c r="I260" s="4" t="s">
        <v>715</v>
      </c>
      <c r="J260" s="4" t="s">
        <v>715</v>
      </c>
      <c r="K260" s="5">
        <v>6060720</v>
      </c>
      <c r="L260" s="5">
        <v>282088</v>
      </c>
      <c r="M260" s="5">
        <v>19</v>
      </c>
      <c r="N260" s="5">
        <v>1</v>
      </c>
      <c r="O260" s="5">
        <v>11.1</v>
      </c>
      <c r="P260" s="5"/>
    </row>
    <row r="261" spans="1:16" x14ac:dyDescent="0.25">
      <c r="A261" s="4" t="s">
        <v>21</v>
      </c>
      <c r="B261" s="4" t="s">
        <v>131</v>
      </c>
      <c r="C261" s="5">
        <v>38364</v>
      </c>
      <c r="D261" s="4" t="s">
        <v>33</v>
      </c>
      <c r="E261" s="4" t="s">
        <v>43</v>
      </c>
      <c r="F261" s="4" t="s">
        <v>172</v>
      </c>
      <c r="G261" s="4" t="s">
        <v>26</v>
      </c>
      <c r="H261" s="4" t="s">
        <v>18</v>
      </c>
      <c r="I261" s="4" t="s">
        <v>715</v>
      </c>
      <c r="J261" s="4" t="s">
        <v>715</v>
      </c>
      <c r="K261" s="5">
        <v>6058768</v>
      </c>
      <c r="L261" s="5">
        <v>275358</v>
      </c>
      <c r="M261" s="5">
        <v>19</v>
      </c>
      <c r="N261" s="5">
        <v>1</v>
      </c>
      <c r="O261" s="5">
        <v>0.8</v>
      </c>
      <c r="P261" s="5"/>
    </row>
    <row r="262" spans="1:16" x14ac:dyDescent="0.25">
      <c r="A262" s="4" t="s">
        <v>21</v>
      </c>
      <c r="B262" s="4" t="s">
        <v>131</v>
      </c>
      <c r="C262" s="5">
        <v>38367</v>
      </c>
      <c r="D262" s="4" t="s">
        <v>33</v>
      </c>
      <c r="E262" s="4" t="s">
        <v>43</v>
      </c>
      <c r="F262" s="4" t="s">
        <v>150</v>
      </c>
      <c r="G262" s="4" t="s">
        <v>26</v>
      </c>
      <c r="H262" s="4" t="s">
        <v>18</v>
      </c>
      <c r="I262" s="4" t="s">
        <v>715</v>
      </c>
      <c r="J262" s="4" t="s">
        <v>715</v>
      </c>
      <c r="K262" s="5">
        <v>6057948</v>
      </c>
      <c r="L262" s="5">
        <v>271489</v>
      </c>
      <c r="M262" s="5">
        <v>19</v>
      </c>
      <c r="N262" s="5">
        <v>1</v>
      </c>
      <c r="O262" s="5">
        <v>0.27</v>
      </c>
      <c r="P262" s="5"/>
    </row>
    <row r="263" spans="1:16" x14ac:dyDescent="0.25">
      <c r="A263" s="4" t="s">
        <v>21</v>
      </c>
      <c r="B263" s="4" t="s">
        <v>131</v>
      </c>
      <c r="C263" s="5">
        <v>38379</v>
      </c>
      <c r="D263" s="4" t="s">
        <v>37</v>
      </c>
      <c r="E263" s="4" t="s">
        <v>73</v>
      </c>
      <c r="F263" s="4" t="s">
        <v>73</v>
      </c>
      <c r="G263" s="4" t="s">
        <v>26</v>
      </c>
      <c r="H263" s="4" t="s">
        <v>27</v>
      </c>
      <c r="I263" s="4" t="s">
        <v>715</v>
      </c>
      <c r="J263" s="4" t="s">
        <v>715</v>
      </c>
      <c r="K263" s="5">
        <v>6153618</v>
      </c>
      <c r="L263" s="5">
        <v>315708</v>
      </c>
      <c r="M263" s="5">
        <v>19</v>
      </c>
      <c r="N263" s="5">
        <v>1</v>
      </c>
      <c r="O263" s="5">
        <v>6.6</v>
      </c>
      <c r="P263" s="5"/>
    </row>
    <row r="264" spans="1:16" x14ac:dyDescent="0.25">
      <c r="A264" s="4" t="s">
        <v>21</v>
      </c>
      <c r="B264" s="4" t="s">
        <v>131</v>
      </c>
      <c r="C264" s="5">
        <v>38385</v>
      </c>
      <c r="D264" s="4" t="s">
        <v>33</v>
      </c>
      <c r="E264" s="4" t="s">
        <v>69</v>
      </c>
      <c r="F264" s="4" t="s">
        <v>69</v>
      </c>
      <c r="G264" s="4" t="s">
        <v>26</v>
      </c>
      <c r="H264" s="4" t="s">
        <v>18</v>
      </c>
      <c r="I264" s="4" t="s">
        <v>715</v>
      </c>
      <c r="J264" s="4" t="s">
        <v>715</v>
      </c>
      <c r="K264" s="5">
        <v>6081417</v>
      </c>
      <c r="L264" s="5">
        <v>253396</v>
      </c>
      <c r="M264" s="5">
        <v>19</v>
      </c>
      <c r="N264" s="5">
        <v>1</v>
      </c>
      <c r="O264" s="5">
        <v>2.5</v>
      </c>
      <c r="P264" s="5"/>
    </row>
    <row r="265" spans="1:16" x14ac:dyDescent="0.25">
      <c r="A265" s="4" t="s">
        <v>21</v>
      </c>
      <c r="B265" s="4" t="s">
        <v>131</v>
      </c>
      <c r="C265" s="5">
        <v>38387</v>
      </c>
      <c r="D265" s="4" t="s">
        <v>33</v>
      </c>
      <c r="E265" s="4" t="s">
        <v>137</v>
      </c>
      <c r="F265" s="4" t="s">
        <v>137</v>
      </c>
      <c r="G265" s="4" t="s">
        <v>26</v>
      </c>
      <c r="H265" s="4" t="s">
        <v>18</v>
      </c>
      <c r="I265" s="4" t="s">
        <v>715</v>
      </c>
      <c r="J265" s="4" t="s">
        <v>715</v>
      </c>
      <c r="K265" s="5">
        <v>6050719</v>
      </c>
      <c r="L265" s="5">
        <v>279132</v>
      </c>
      <c r="M265" s="5">
        <v>19</v>
      </c>
      <c r="N265" s="5">
        <v>1</v>
      </c>
      <c r="O265" s="5">
        <v>6</v>
      </c>
      <c r="P265" s="5"/>
    </row>
    <row r="266" spans="1:16" x14ac:dyDescent="0.25">
      <c r="A266" s="4" t="s">
        <v>21</v>
      </c>
      <c r="B266" s="4" t="s">
        <v>131</v>
      </c>
      <c r="C266" s="5">
        <v>38389</v>
      </c>
      <c r="D266" s="4" t="s">
        <v>33</v>
      </c>
      <c r="E266" s="4" t="s">
        <v>47</v>
      </c>
      <c r="F266" s="4" t="s">
        <v>158</v>
      </c>
      <c r="G266" s="4" t="s">
        <v>26</v>
      </c>
      <c r="H266" s="4" t="s">
        <v>18</v>
      </c>
      <c r="I266" s="4" t="s">
        <v>715</v>
      </c>
      <c r="J266" s="4" t="s">
        <v>715</v>
      </c>
      <c r="K266" s="5">
        <v>6076836</v>
      </c>
      <c r="L266" s="5">
        <v>291551</v>
      </c>
      <c r="M266" s="5">
        <v>19</v>
      </c>
      <c r="N266" s="5">
        <v>1</v>
      </c>
      <c r="O266" s="5">
        <v>0.8</v>
      </c>
      <c r="P266" s="5"/>
    </row>
    <row r="267" spans="1:16" x14ac:dyDescent="0.25">
      <c r="A267" s="4" t="s">
        <v>21</v>
      </c>
      <c r="B267" s="4" t="s">
        <v>131</v>
      </c>
      <c r="C267" s="5">
        <v>38392</v>
      </c>
      <c r="D267" s="4" t="s">
        <v>37</v>
      </c>
      <c r="E267" s="4" t="s">
        <v>73</v>
      </c>
      <c r="F267" s="4" t="s">
        <v>170</v>
      </c>
      <c r="G267" s="4" t="s">
        <v>26</v>
      </c>
      <c r="H267" s="4" t="s">
        <v>27</v>
      </c>
      <c r="I267" s="4" t="s">
        <v>715</v>
      </c>
      <c r="J267" s="4" t="s">
        <v>715</v>
      </c>
      <c r="K267" s="5">
        <v>6160742</v>
      </c>
      <c r="L267" s="5">
        <v>325501</v>
      </c>
      <c r="M267" s="5">
        <v>19</v>
      </c>
      <c r="N267" s="5">
        <v>1</v>
      </c>
      <c r="O267" s="5">
        <v>26</v>
      </c>
      <c r="P267" s="5"/>
    </row>
    <row r="268" spans="1:16" x14ac:dyDescent="0.25">
      <c r="A268" s="4" t="s">
        <v>21</v>
      </c>
      <c r="B268" s="4" t="s">
        <v>131</v>
      </c>
      <c r="C268" s="5">
        <v>38393</v>
      </c>
      <c r="D268" s="4" t="s">
        <v>37</v>
      </c>
      <c r="E268" s="4" t="s">
        <v>151</v>
      </c>
      <c r="F268" s="4" t="s">
        <v>152</v>
      </c>
      <c r="G268" s="4" t="s">
        <v>26</v>
      </c>
      <c r="H268" s="4" t="s">
        <v>18</v>
      </c>
      <c r="I268" s="4" t="s">
        <v>715</v>
      </c>
      <c r="J268" s="4" t="s">
        <v>715</v>
      </c>
      <c r="K268" s="5">
        <v>6236493</v>
      </c>
      <c r="L268" s="5">
        <v>351079</v>
      </c>
      <c r="M268" s="5">
        <v>19</v>
      </c>
      <c r="N268" s="5">
        <v>1</v>
      </c>
      <c r="O268" s="5">
        <v>0.7</v>
      </c>
      <c r="P268" s="5"/>
    </row>
    <row r="269" spans="1:16" x14ac:dyDescent="0.25">
      <c r="A269" s="4" t="s">
        <v>21</v>
      </c>
      <c r="B269" s="4" t="s">
        <v>131</v>
      </c>
      <c r="C269" s="5">
        <v>38402</v>
      </c>
      <c r="D269" s="4" t="s">
        <v>37</v>
      </c>
      <c r="E269" s="4" t="s">
        <v>38</v>
      </c>
      <c r="F269" s="4" t="s">
        <v>39</v>
      </c>
      <c r="G269" s="4" t="s">
        <v>26</v>
      </c>
      <c r="H269" s="4" t="s">
        <v>27</v>
      </c>
      <c r="I269" s="4" t="s">
        <v>715</v>
      </c>
      <c r="J269" s="4" t="s">
        <v>715</v>
      </c>
      <c r="K269" s="5">
        <v>6165584</v>
      </c>
      <c r="L269" s="5">
        <v>327738</v>
      </c>
      <c r="M269" s="5">
        <v>19</v>
      </c>
      <c r="N269" s="5">
        <v>1</v>
      </c>
      <c r="O269" s="5">
        <v>30</v>
      </c>
      <c r="P269" s="5"/>
    </row>
    <row r="270" spans="1:16" x14ac:dyDescent="0.25">
      <c r="A270" s="4" t="s">
        <v>21</v>
      </c>
      <c r="B270" s="4" t="s">
        <v>131</v>
      </c>
      <c r="C270" s="5">
        <v>38406</v>
      </c>
      <c r="D270" s="4" t="s">
        <v>37</v>
      </c>
      <c r="E270" s="4" t="s">
        <v>73</v>
      </c>
      <c r="F270" s="4" t="s">
        <v>73</v>
      </c>
      <c r="G270" s="4" t="s">
        <v>26</v>
      </c>
      <c r="H270" s="4" t="s">
        <v>27</v>
      </c>
      <c r="I270" s="4" t="s">
        <v>715</v>
      </c>
      <c r="J270" s="4" t="s">
        <v>715</v>
      </c>
      <c r="K270" s="5">
        <v>6153272</v>
      </c>
      <c r="L270" s="5">
        <v>318155</v>
      </c>
      <c r="M270" s="5">
        <v>19</v>
      </c>
      <c r="N270" s="5">
        <v>1</v>
      </c>
      <c r="O270" s="5">
        <v>12.4</v>
      </c>
      <c r="P270" s="5"/>
    </row>
    <row r="271" spans="1:16" x14ac:dyDescent="0.25">
      <c r="A271" s="4" t="s">
        <v>21</v>
      </c>
      <c r="B271" s="4" t="s">
        <v>131</v>
      </c>
      <c r="C271" s="5">
        <v>38408</v>
      </c>
      <c r="D271" s="4" t="s">
        <v>37</v>
      </c>
      <c r="E271" s="4" t="s">
        <v>73</v>
      </c>
      <c r="F271" s="4" t="s">
        <v>170</v>
      </c>
      <c r="G271" s="4" t="s">
        <v>26</v>
      </c>
      <c r="H271" s="4" t="s">
        <v>27</v>
      </c>
      <c r="I271" s="4" t="s">
        <v>715</v>
      </c>
      <c r="J271" s="4" t="s">
        <v>715</v>
      </c>
      <c r="K271" s="5">
        <v>6160192</v>
      </c>
      <c r="L271" s="5">
        <v>325478</v>
      </c>
      <c r="M271" s="5">
        <v>19</v>
      </c>
      <c r="N271" s="5">
        <v>1</v>
      </c>
      <c r="O271" s="5">
        <v>3</v>
      </c>
      <c r="P271" s="5"/>
    </row>
    <row r="272" spans="1:16" x14ac:dyDescent="0.25">
      <c r="A272" s="4" t="s">
        <v>21</v>
      </c>
      <c r="B272" s="4" t="s">
        <v>131</v>
      </c>
      <c r="C272" s="5">
        <v>38412</v>
      </c>
      <c r="D272" s="4" t="s">
        <v>37</v>
      </c>
      <c r="E272" s="4" t="s">
        <v>73</v>
      </c>
      <c r="F272" s="4" t="s">
        <v>170</v>
      </c>
      <c r="G272" s="4" t="s">
        <v>26</v>
      </c>
      <c r="H272" s="4" t="s">
        <v>27</v>
      </c>
      <c r="I272" s="4" t="s">
        <v>715</v>
      </c>
      <c r="J272" s="4" t="s">
        <v>715</v>
      </c>
      <c r="K272" s="5">
        <v>6160247</v>
      </c>
      <c r="L272" s="5">
        <v>325201</v>
      </c>
      <c r="M272" s="5">
        <v>19</v>
      </c>
      <c r="N272" s="5">
        <v>1</v>
      </c>
      <c r="O272" s="5">
        <v>6</v>
      </c>
      <c r="P272" s="5"/>
    </row>
    <row r="273" spans="1:16" x14ac:dyDescent="0.25">
      <c r="A273" s="4" t="s">
        <v>21</v>
      </c>
      <c r="B273" s="4" t="s">
        <v>131</v>
      </c>
      <c r="C273" s="5">
        <v>38460</v>
      </c>
      <c r="D273" s="4" t="s">
        <v>33</v>
      </c>
      <c r="E273" s="4" t="s">
        <v>147</v>
      </c>
      <c r="F273" s="4" t="s">
        <v>147</v>
      </c>
      <c r="G273" s="4" t="s">
        <v>26</v>
      </c>
      <c r="H273" s="4" t="s">
        <v>27</v>
      </c>
      <c r="I273" s="4" t="s">
        <v>715</v>
      </c>
      <c r="J273" s="4" t="s">
        <v>638</v>
      </c>
      <c r="K273" s="5">
        <v>6047340</v>
      </c>
      <c r="L273" s="5">
        <v>249810</v>
      </c>
      <c r="M273" s="5">
        <v>19</v>
      </c>
      <c r="N273" s="5">
        <v>1</v>
      </c>
      <c r="O273" s="5">
        <v>5.5</v>
      </c>
      <c r="P273" s="5"/>
    </row>
    <row r="274" spans="1:16" x14ac:dyDescent="0.25">
      <c r="A274" s="4" t="s">
        <v>21</v>
      </c>
      <c r="B274" s="4" t="s">
        <v>131</v>
      </c>
      <c r="C274" s="5">
        <v>38463</v>
      </c>
      <c r="D274" s="4" t="s">
        <v>33</v>
      </c>
      <c r="E274" s="4" t="s">
        <v>47</v>
      </c>
      <c r="F274" s="4" t="s">
        <v>47</v>
      </c>
      <c r="G274" s="4" t="s">
        <v>26</v>
      </c>
      <c r="H274" s="4" t="s">
        <v>27</v>
      </c>
      <c r="I274" s="4" t="s">
        <v>715</v>
      </c>
      <c r="J274" s="4" t="s">
        <v>638</v>
      </c>
      <c r="K274" s="5">
        <v>6078561</v>
      </c>
      <c r="L274" s="5">
        <v>275473</v>
      </c>
      <c r="M274" s="5">
        <v>19</v>
      </c>
      <c r="N274" s="5">
        <v>2</v>
      </c>
      <c r="O274" s="5">
        <v>26</v>
      </c>
      <c r="P274" s="5"/>
    </row>
    <row r="275" spans="1:16" x14ac:dyDescent="0.25">
      <c r="A275" s="4" t="s">
        <v>21</v>
      </c>
      <c r="B275" s="4" t="s">
        <v>131</v>
      </c>
      <c r="C275" s="5">
        <v>38466</v>
      </c>
      <c r="D275" s="4" t="s">
        <v>33</v>
      </c>
      <c r="E275" s="4" t="s">
        <v>43</v>
      </c>
      <c r="F275" s="4" t="s">
        <v>161</v>
      </c>
      <c r="G275" s="4" t="s">
        <v>26</v>
      </c>
      <c r="H275" s="4" t="s">
        <v>27</v>
      </c>
      <c r="I275" s="4" t="s">
        <v>638</v>
      </c>
      <c r="J275" s="4" t="s">
        <v>715</v>
      </c>
      <c r="K275" s="5">
        <v>6072541</v>
      </c>
      <c r="L275" s="5">
        <v>278382</v>
      </c>
      <c r="M275" s="5">
        <v>19</v>
      </c>
      <c r="N275" s="5">
        <v>1</v>
      </c>
      <c r="O275" s="5">
        <v>13</v>
      </c>
      <c r="P275" s="5"/>
    </row>
    <row r="276" spans="1:16" x14ac:dyDescent="0.25">
      <c r="A276" s="4" t="s">
        <v>21</v>
      </c>
      <c r="B276" s="4" t="s">
        <v>131</v>
      </c>
      <c r="C276" s="5">
        <v>38470</v>
      </c>
      <c r="D276" s="4" t="s">
        <v>33</v>
      </c>
      <c r="E276" s="4" t="s">
        <v>43</v>
      </c>
      <c r="F276" s="4" t="s">
        <v>150</v>
      </c>
      <c r="G276" s="4" t="s">
        <v>26</v>
      </c>
      <c r="H276" s="4" t="s">
        <v>27</v>
      </c>
      <c r="I276" s="4" t="s">
        <v>715</v>
      </c>
      <c r="J276" s="4" t="s">
        <v>638</v>
      </c>
      <c r="K276" s="5">
        <v>6061545</v>
      </c>
      <c r="L276" s="5">
        <v>271385</v>
      </c>
      <c r="M276" s="5">
        <v>19</v>
      </c>
      <c r="N276" s="5">
        <v>1</v>
      </c>
      <c r="O276" s="5">
        <v>12</v>
      </c>
      <c r="P276" s="5"/>
    </row>
    <row r="277" spans="1:16" x14ac:dyDescent="0.25">
      <c r="A277" s="4" t="s">
        <v>21</v>
      </c>
      <c r="B277" s="4" t="s">
        <v>131</v>
      </c>
      <c r="C277" s="5">
        <v>38495</v>
      </c>
      <c r="D277" s="4" t="s">
        <v>37</v>
      </c>
      <c r="E277" s="4" t="s">
        <v>73</v>
      </c>
      <c r="F277" s="4" t="s">
        <v>170</v>
      </c>
      <c r="G277" s="4" t="s">
        <v>26</v>
      </c>
      <c r="H277" s="4" t="s">
        <v>27</v>
      </c>
      <c r="I277" s="4" t="s">
        <v>715</v>
      </c>
      <c r="J277" s="4" t="s">
        <v>715</v>
      </c>
      <c r="K277" s="5">
        <v>6161324</v>
      </c>
      <c r="L277" s="5">
        <v>325597</v>
      </c>
      <c r="M277" s="5">
        <v>19</v>
      </c>
      <c r="N277" s="5">
        <v>1</v>
      </c>
      <c r="O277" s="5">
        <v>11.5</v>
      </c>
      <c r="P277" s="5"/>
    </row>
    <row r="278" spans="1:16" x14ac:dyDescent="0.25">
      <c r="A278" s="4" t="s">
        <v>21</v>
      </c>
      <c r="B278" s="4" t="s">
        <v>131</v>
      </c>
      <c r="C278" s="5">
        <v>38524</v>
      </c>
      <c r="D278" s="4" t="s">
        <v>33</v>
      </c>
      <c r="E278" s="4" t="s">
        <v>43</v>
      </c>
      <c r="F278" s="4" t="s">
        <v>154</v>
      </c>
      <c r="G278" s="4" t="s">
        <v>26</v>
      </c>
      <c r="H278" s="4" t="s">
        <v>18</v>
      </c>
      <c r="I278" s="4" t="s">
        <v>715</v>
      </c>
      <c r="J278" s="4" t="s">
        <v>715</v>
      </c>
      <c r="K278" s="5">
        <v>6063516</v>
      </c>
      <c r="L278" s="5">
        <v>291616</v>
      </c>
      <c r="M278" s="5">
        <v>19</v>
      </c>
      <c r="N278" s="5">
        <v>1</v>
      </c>
      <c r="O278" s="5">
        <v>4.5</v>
      </c>
      <c r="P278" s="5"/>
    </row>
    <row r="279" spans="1:16" x14ac:dyDescent="0.25">
      <c r="A279" s="4" t="s">
        <v>21</v>
      </c>
      <c r="B279" s="4" t="s">
        <v>131</v>
      </c>
      <c r="C279" s="5">
        <v>38525</v>
      </c>
      <c r="D279" s="4" t="s">
        <v>33</v>
      </c>
      <c r="E279" s="4" t="s">
        <v>66</v>
      </c>
      <c r="F279" s="4" t="s">
        <v>66</v>
      </c>
      <c r="G279" s="4" t="s">
        <v>26</v>
      </c>
      <c r="H279" s="4" t="s">
        <v>18</v>
      </c>
      <c r="I279" s="4" t="s">
        <v>715</v>
      </c>
      <c r="J279" s="4" t="s">
        <v>715</v>
      </c>
      <c r="K279" s="5">
        <v>6069384</v>
      </c>
      <c r="L279" s="5">
        <v>260837</v>
      </c>
      <c r="M279" s="5">
        <v>19</v>
      </c>
      <c r="N279" s="5">
        <v>1</v>
      </c>
      <c r="O279" s="5">
        <v>4</v>
      </c>
      <c r="P279" s="5"/>
    </row>
    <row r="280" spans="1:16" x14ac:dyDescent="0.25">
      <c r="A280" s="4" t="s">
        <v>21</v>
      </c>
      <c r="B280" s="4" t="s">
        <v>131</v>
      </c>
      <c r="C280" s="5">
        <v>38526</v>
      </c>
      <c r="D280" s="4" t="s">
        <v>33</v>
      </c>
      <c r="E280" s="4" t="s">
        <v>146</v>
      </c>
      <c r="F280" s="4" t="s">
        <v>146</v>
      </c>
      <c r="G280" s="4" t="s">
        <v>26</v>
      </c>
      <c r="H280" s="4" t="s">
        <v>18</v>
      </c>
      <c r="I280" s="4" t="s">
        <v>715</v>
      </c>
      <c r="J280" s="4" t="s">
        <v>715</v>
      </c>
      <c r="K280" s="5">
        <v>6048331</v>
      </c>
      <c r="L280" s="5">
        <v>274679</v>
      </c>
      <c r="M280" s="5">
        <v>19</v>
      </c>
      <c r="N280" s="5">
        <v>1</v>
      </c>
      <c r="O280" s="5">
        <v>2.85</v>
      </c>
      <c r="P280" s="5"/>
    </row>
    <row r="281" spans="1:16" x14ac:dyDescent="0.25">
      <c r="A281" s="4" t="s">
        <v>21</v>
      </c>
      <c r="B281" s="4" t="s">
        <v>131</v>
      </c>
      <c r="C281" s="5">
        <v>38625</v>
      </c>
      <c r="D281" s="4" t="s">
        <v>33</v>
      </c>
      <c r="E281" s="4" t="s">
        <v>47</v>
      </c>
      <c r="F281" s="4" t="s">
        <v>47</v>
      </c>
      <c r="G281" s="4" t="s">
        <v>26</v>
      </c>
      <c r="H281" s="4" t="s">
        <v>27</v>
      </c>
      <c r="I281" s="4" t="s">
        <v>715</v>
      </c>
      <c r="J281" s="4" t="s">
        <v>638</v>
      </c>
      <c r="K281" s="5">
        <v>6079107</v>
      </c>
      <c r="L281" s="5">
        <v>275810</v>
      </c>
      <c r="M281" s="5">
        <v>19</v>
      </c>
      <c r="N281" s="5">
        <v>1</v>
      </c>
      <c r="O281" s="5">
        <v>35</v>
      </c>
      <c r="P281" s="5"/>
    </row>
    <row r="282" spans="1:16" x14ac:dyDescent="0.25">
      <c r="A282" s="4" t="s">
        <v>21</v>
      </c>
      <c r="B282" s="4" t="s">
        <v>131</v>
      </c>
      <c r="C282" s="5">
        <v>38626</v>
      </c>
      <c r="D282" s="4" t="s">
        <v>33</v>
      </c>
      <c r="E282" s="4" t="s">
        <v>66</v>
      </c>
      <c r="F282" s="4" t="s">
        <v>67</v>
      </c>
      <c r="G282" s="4" t="s">
        <v>26</v>
      </c>
      <c r="H282" s="4" t="s">
        <v>27</v>
      </c>
      <c r="I282" s="4" t="s">
        <v>715</v>
      </c>
      <c r="J282" s="4" t="s">
        <v>715</v>
      </c>
      <c r="K282" s="5">
        <v>6074408</v>
      </c>
      <c r="L282" s="5">
        <v>266984</v>
      </c>
      <c r="M282" s="5">
        <v>19</v>
      </c>
      <c r="N282" s="5">
        <v>1</v>
      </c>
      <c r="O282" s="5">
        <v>7.9</v>
      </c>
      <c r="P282" s="5"/>
    </row>
    <row r="283" spans="1:16" x14ac:dyDescent="0.25">
      <c r="A283" s="4" t="s">
        <v>21</v>
      </c>
      <c r="B283" s="4" t="s">
        <v>131</v>
      </c>
      <c r="C283" s="5">
        <v>38628</v>
      </c>
      <c r="D283" s="4" t="s">
        <v>33</v>
      </c>
      <c r="E283" s="4" t="s">
        <v>43</v>
      </c>
      <c r="F283" s="4" t="s">
        <v>43</v>
      </c>
      <c r="G283" s="4" t="s">
        <v>26</v>
      </c>
      <c r="H283" s="4" t="s">
        <v>27</v>
      </c>
      <c r="I283" s="4" t="s">
        <v>715</v>
      </c>
      <c r="J283" s="4" t="s">
        <v>715</v>
      </c>
      <c r="K283" s="5">
        <v>6065835</v>
      </c>
      <c r="L283" s="5">
        <v>274473</v>
      </c>
      <c r="M283" s="5">
        <v>19</v>
      </c>
      <c r="N283" s="5">
        <v>1</v>
      </c>
      <c r="O283" s="5">
        <v>11.1</v>
      </c>
      <c r="P283" s="5"/>
    </row>
    <row r="284" spans="1:16" x14ac:dyDescent="0.25">
      <c r="A284" s="4" t="s">
        <v>21</v>
      </c>
      <c r="B284" s="4" t="s">
        <v>131</v>
      </c>
      <c r="C284" s="5">
        <v>38631</v>
      </c>
      <c r="D284" s="4" t="s">
        <v>37</v>
      </c>
      <c r="E284" s="4" t="s">
        <v>169</v>
      </c>
      <c r="F284" s="4" t="s">
        <v>169</v>
      </c>
      <c r="G284" s="4" t="s">
        <v>26</v>
      </c>
      <c r="H284" s="4" t="s">
        <v>27</v>
      </c>
      <c r="I284" s="4" t="s">
        <v>715</v>
      </c>
      <c r="J284" s="4" t="s">
        <v>638</v>
      </c>
      <c r="K284" s="5">
        <v>6221615</v>
      </c>
      <c r="L284" s="5">
        <v>340762</v>
      </c>
      <c r="M284" s="5">
        <v>19</v>
      </c>
      <c r="N284" s="5">
        <v>1</v>
      </c>
      <c r="O284" s="5">
        <v>33.5</v>
      </c>
      <c r="P284" s="5"/>
    </row>
    <row r="285" spans="1:16" x14ac:dyDescent="0.25">
      <c r="A285" s="4" t="s">
        <v>21</v>
      </c>
      <c r="B285" s="4" t="s">
        <v>131</v>
      </c>
      <c r="C285" s="5">
        <v>38632</v>
      </c>
      <c r="D285" s="4" t="s">
        <v>33</v>
      </c>
      <c r="E285" s="4" t="s">
        <v>137</v>
      </c>
      <c r="F285" s="4" t="s">
        <v>137</v>
      </c>
      <c r="G285" s="4" t="s">
        <v>26</v>
      </c>
      <c r="H285" s="4" t="s">
        <v>27</v>
      </c>
      <c r="I285" s="4" t="s">
        <v>715</v>
      </c>
      <c r="J285" s="4" t="s">
        <v>638</v>
      </c>
      <c r="K285" s="5">
        <v>6038044</v>
      </c>
      <c r="L285" s="5">
        <v>274834</v>
      </c>
      <c r="M285" s="5">
        <v>19</v>
      </c>
      <c r="N285" s="5">
        <v>1</v>
      </c>
      <c r="O285" s="5">
        <v>18</v>
      </c>
      <c r="P285" s="5"/>
    </row>
    <row r="286" spans="1:16" x14ac:dyDescent="0.25">
      <c r="A286" s="4" t="s">
        <v>21</v>
      </c>
      <c r="B286" s="4" t="s">
        <v>131</v>
      </c>
      <c r="C286" s="5">
        <v>38791</v>
      </c>
      <c r="D286" s="4" t="s">
        <v>33</v>
      </c>
      <c r="E286" s="4" t="s">
        <v>43</v>
      </c>
      <c r="F286" s="4" t="s">
        <v>149</v>
      </c>
      <c r="G286" s="4" t="s">
        <v>26</v>
      </c>
      <c r="H286" s="4" t="s">
        <v>27</v>
      </c>
      <c r="I286" s="4" t="s">
        <v>715</v>
      </c>
      <c r="J286" s="4" t="s">
        <v>638</v>
      </c>
      <c r="K286" s="5">
        <v>6065899</v>
      </c>
      <c r="L286" s="5">
        <v>280959</v>
      </c>
      <c r="M286" s="5">
        <v>19</v>
      </c>
      <c r="N286" s="5">
        <v>1</v>
      </c>
      <c r="O286" s="5">
        <v>10</v>
      </c>
      <c r="P286" s="5"/>
    </row>
    <row r="287" spans="1:16" x14ac:dyDescent="0.25">
      <c r="A287" s="4" t="s">
        <v>21</v>
      </c>
      <c r="B287" s="4" t="s">
        <v>131</v>
      </c>
      <c r="C287" s="5">
        <v>38808</v>
      </c>
      <c r="D287" s="4" t="s">
        <v>33</v>
      </c>
      <c r="E287" s="4" t="s">
        <v>45</v>
      </c>
      <c r="F287" s="4" t="s">
        <v>45</v>
      </c>
      <c r="G287" s="4" t="s">
        <v>26</v>
      </c>
      <c r="H287" s="4" t="s">
        <v>18</v>
      </c>
      <c r="I287" s="4" t="s">
        <v>715</v>
      </c>
      <c r="J287" s="4" t="s">
        <v>715</v>
      </c>
      <c r="K287" s="5">
        <v>6096034</v>
      </c>
      <c r="L287" s="5">
        <v>275219</v>
      </c>
      <c r="M287" s="5">
        <v>19</v>
      </c>
      <c r="N287" s="5">
        <v>1</v>
      </c>
      <c r="O287" s="5">
        <v>0.97</v>
      </c>
      <c r="P287" s="5"/>
    </row>
    <row r="288" spans="1:16" x14ac:dyDescent="0.25">
      <c r="A288" s="4" t="s">
        <v>21</v>
      </c>
      <c r="B288" s="4" t="s">
        <v>131</v>
      </c>
      <c r="C288" s="5">
        <v>38828</v>
      </c>
      <c r="D288" s="4" t="s">
        <v>33</v>
      </c>
      <c r="E288" s="4" t="s">
        <v>43</v>
      </c>
      <c r="F288" s="4" t="s">
        <v>154</v>
      </c>
      <c r="G288" s="4" t="s">
        <v>26</v>
      </c>
      <c r="H288" s="4" t="s">
        <v>173</v>
      </c>
      <c r="I288" s="4" t="s">
        <v>715</v>
      </c>
      <c r="J288" s="4" t="s">
        <v>715</v>
      </c>
      <c r="K288" s="5">
        <v>6063336</v>
      </c>
      <c r="L288" s="5">
        <v>292336</v>
      </c>
      <c r="M288" s="5">
        <v>19</v>
      </c>
      <c r="N288" s="5">
        <v>1</v>
      </c>
      <c r="O288" s="5">
        <v>2.8</v>
      </c>
      <c r="P288" s="5"/>
    </row>
    <row r="289" spans="1:16" x14ac:dyDescent="0.25">
      <c r="A289" s="4" t="s">
        <v>21</v>
      </c>
      <c r="B289" s="4" t="s">
        <v>131</v>
      </c>
      <c r="C289" s="5">
        <v>38834</v>
      </c>
      <c r="D289" s="4" t="s">
        <v>33</v>
      </c>
      <c r="E289" s="4" t="s">
        <v>43</v>
      </c>
      <c r="F289" s="4" t="s">
        <v>136</v>
      </c>
      <c r="G289" s="4" t="s">
        <v>26</v>
      </c>
      <c r="H289" s="4" t="s">
        <v>27</v>
      </c>
      <c r="I289" s="4" t="s">
        <v>715</v>
      </c>
      <c r="J289" s="4" t="s">
        <v>715</v>
      </c>
      <c r="K289" s="5">
        <v>6066390</v>
      </c>
      <c r="L289" s="5">
        <v>283849</v>
      </c>
      <c r="M289" s="5">
        <v>19</v>
      </c>
      <c r="N289" s="5">
        <v>1</v>
      </c>
      <c r="O289" s="5">
        <v>11.7</v>
      </c>
      <c r="P289" s="5"/>
    </row>
    <row r="290" spans="1:16" x14ac:dyDescent="0.25">
      <c r="A290" s="4" t="s">
        <v>21</v>
      </c>
      <c r="B290" s="4" t="s">
        <v>131</v>
      </c>
      <c r="C290" s="5">
        <v>38837</v>
      </c>
      <c r="D290" s="4" t="s">
        <v>33</v>
      </c>
      <c r="E290" s="4" t="s">
        <v>146</v>
      </c>
      <c r="F290" s="4" t="s">
        <v>146</v>
      </c>
      <c r="G290" s="4" t="s">
        <v>26</v>
      </c>
      <c r="H290" s="4" t="s">
        <v>27</v>
      </c>
      <c r="I290" s="4" t="s">
        <v>715</v>
      </c>
      <c r="J290" s="4" t="s">
        <v>715</v>
      </c>
      <c r="K290" s="5">
        <v>6044147</v>
      </c>
      <c r="L290" s="5">
        <v>273841</v>
      </c>
      <c r="M290" s="5">
        <v>19</v>
      </c>
      <c r="N290" s="5">
        <v>1</v>
      </c>
      <c r="O290" s="5">
        <v>57</v>
      </c>
      <c r="P290" s="5"/>
    </row>
    <row r="291" spans="1:16" x14ac:dyDescent="0.25">
      <c r="A291" s="4" t="s">
        <v>21</v>
      </c>
      <c r="B291" s="4" t="s">
        <v>131</v>
      </c>
      <c r="C291" s="5">
        <v>38841</v>
      </c>
      <c r="D291" s="4" t="s">
        <v>33</v>
      </c>
      <c r="E291" s="4" t="s">
        <v>146</v>
      </c>
      <c r="F291" s="4" t="s">
        <v>146</v>
      </c>
      <c r="G291" s="4" t="s">
        <v>26</v>
      </c>
      <c r="H291" s="4" t="s">
        <v>27</v>
      </c>
      <c r="I291" s="4" t="s">
        <v>715</v>
      </c>
      <c r="J291" s="4" t="s">
        <v>715</v>
      </c>
      <c r="K291" s="5">
        <v>6043400</v>
      </c>
      <c r="L291" s="5">
        <v>273738</v>
      </c>
      <c r="M291" s="5">
        <v>19</v>
      </c>
      <c r="N291" s="5">
        <v>1</v>
      </c>
      <c r="O291" s="5">
        <v>25</v>
      </c>
      <c r="P291" s="5"/>
    </row>
    <row r="292" spans="1:16" x14ac:dyDescent="0.25">
      <c r="A292" s="4" t="s">
        <v>21</v>
      </c>
      <c r="B292" s="4" t="s">
        <v>131</v>
      </c>
      <c r="C292" s="5">
        <v>38917</v>
      </c>
      <c r="D292" s="4" t="s">
        <v>37</v>
      </c>
      <c r="E292" s="4" t="s">
        <v>38</v>
      </c>
      <c r="F292" s="4" t="s">
        <v>39</v>
      </c>
      <c r="G292" s="4" t="s">
        <v>26</v>
      </c>
      <c r="H292" s="4" t="s">
        <v>27</v>
      </c>
      <c r="I292" s="4" t="s">
        <v>715</v>
      </c>
      <c r="J292" s="4" t="s">
        <v>715</v>
      </c>
      <c r="K292" s="5">
        <v>6167667</v>
      </c>
      <c r="L292" s="5">
        <v>320973</v>
      </c>
      <c r="M292" s="5">
        <v>19</v>
      </c>
      <c r="N292" s="5">
        <v>1</v>
      </c>
      <c r="O292" s="5">
        <v>7.8</v>
      </c>
      <c r="P292" s="5"/>
    </row>
    <row r="293" spans="1:16" x14ac:dyDescent="0.25">
      <c r="A293" s="4" t="s">
        <v>21</v>
      </c>
      <c r="B293" s="4" t="s">
        <v>131</v>
      </c>
      <c r="C293" s="5">
        <v>39053</v>
      </c>
      <c r="D293" s="4" t="s">
        <v>37</v>
      </c>
      <c r="E293" s="4" t="s">
        <v>38</v>
      </c>
      <c r="F293" s="4" t="s">
        <v>38</v>
      </c>
      <c r="G293" s="4" t="s">
        <v>26</v>
      </c>
      <c r="H293" s="4" t="s">
        <v>27</v>
      </c>
      <c r="I293" s="4" t="s">
        <v>715</v>
      </c>
      <c r="J293" s="4" t="s">
        <v>715</v>
      </c>
      <c r="K293" s="5">
        <v>6169131</v>
      </c>
      <c r="L293" s="5">
        <v>317597</v>
      </c>
      <c r="M293" s="5">
        <v>19</v>
      </c>
      <c r="N293" s="5">
        <v>1</v>
      </c>
      <c r="O293" s="5">
        <v>20.5</v>
      </c>
      <c r="P293" s="5"/>
    </row>
    <row r="294" spans="1:16" x14ac:dyDescent="0.25">
      <c r="A294" s="4" t="s">
        <v>21</v>
      </c>
      <c r="B294" s="4" t="s">
        <v>131</v>
      </c>
      <c r="C294" s="5">
        <v>39078</v>
      </c>
      <c r="D294" s="4" t="s">
        <v>37</v>
      </c>
      <c r="E294" s="4" t="s">
        <v>73</v>
      </c>
      <c r="F294" s="4" t="s">
        <v>73</v>
      </c>
      <c r="G294" s="4" t="s">
        <v>26</v>
      </c>
      <c r="H294" s="4" t="s">
        <v>27</v>
      </c>
      <c r="I294" s="4" t="s">
        <v>715</v>
      </c>
      <c r="J294" s="4" t="s">
        <v>638</v>
      </c>
      <c r="K294" s="5">
        <v>6153075</v>
      </c>
      <c r="L294" s="5">
        <v>311855</v>
      </c>
      <c r="M294" s="5">
        <v>19</v>
      </c>
      <c r="N294" s="5">
        <v>1</v>
      </c>
      <c r="O294" s="5">
        <v>18</v>
      </c>
      <c r="P294" s="5"/>
    </row>
    <row r="295" spans="1:16" x14ac:dyDescent="0.25">
      <c r="A295" s="4" t="s">
        <v>21</v>
      </c>
      <c r="B295" s="4" t="s">
        <v>131</v>
      </c>
      <c r="C295" s="5">
        <v>39120</v>
      </c>
      <c r="D295" s="4" t="s">
        <v>37</v>
      </c>
      <c r="E295" s="4" t="s">
        <v>73</v>
      </c>
      <c r="F295" s="4" t="s">
        <v>170</v>
      </c>
      <c r="G295" s="4" t="s">
        <v>26</v>
      </c>
      <c r="H295" s="4" t="s">
        <v>27</v>
      </c>
      <c r="I295" s="4" t="s">
        <v>715</v>
      </c>
      <c r="J295" s="4" t="s">
        <v>715</v>
      </c>
      <c r="K295" s="5">
        <v>6160934</v>
      </c>
      <c r="L295" s="5">
        <v>326472</v>
      </c>
      <c r="M295" s="5">
        <v>19</v>
      </c>
      <c r="N295" s="5">
        <v>1</v>
      </c>
      <c r="O295" s="5">
        <v>6</v>
      </c>
      <c r="P295" s="5"/>
    </row>
    <row r="296" spans="1:16" x14ac:dyDescent="0.25">
      <c r="A296" s="4" t="s">
        <v>21</v>
      </c>
      <c r="B296" s="4" t="s">
        <v>131</v>
      </c>
      <c r="C296" s="5">
        <v>39140</v>
      </c>
      <c r="D296" s="4" t="s">
        <v>33</v>
      </c>
      <c r="E296" s="4" t="s">
        <v>43</v>
      </c>
      <c r="F296" s="4" t="s">
        <v>156</v>
      </c>
      <c r="G296" s="4" t="s">
        <v>26</v>
      </c>
      <c r="H296" s="4" t="s">
        <v>173</v>
      </c>
      <c r="I296" s="4" t="s">
        <v>715</v>
      </c>
      <c r="J296" s="4" t="s">
        <v>638</v>
      </c>
      <c r="K296" s="5">
        <v>6067606</v>
      </c>
      <c r="L296" s="5">
        <v>276155</v>
      </c>
      <c r="M296" s="5">
        <v>19</v>
      </c>
      <c r="N296" s="5">
        <v>1</v>
      </c>
      <c r="O296" s="5">
        <v>2</v>
      </c>
      <c r="P296" s="5"/>
    </row>
    <row r="297" spans="1:16" x14ac:dyDescent="0.25">
      <c r="A297" s="4" t="s">
        <v>21</v>
      </c>
      <c r="B297" s="4" t="s">
        <v>131</v>
      </c>
      <c r="C297" s="5">
        <v>39146</v>
      </c>
      <c r="D297" s="4" t="s">
        <v>33</v>
      </c>
      <c r="E297" s="4" t="s">
        <v>167</v>
      </c>
      <c r="F297" s="4" t="s">
        <v>174</v>
      </c>
      <c r="G297" s="4" t="s">
        <v>26</v>
      </c>
      <c r="H297" s="4" t="s">
        <v>18</v>
      </c>
      <c r="I297" s="4" t="s">
        <v>715</v>
      </c>
      <c r="J297" s="4" t="s">
        <v>715</v>
      </c>
      <c r="K297" s="5">
        <v>6091047</v>
      </c>
      <c r="L297" s="5">
        <v>307189</v>
      </c>
      <c r="M297" s="5">
        <v>19</v>
      </c>
      <c r="N297" s="5">
        <v>1</v>
      </c>
      <c r="O297" s="5">
        <v>1.91</v>
      </c>
      <c r="P297" s="5"/>
    </row>
    <row r="298" spans="1:16" x14ac:dyDescent="0.25">
      <c r="A298" s="4" t="s">
        <v>21</v>
      </c>
      <c r="B298" s="4" t="s">
        <v>131</v>
      </c>
      <c r="C298" s="5">
        <v>39158</v>
      </c>
      <c r="D298" s="4" t="s">
        <v>33</v>
      </c>
      <c r="E298" s="4" t="s">
        <v>167</v>
      </c>
      <c r="F298" s="4" t="s">
        <v>174</v>
      </c>
      <c r="G298" s="4" t="s">
        <v>26</v>
      </c>
      <c r="H298" s="4" t="s">
        <v>18</v>
      </c>
      <c r="I298" s="4" t="s">
        <v>715</v>
      </c>
      <c r="J298" s="4" t="s">
        <v>715</v>
      </c>
      <c r="K298" s="5">
        <v>6090597</v>
      </c>
      <c r="L298" s="5">
        <v>306414</v>
      </c>
      <c r="M298" s="5">
        <v>19</v>
      </c>
      <c r="N298" s="5">
        <v>1</v>
      </c>
      <c r="O298" s="5">
        <v>0.41</v>
      </c>
      <c r="P298" s="5"/>
    </row>
    <row r="299" spans="1:16" x14ac:dyDescent="0.25">
      <c r="A299" s="4" t="s">
        <v>21</v>
      </c>
      <c r="B299" s="4" t="s">
        <v>131</v>
      </c>
      <c r="C299" s="5">
        <v>39161</v>
      </c>
      <c r="D299" s="4" t="s">
        <v>33</v>
      </c>
      <c r="E299" s="4" t="s">
        <v>146</v>
      </c>
      <c r="F299" s="4" t="s">
        <v>165</v>
      </c>
      <c r="G299" s="4" t="s">
        <v>26</v>
      </c>
      <c r="H299" s="4" t="s">
        <v>18</v>
      </c>
      <c r="I299" s="4" t="s">
        <v>715</v>
      </c>
      <c r="J299" s="4" t="s">
        <v>715</v>
      </c>
      <c r="K299" s="5">
        <v>6050311</v>
      </c>
      <c r="L299" s="5">
        <v>276658</v>
      </c>
      <c r="M299" s="5">
        <v>19</v>
      </c>
      <c r="N299" s="5">
        <v>1</v>
      </c>
      <c r="O299" s="5">
        <v>4</v>
      </c>
      <c r="P299" s="5"/>
    </row>
    <row r="300" spans="1:16" x14ac:dyDescent="0.25">
      <c r="A300" s="4" t="s">
        <v>21</v>
      </c>
      <c r="B300" s="4" t="s">
        <v>131</v>
      </c>
      <c r="C300" s="5">
        <v>39162</v>
      </c>
      <c r="D300" s="4" t="s">
        <v>33</v>
      </c>
      <c r="E300" s="4" t="s">
        <v>69</v>
      </c>
      <c r="F300" s="4" t="s">
        <v>69</v>
      </c>
      <c r="G300" s="4" t="s">
        <v>26</v>
      </c>
      <c r="H300" s="4" t="s">
        <v>27</v>
      </c>
      <c r="I300" s="4" t="s">
        <v>638</v>
      </c>
      <c r="J300" s="4" t="s">
        <v>715</v>
      </c>
      <c r="K300" s="5">
        <v>6081009</v>
      </c>
      <c r="L300" s="5">
        <v>252428</v>
      </c>
      <c r="M300" s="5">
        <v>19</v>
      </c>
      <c r="N300" s="5">
        <v>1</v>
      </c>
      <c r="O300" s="5">
        <v>3.6</v>
      </c>
      <c r="P300" s="5"/>
    </row>
    <row r="301" spans="1:16" x14ac:dyDescent="0.25">
      <c r="A301" s="4" t="s">
        <v>21</v>
      </c>
      <c r="B301" s="4" t="s">
        <v>131</v>
      </c>
      <c r="C301" s="5">
        <v>39165</v>
      </c>
      <c r="D301" s="4" t="s">
        <v>33</v>
      </c>
      <c r="E301" s="4" t="s">
        <v>146</v>
      </c>
      <c r="F301" s="4" t="s">
        <v>146</v>
      </c>
      <c r="G301" s="4" t="s">
        <v>26</v>
      </c>
      <c r="H301" s="4" t="s">
        <v>18</v>
      </c>
      <c r="I301" s="4" t="s">
        <v>715</v>
      </c>
      <c r="J301" s="4" t="s">
        <v>715</v>
      </c>
      <c r="K301" s="5">
        <v>6050562</v>
      </c>
      <c r="L301" s="5">
        <v>276369</v>
      </c>
      <c r="M301" s="5">
        <v>19</v>
      </c>
      <c r="N301" s="5">
        <v>1</v>
      </c>
      <c r="O301" s="5">
        <v>0.3</v>
      </c>
      <c r="P301" s="5"/>
    </row>
    <row r="302" spans="1:16" x14ac:dyDescent="0.25">
      <c r="A302" s="4" t="s">
        <v>21</v>
      </c>
      <c r="B302" s="4" t="s">
        <v>131</v>
      </c>
      <c r="C302" s="5">
        <v>39167</v>
      </c>
      <c r="D302" s="4" t="s">
        <v>33</v>
      </c>
      <c r="E302" s="4" t="s">
        <v>45</v>
      </c>
      <c r="F302" s="4" t="s">
        <v>45</v>
      </c>
      <c r="G302" s="4" t="s">
        <v>26</v>
      </c>
      <c r="H302" s="4" t="s">
        <v>18</v>
      </c>
      <c r="I302" s="4" t="s">
        <v>715</v>
      </c>
      <c r="J302" s="4" t="s">
        <v>715</v>
      </c>
      <c r="K302" s="5">
        <v>6093439</v>
      </c>
      <c r="L302" s="5">
        <v>277096</v>
      </c>
      <c r="M302" s="5">
        <v>19</v>
      </c>
      <c r="N302" s="5">
        <v>1</v>
      </c>
      <c r="O302" s="5">
        <v>2</v>
      </c>
      <c r="P302" s="5"/>
    </row>
    <row r="303" spans="1:16" x14ac:dyDescent="0.25">
      <c r="A303" s="4" t="s">
        <v>21</v>
      </c>
      <c r="B303" s="4" t="s">
        <v>131</v>
      </c>
      <c r="C303" s="5">
        <v>39185</v>
      </c>
      <c r="D303" s="4" t="s">
        <v>33</v>
      </c>
      <c r="E303" s="4" t="s">
        <v>43</v>
      </c>
      <c r="F303" s="4" t="s">
        <v>175</v>
      </c>
      <c r="G303" s="4" t="s">
        <v>26</v>
      </c>
      <c r="H303" s="4" t="s">
        <v>173</v>
      </c>
      <c r="I303" s="4" t="s">
        <v>715</v>
      </c>
      <c r="J303" s="4" t="s">
        <v>638</v>
      </c>
      <c r="K303" s="5">
        <v>6068021</v>
      </c>
      <c r="L303" s="5">
        <v>278710</v>
      </c>
      <c r="M303" s="5">
        <v>19</v>
      </c>
      <c r="N303" s="5">
        <v>1</v>
      </c>
      <c r="O303" s="5">
        <v>2.6</v>
      </c>
      <c r="P303" s="5"/>
    </row>
    <row r="304" spans="1:16" x14ac:dyDescent="0.25">
      <c r="A304" s="4" t="s">
        <v>21</v>
      </c>
      <c r="B304" s="4" t="s">
        <v>131</v>
      </c>
      <c r="C304" s="5">
        <v>39191</v>
      </c>
      <c r="D304" s="4" t="s">
        <v>33</v>
      </c>
      <c r="E304" s="4" t="s">
        <v>43</v>
      </c>
      <c r="F304" s="4" t="s">
        <v>149</v>
      </c>
      <c r="G304" s="4" t="s">
        <v>26</v>
      </c>
      <c r="H304" s="4" t="s">
        <v>173</v>
      </c>
      <c r="I304" s="4" t="s">
        <v>715</v>
      </c>
      <c r="J304" s="4" t="s">
        <v>715</v>
      </c>
      <c r="K304" s="5">
        <v>6063127</v>
      </c>
      <c r="L304" s="5">
        <v>282683</v>
      </c>
      <c r="M304" s="5">
        <v>19</v>
      </c>
      <c r="N304" s="5">
        <v>1</v>
      </c>
      <c r="O304" s="5">
        <v>3.5</v>
      </c>
      <c r="P304" s="5"/>
    </row>
    <row r="305" spans="1:16" x14ac:dyDescent="0.25">
      <c r="A305" s="4" t="s">
        <v>21</v>
      </c>
      <c r="B305" s="4" t="s">
        <v>131</v>
      </c>
      <c r="C305" s="5">
        <v>39195</v>
      </c>
      <c r="D305" s="4" t="s">
        <v>33</v>
      </c>
      <c r="E305" s="4" t="s">
        <v>137</v>
      </c>
      <c r="F305" s="4" t="s">
        <v>137</v>
      </c>
      <c r="G305" s="4" t="s">
        <v>26</v>
      </c>
      <c r="H305" s="4" t="s">
        <v>18</v>
      </c>
      <c r="I305" s="4" t="s">
        <v>715</v>
      </c>
      <c r="J305" s="4" t="s">
        <v>715</v>
      </c>
      <c r="K305" s="5">
        <v>6050746</v>
      </c>
      <c r="L305" s="5">
        <v>279857</v>
      </c>
      <c r="M305" s="5">
        <v>19</v>
      </c>
      <c r="N305" s="5">
        <v>1</v>
      </c>
      <c r="O305" s="5">
        <v>1</v>
      </c>
      <c r="P305" s="5"/>
    </row>
    <row r="306" spans="1:16" x14ac:dyDescent="0.25">
      <c r="A306" s="4" t="s">
        <v>21</v>
      </c>
      <c r="B306" s="4" t="s">
        <v>131</v>
      </c>
      <c r="C306" s="5">
        <v>39196</v>
      </c>
      <c r="D306" s="4" t="s">
        <v>37</v>
      </c>
      <c r="E306" s="4" t="s">
        <v>73</v>
      </c>
      <c r="F306" s="4" t="s">
        <v>73</v>
      </c>
      <c r="G306" s="4" t="s">
        <v>26</v>
      </c>
      <c r="H306" s="4" t="s">
        <v>27</v>
      </c>
      <c r="I306" s="4" t="s">
        <v>715</v>
      </c>
      <c r="J306" s="4" t="s">
        <v>715</v>
      </c>
      <c r="K306" s="5">
        <v>6149620</v>
      </c>
      <c r="L306" s="5">
        <v>320183</v>
      </c>
      <c r="M306" s="5">
        <v>19</v>
      </c>
      <c r="N306" s="5">
        <v>1</v>
      </c>
      <c r="O306" s="5">
        <v>19</v>
      </c>
      <c r="P306" s="5"/>
    </row>
    <row r="307" spans="1:16" x14ac:dyDescent="0.25">
      <c r="A307" s="4" t="s">
        <v>21</v>
      </c>
      <c r="B307" s="4" t="s">
        <v>131</v>
      </c>
      <c r="C307" s="5">
        <v>39199</v>
      </c>
      <c r="D307" s="4" t="s">
        <v>33</v>
      </c>
      <c r="E307" s="4" t="s">
        <v>45</v>
      </c>
      <c r="F307" s="4" t="s">
        <v>45</v>
      </c>
      <c r="G307" s="4" t="s">
        <v>26</v>
      </c>
      <c r="H307" s="4" t="s">
        <v>18</v>
      </c>
      <c r="I307" s="4" t="s">
        <v>715</v>
      </c>
      <c r="J307" s="4" t="s">
        <v>715</v>
      </c>
      <c r="K307" s="5">
        <v>6087545</v>
      </c>
      <c r="L307" s="5">
        <v>274568</v>
      </c>
      <c r="M307" s="5">
        <v>19</v>
      </c>
      <c r="N307" s="5">
        <v>1</v>
      </c>
      <c r="O307" s="5">
        <v>1</v>
      </c>
      <c r="P307" s="5"/>
    </row>
    <row r="308" spans="1:16" x14ac:dyDescent="0.25">
      <c r="A308" s="4" t="s">
        <v>21</v>
      </c>
      <c r="B308" s="4" t="s">
        <v>131</v>
      </c>
      <c r="C308" s="5">
        <v>39200</v>
      </c>
      <c r="D308" s="4" t="s">
        <v>33</v>
      </c>
      <c r="E308" s="4" t="s">
        <v>47</v>
      </c>
      <c r="F308" s="4" t="s">
        <v>47</v>
      </c>
      <c r="G308" s="4" t="s">
        <v>26</v>
      </c>
      <c r="H308" s="4" t="s">
        <v>18</v>
      </c>
      <c r="I308" s="4" t="s">
        <v>715</v>
      </c>
      <c r="J308" s="4" t="s">
        <v>715</v>
      </c>
      <c r="K308" s="5">
        <v>6082114</v>
      </c>
      <c r="L308" s="5">
        <v>278720</v>
      </c>
      <c r="M308" s="5">
        <v>19</v>
      </c>
      <c r="N308" s="5">
        <v>1</v>
      </c>
      <c r="O308" s="5">
        <v>2.7</v>
      </c>
      <c r="P308" s="5"/>
    </row>
    <row r="309" spans="1:16" x14ac:dyDescent="0.25">
      <c r="A309" s="4" t="s">
        <v>21</v>
      </c>
      <c r="B309" s="4" t="s">
        <v>131</v>
      </c>
      <c r="C309" s="5">
        <v>39224</v>
      </c>
      <c r="D309" s="4" t="s">
        <v>37</v>
      </c>
      <c r="E309" s="4" t="s">
        <v>73</v>
      </c>
      <c r="F309" s="4" t="s">
        <v>176</v>
      </c>
      <c r="G309" s="4" t="s">
        <v>26</v>
      </c>
      <c r="H309" s="4" t="s">
        <v>27</v>
      </c>
      <c r="I309" s="4" t="s">
        <v>715</v>
      </c>
      <c r="J309" s="4" t="s">
        <v>715</v>
      </c>
      <c r="K309" s="5">
        <v>6157982</v>
      </c>
      <c r="L309" s="5">
        <v>311011</v>
      </c>
      <c r="M309" s="5">
        <v>19</v>
      </c>
      <c r="N309" s="5">
        <v>1</v>
      </c>
      <c r="O309" s="5">
        <v>9.5</v>
      </c>
      <c r="P309" s="5"/>
    </row>
    <row r="310" spans="1:16" x14ac:dyDescent="0.25">
      <c r="A310" s="4" t="s">
        <v>21</v>
      </c>
      <c r="B310" s="4" t="s">
        <v>131</v>
      </c>
      <c r="C310" s="5">
        <v>39226</v>
      </c>
      <c r="D310" s="4" t="s">
        <v>33</v>
      </c>
      <c r="E310" s="4" t="s">
        <v>43</v>
      </c>
      <c r="F310" s="4" t="s">
        <v>135</v>
      </c>
      <c r="G310" s="4" t="s">
        <v>26</v>
      </c>
      <c r="H310" s="4" t="s">
        <v>27</v>
      </c>
      <c r="I310" s="4" t="s">
        <v>715</v>
      </c>
      <c r="J310" s="4" t="s">
        <v>638</v>
      </c>
      <c r="K310" s="5">
        <v>6065692</v>
      </c>
      <c r="L310" s="5">
        <v>286251</v>
      </c>
      <c r="M310" s="5">
        <v>19</v>
      </c>
      <c r="N310" s="5">
        <v>1</v>
      </c>
      <c r="O310" s="5">
        <v>1.9</v>
      </c>
      <c r="P310" s="5"/>
    </row>
    <row r="311" spans="1:16" x14ac:dyDescent="0.25">
      <c r="A311" s="4" t="s">
        <v>21</v>
      </c>
      <c r="B311" s="4" t="s">
        <v>131</v>
      </c>
      <c r="C311" s="5">
        <v>39232</v>
      </c>
      <c r="D311" s="4" t="s">
        <v>33</v>
      </c>
      <c r="E311" s="4" t="s">
        <v>43</v>
      </c>
      <c r="F311" s="4" t="s">
        <v>163</v>
      </c>
      <c r="G311" s="4" t="s">
        <v>26</v>
      </c>
      <c r="H311" s="4" t="s">
        <v>27</v>
      </c>
      <c r="I311" s="4" t="s">
        <v>715</v>
      </c>
      <c r="J311" s="4" t="s">
        <v>715</v>
      </c>
      <c r="K311" s="5">
        <v>6061195</v>
      </c>
      <c r="L311" s="5">
        <v>281720</v>
      </c>
      <c r="M311" s="5">
        <v>19</v>
      </c>
      <c r="N311" s="5">
        <v>1</v>
      </c>
      <c r="O311" s="5">
        <v>7.6</v>
      </c>
      <c r="P311" s="5"/>
    </row>
    <row r="312" spans="1:16" x14ac:dyDescent="0.25">
      <c r="A312" s="4" t="s">
        <v>21</v>
      </c>
      <c r="B312" s="4" t="s">
        <v>131</v>
      </c>
      <c r="C312" s="5">
        <v>39244</v>
      </c>
      <c r="D312" s="4" t="s">
        <v>33</v>
      </c>
      <c r="E312" s="4" t="s">
        <v>43</v>
      </c>
      <c r="F312" s="4" t="s">
        <v>135</v>
      </c>
      <c r="G312" s="4" t="s">
        <v>26</v>
      </c>
      <c r="H312" s="4" t="s">
        <v>173</v>
      </c>
      <c r="I312" s="4" t="s">
        <v>715</v>
      </c>
      <c r="J312" s="4" t="s">
        <v>715</v>
      </c>
      <c r="K312" s="5">
        <v>6067955</v>
      </c>
      <c r="L312" s="5">
        <v>285243</v>
      </c>
      <c r="M312" s="5">
        <v>19</v>
      </c>
      <c r="N312" s="5">
        <v>1</v>
      </c>
      <c r="O312" s="5">
        <v>3.3</v>
      </c>
      <c r="P312" s="5"/>
    </row>
    <row r="313" spans="1:16" x14ac:dyDescent="0.25">
      <c r="A313" s="4" t="s">
        <v>21</v>
      </c>
      <c r="B313" s="4" t="s">
        <v>131</v>
      </c>
      <c r="C313" s="5">
        <v>39252</v>
      </c>
      <c r="D313" s="4" t="s">
        <v>33</v>
      </c>
      <c r="E313" s="4" t="s">
        <v>167</v>
      </c>
      <c r="F313" s="4" t="s">
        <v>174</v>
      </c>
      <c r="G313" s="4" t="s">
        <v>26</v>
      </c>
      <c r="H313" s="4" t="s">
        <v>18</v>
      </c>
      <c r="I313" s="4" t="s">
        <v>715</v>
      </c>
      <c r="J313" s="4" t="s">
        <v>715</v>
      </c>
      <c r="K313" s="5">
        <v>6093028</v>
      </c>
      <c r="L313" s="5">
        <v>303523</v>
      </c>
      <c r="M313" s="5">
        <v>19</v>
      </c>
      <c r="N313" s="5">
        <v>1</v>
      </c>
      <c r="O313" s="5">
        <v>0.42</v>
      </c>
      <c r="P313" s="5"/>
    </row>
    <row r="314" spans="1:16" x14ac:dyDescent="0.25">
      <c r="A314" s="4" t="s">
        <v>21</v>
      </c>
      <c r="B314" s="4" t="s">
        <v>131</v>
      </c>
      <c r="C314" s="5">
        <v>39255</v>
      </c>
      <c r="D314" s="4" t="s">
        <v>33</v>
      </c>
      <c r="E314" s="4" t="s">
        <v>167</v>
      </c>
      <c r="F314" s="4" t="s">
        <v>174</v>
      </c>
      <c r="G314" s="4" t="s">
        <v>26</v>
      </c>
      <c r="H314" s="4" t="s">
        <v>18</v>
      </c>
      <c r="I314" s="4" t="s">
        <v>715</v>
      </c>
      <c r="J314" s="4" t="s">
        <v>715</v>
      </c>
      <c r="K314" s="5">
        <v>6090664</v>
      </c>
      <c r="L314" s="5">
        <v>304349</v>
      </c>
      <c r="M314" s="5">
        <v>19</v>
      </c>
      <c r="N314" s="5">
        <v>1</v>
      </c>
      <c r="O314" s="5">
        <v>0.4</v>
      </c>
      <c r="P314" s="5"/>
    </row>
    <row r="315" spans="1:16" x14ac:dyDescent="0.25">
      <c r="A315" s="4" t="s">
        <v>21</v>
      </c>
      <c r="B315" s="4" t="s">
        <v>131</v>
      </c>
      <c r="C315" s="5">
        <v>39292</v>
      </c>
      <c r="D315" s="4" t="s">
        <v>33</v>
      </c>
      <c r="E315" s="4" t="s">
        <v>43</v>
      </c>
      <c r="F315" s="4" t="s">
        <v>135</v>
      </c>
      <c r="G315" s="4" t="s">
        <v>26</v>
      </c>
      <c r="H315" s="4" t="s">
        <v>27</v>
      </c>
      <c r="I315" s="4" t="s">
        <v>715</v>
      </c>
      <c r="J315" s="4" t="s">
        <v>638</v>
      </c>
      <c r="K315" s="5">
        <v>6065633</v>
      </c>
      <c r="L315" s="5">
        <v>286681</v>
      </c>
      <c r="M315" s="5">
        <v>19</v>
      </c>
      <c r="N315" s="5">
        <v>1</v>
      </c>
      <c r="O315" s="5">
        <v>14</v>
      </c>
      <c r="P315" s="5"/>
    </row>
    <row r="316" spans="1:16" x14ac:dyDescent="0.25">
      <c r="A316" s="4" t="s">
        <v>21</v>
      </c>
      <c r="B316" s="4" t="s">
        <v>131</v>
      </c>
      <c r="C316" s="5">
        <v>39294</v>
      </c>
      <c r="D316" s="4" t="s">
        <v>33</v>
      </c>
      <c r="E316" s="4" t="s">
        <v>146</v>
      </c>
      <c r="F316" s="4" t="s">
        <v>146</v>
      </c>
      <c r="G316" s="4" t="s">
        <v>26</v>
      </c>
      <c r="H316" s="4" t="s">
        <v>18</v>
      </c>
      <c r="I316" s="4" t="s">
        <v>715</v>
      </c>
      <c r="J316" s="4" t="s">
        <v>715</v>
      </c>
      <c r="K316" s="5">
        <v>6054336</v>
      </c>
      <c r="L316" s="5">
        <v>268898</v>
      </c>
      <c r="M316" s="5">
        <v>19</v>
      </c>
      <c r="N316" s="5">
        <v>1</v>
      </c>
      <c r="O316" s="5">
        <v>0.9</v>
      </c>
      <c r="P316" s="5"/>
    </row>
    <row r="317" spans="1:16" x14ac:dyDescent="0.25">
      <c r="A317" s="4" t="s">
        <v>21</v>
      </c>
      <c r="B317" s="4" t="s">
        <v>131</v>
      </c>
      <c r="C317" s="5">
        <v>39301</v>
      </c>
      <c r="D317" s="4" t="s">
        <v>33</v>
      </c>
      <c r="E317" s="4" t="s">
        <v>43</v>
      </c>
      <c r="F317" s="4" t="s">
        <v>161</v>
      </c>
      <c r="G317" s="4" t="s">
        <v>26</v>
      </c>
      <c r="H317" s="4" t="s">
        <v>173</v>
      </c>
      <c r="I317" s="4" t="s">
        <v>715</v>
      </c>
      <c r="J317" s="4" t="s">
        <v>715</v>
      </c>
      <c r="K317" s="5">
        <v>6071909</v>
      </c>
      <c r="L317" s="5">
        <v>278742</v>
      </c>
      <c r="M317" s="5">
        <v>19</v>
      </c>
      <c r="N317" s="5">
        <v>1</v>
      </c>
      <c r="O317" s="5">
        <v>3.2</v>
      </c>
      <c r="P317" s="5"/>
    </row>
    <row r="318" spans="1:16" x14ac:dyDescent="0.25">
      <c r="A318" s="4" t="s">
        <v>21</v>
      </c>
      <c r="B318" s="4" t="s">
        <v>131</v>
      </c>
      <c r="C318" s="5">
        <v>39305</v>
      </c>
      <c r="D318" s="4" t="s">
        <v>33</v>
      </c>
      <c r="E318" s="4" t="s">
        <v>66</v>
      </c>
      <c r="F318" s="4" t="s">
        <v>66</v>
      </c>
      <c r="G318" s="4" t="s">
        <v>26</v>
      </c>
      <c r="H318" s="4" t="s">
        <v>18</v>
      </c>
      <c r="I318" s="4" t="s">
        <v>715</v>
      </c>
      <c r="J318" s="4" t="s">
        <v>715</v>
      </c>
      <c r="K318" s="5">
        <v>6074291</v>
      </c>
      <c r="L318" s="5">
        <v>262124</v>
      </c>
      <c r="M318" s="5">
        <v>19</v>
      </c>
      <c r="N318" s="5">
        <v>1</v>
      </c>
      <c r="O318" s="5">
        <v>1.62</v>
      </c>
      <c r="P318" s="5"/>
    </row>
    <row r="319" spans="1:16" x14ac:dyDescent="0.25">
      <c r="A319" s="4" t="s">
        <v>21</v>
      </c>
      <c r="B319" s="4" t="s">
        <v>131</v>
      </c>
      <c r="C319" s="5">
        <v>39316</v>
      </c>
      <c r="D319" s="4" t="s">
        <v>33</v>
      </c>
      <c r="E319" s="4" t="s">
        <v>43</v>
      </c>
      <c r="F319" s="4" t="s">
        <v>132</v>
      </c>
      <c r="G319" s="4" t="s">
        <v>26</v>
      </c>
      <c r="H319" s="4" t="s">
        <v>18</v>
      </c>
      <c r="I319" s="4" t="s">
        <v>715</v>
      </c>
      <c r="J319" s="4" t="s">
        <v>715</v>
      </c>
      <c r="K319" s="5">
        <v>6065511</v>
      </c>
      <c r="L319" s="5">
        <v>287437</v>
      </c>
      <c r="M319" s="5">
        <v>19</v>
      </c>
      <c r="N319" s="5">
        <v>1</v>
      </c>
      <c r="O319" s="5">
        <v>4</v>
      </c>
      <c r="P319" s="5"/>
    </row>
    <row r="320" spans="1:16" x14ac:dyDescent="0.25">
      <c r="A320" s="4" t="s">
        <v>21</v>
      </c>
      <c r="B320" s="4" t="s">
        <v>131</v>
      </c>
      <c r="C320" s="5">
        <v>39318</v>
      </c>
      <c r="D320" s="4" t="s">
        <v>33</v>
      </c>
      <c r="E320" s="4" t="s">
        <v>43</v>
      </c>
      <c r="F320" s="4" t="s">
        <v>149</v>
      </c>
      <c r="G320" s="4" t="s">
        <v>26</v>
      </c>
      <c r="H320" s="4" t="s">
        <v>27</v>
      </c>
      <c r="I320" s="4" t="s">
        <v>715</v>
      </c>
      <c r="J320" s="4" t="s">
        <v>638</v>
      </c>
      <c r="K320" s="5">
        <v>6065788</v>
      </c>
      <c r="L320" s="5">
        <v>281275</v>
      </c>
      <c r="M320" s="5">
        <v>19</v>
      </c>
      <c r="N320" s="5">
        <v>1</v>
      </c>
      <c r="O320" s="5">
        <v>5</v>
      </c>
      <c r="P320" s="5"/>
    </row>
    <row r="321" spans="1:16" x14ac:dyDescent="0.25">
      <c r="A321" s="4" t="s">
        <v>21</v>
      </c>
      <c r="B321" s="4" t="s">
        <v>131</v>
      </c>
      <c r="C321" s="5">
        <v>39353</v>
      </c>
      <c r="D321" s="4" t="s">
        <v>37</v>
      </c>
      <c r="E321" s="4" t="s">
        <v>73</v>
      </c>
      <c r="F321" s="4" t="s">
        <v>73</v>
      </c>
      <c r="G321" s="4" t="s">
        <v>26</v>
      </c>
      <c r="H321" s="4" t="s">
        <v>27</v>
      </c>
      <c r="I321" s="4" t="s">
        <v>715</v>
      </c>
      <c r="J321" s="4" t="s">
        <v>715</v>
      </c>
      <c r="K321" s="5">
        <v>6150314</v>
      </c>
      <c r="L321" s="5">
        <v>320597</v>
      </c>
      <c r="M321" s="5">
        <v>19</v>
      </c>
      <c r="N321" s="5">
        <v>1</v>
      </c>
      <c r="O321" s="5">
        <v>7.5</v>
      </c>
      <c r="P321" s="5"/>
    </row>
    <row r="322" spans="1:16" x14ac:dyDescent="0.25">
      <c r="A322" s="4" t="s">
        <v>21</v>
      </c>
      <c r="B322" s="4" t="s">
        <v>131</v>
      </c>
      <c r="C322" s="5">
        <v>39356</v>
      </c>
      <c r="D322" s="4" t="s">
        <v>33</v>
      </c>
      <c r="E322" s="4" t="s">
        <v>47</v>
      </c>
      <c r="F322" s="4" t="s">
        <v>139</v>
      </c>
      <c r="G322" s="4" t="s">
        <v>26</v>
      </c>
      <c r="H322" s="4" t="s">
        <v>27</v>
      </c>
      <c r="I322" s="4" t="s">
        <v>715</v>
      </c>
      <c r="J322" s="4" t="s">
        <v>715</v>
      </c>
      <c r="K322" s="5">
        <v>6073979</v>
      </c>
      <c r="L322" s="5">
        <v>289855</v>
      </c>
      <c r="M322" s="5">
        <v>19</v>
      </c>
      <c r="N322" s="5">
        <v>1</v>
      </c>
      <c r="O322" s="5">
        <v>10</v>
      </c>
      <c r="P322" s="5"/>
    </row>
    <row r="323" spans="1:16" x14ac:dyDescent="0.25">
      <c r="A323" s="4" t="s">
        <v>21</v>
      </c>
      <c r="B323" s="4" t="s">
        <v>131</v>
      </c>
      <c r="C323" s="5">
        <v>39357</v>
      </c>
      <c r="D323" s="4" t="s">
        <v>33</v>
      </c>
      <c r="E323" s="4" t="s">
        <v>43</v>
      </c>
      <c r="F323" s="4" t="s">
        <v>161</v>
      </c>
      <c r="G323" s="4" t="s">
        <v>26</v>
      </c>
      <c r="H323" s="4" t="s">
        <v>18</v>
      </c>
      <c r="I323" s="4" t="s">
        <v>715</v>
      </c>
      <c r="J323" s="4" t="s">
        <v>715</v>
      </c>
      <c r="K323" s="5">
        <v>6070999</v>
      </c>
      <c r="L323" s="5">
        <v>280335</v>
      </c>
      <c r="M323" s="5">
        <v>19</v>
      </c>
      <c r="N323" s="5">
        <v>1</v>
      </c>
      <c r="O323" s="5">
        <v>1.34</v>
      </c>
      <c r="P323" s="5"/>
    </row>
    <row r="324" spans="1:16" x14ac:dyDescent="0.25">
      <c r="A324" s="4" t="s">
        <v>21</v>
      </c>
      <c r="B324" s="4" t="s">
        <v>131</v>
      </c>
      <c r="C324" s="5">
        <v>39368</v>
      </c>
      <c r="D324" s="4" t="s">
        <v>37</v>
      </c>
      <c r="E324" s="4" t="s">
        <v>73</v>
      </c>
      <c r="F324" s="4" t="s">
        <v>73</v>
      </c>
      <c r="G324" s="4" t="s">
        <v>26</v>
      </c>
      <c r="H324" s="4" t="s">
        <v>27</v>
      </c>
      <c r="I324" s="4" t="s">
        <v>715</v>
      </c>
      <c r="J324" s="4" t="s">
        <v>715</v>
      </c>
      <c r="K324" s="5">
        <v>6158293</v>
      </c>
      <c r="L324" s="5">
        <v>311329</v>
      </c>
      <c r="M324" s="5">
        <v>19</v>
      </c>
      <c r="N324" s="5">
        <v>1</v>
      </c>
      <c r="O324" s="5">
        <v>10</v>
      </c>
      <c r="P324" s="5"/>
    </row>
    <row r="325" spans="1:16" x14ac:dyDescent="0.25">
      <c r="A325" s="4" t="s">
        <v>21</v>
      </c>
      <c r="B325" s="4" t="s">
        <v>131</v>
      </c>
      <c r="C325" s="5">
        <v>39379</v>
      </c>
      <c r="D325" s="4" t="s">
        <v>37</v>
      </c>
      <c r="E325" s="4" t="s">
        <v>73</v>
      </c>
      <c r="F325" s="4" t="s">
        <v>73</v>
      </c>
      <c r="G325" s="4" t="s">
        <v>26</v>
      </c>
      <c r="H325" s="4" t="s">
        <v>27</v>
      </c>
      <c r="I325" s="4" t="s">
        <v>715</v>
      </c>
      <c r="J325" s="4" t="s">
        <v>715</v>
      </c>
      <c r="K325" s="5">
        <v>6158769</v>
      </c>
      <c r="L325" s="5">
        <v>311518</v>
      </c>
      <c r="M325" s="5">
        <v>19</v>
      </c>
      <c r="N325" s="5">
        <v>1</v>
      </c>
      <c r="O325" s="5">
        <v>13.6</v>
      </c>
      <c r="P325" s="5"/>
    </row>
    <row r="326" spans="1:16" x14ac:dyDescent="0.25">
      <c r="A326" s="4" t="s">
        <v>21</v>
      </c>
      <c r="B326" s="4" t="s">
        <v>131</v>
      </c>
      <c r="C326" s="5">
        <v>39382</v>
      </c>
      <c r="D326" s="4" t="s">
        <v>37</v>
      </c>
      <c r="E326" s="4" t="s">
        <v>73</v>
      </c>
      <c r="F326" s="4" t="s">
        <v>176</v>
      </c>
      <c r="G326" s="4" t="s">
        <v>26</v>
      </c>
      <c r="H326" s="4" t="s">
        <v>27</v>
      </c>
      <c r="I326" s="4" t="s">
        <v>715</v>
      </c>
      <c r="J326" s="4" t="s">
        <v>715</v>
      </c>
      <c r="K326" s="5">
        <v>6157631</v>
      </c>
      <c r="L326" s="5">
        <v>310897</v>
      </c>
      <c r="M326" s="5">
        <v>19</v>
      </c>
      <c r="N326" s="5">
        <v>1</v>
      </c>
      <c r="O326" s="5">
        <v>6.5</v>
      </c>
      <c r="P326" s="5"/>
    </row>
    <row r="327" spans="1:16" x14ac:dyDescent="0.25">
      <c r="A327" s="4" t="s">
        <v>21</v>
      </c>
      <c r="B327" s="4" t="s">
        <v>131</v>
      </c>
      <c r="C327" s="5">
        <v>39386</v>
      </c>
      <c r="D327" s="4" t="s">
        <v>37</v>
      </c>
      <c r="E327" s="4" t="s">
        <v>73</v>
      </c>
      <c r="F327" s="4" t="s">
        <v>176</v>
      </c>
      <c r="G327" s="4" t="s">
        <v>26</v>
      </c>
      <c r="H327" s="4" t="s">
        <v>27</v>
      </c>
      <c r="I327" s="4" t="s">
        <v>715</v>
      </c>
      <c r="J327" s="4" t="s">
        <v>715</v>
      </c>
      <c r="K327" s="5">
        <v>6157902</v>
      </c>
      <c r="L327" s="5">
        <v>311241</v>
      </c>
      <c r="M327" s="5">
        <v>19</v>
      </c>
      <c r="N327" s="5">
        <v>1</v>
      </c>
      <c r="O327" s="5">
        <v>10</v>
      </c>
      <c r="P327" s="5"/>
    </row>
    <row r="328" spans="1:16" x14ac:dyDescent="0.25">
      <c r="A328" s="4" t="s">
        <v>21</v>
      </c>
      <c r="B328" s="4" t="s">
        <v>131</v>
      </c>
      <c r="C328" s="5">
        <v>39390</v>
      </c>
      <c r="D328" s="4" t="s">
        <v>37</v>
      </c>
      <c r="E328" s="4" t="s">
        <v>73</v>
      </c>
      <c r="F328" s="4" t="s">
        <v>73</v>
      </c>
      <c r="G328" s="4" t="s">
        <v>26</v>
      </c>
      <c r="H328" s="4" t="s">
        <v>27</v>
      </c>
      <c r="I328" s="4" t="s">
        <v>715</v>
      </c>
      <c r="J328" s="4" t="s">
        <v>715</v>
      </c>
      <c r="K328" s="5">
        <v>6158482</v>
      </c>
      <c r="L328" s="5">
        <v>311147</v>
      </c>
      <c r="M328" s="5">
        <v>19</v>
      </c>
      <c r="N328" s="5">
        <v>1</v>
      </c>
      <c r="O328" s="5">
        <v>11</v>
      </c>
      <c r="P328" s="5"/>
    </row>
    <row r="329" spans="1:16" x14ac:dyDescent="0.25">
      <c r="A329" s="4" t="s">
        <v>21</v>
      </c>
      <c r="B329" s="4" t="s">
        <v>131</v>
      </c>
      <c r="C329" s="5">
        <v>39398</v>
      </c>
      <c r="D329" s="4" t="s">
        <v>37</v>
      </c>
      <c r="E329" s="4" t="s">
        <v>73</v>
      </c>
      <c r="F329" s="4" t="s">
        <v>176</v>
      </c>
      <c r="G329" s="4" t="s">
        <v>26</v>
      </c>
      <c r="H329" s="4" t="s">
        <v>27</v>
      </c>
      <c r="I329" s="4" t="s">
        <v>715</v>
      </c>
      <c r="J329" s="4" t="s">
        <v>715</v>
      </c>
      <c r="K329" s="5">
        <v>6158846</v>
      </c>
      <c r="L329" s="5">
        <v>311256</v>
      </c>
      <c r="M329" s="5">
        <v>19</v>
      </c>
      <c r="N329" s="5">
        <v>1</v>
      </c>
      <c r="O329" s="5">
        <v>7</v>
      </c>
      <c r="P329" s="5"/>
    </row>
    <row r="330" spans="1:16" x14ac:dyDescent="0.25">
      <c r="A330" s="4" t="s">
        <v>21</v>
      </c>
      <c r="B330" s="4" t="s">
        <v>131</v>
      </c>
      <c r="C330" s="5">
        <v>39400</v>
      </c>
      <c r="D330" s="4" t="s">
        <v>37</v>
      </c>
      <c r="E330" s="4" t="s">
        <v>38</v>
      </c>
      <c r="F330" s="4" t="s">
        <v>38</v>
      </c>
      <c r="G330" s="4" t="s">
        <v>26</v>
      </c>
      <c r="H330" s="4" t="s">
        <v>27</v>
      </c>
      <c r="I330" s="4" t="s">
        <v>715</v>
      </c>
      <c r="J330" s="4" t="s">
        <v>715</v>
      </c>
      <c r="K330" s="5">
        <v>6167472</v>
      </c>
      <c r="L330" s="5">
        <v>320111</v>
      </c>
      <c r="M330" s="5">
        <v>19</v>
      </c>
      <c r="N330" s="5">
        <v>1</v>
      </c>
      <c r="O330" s="5">
        <v>17.8</v>
      </c>
      <c r="P330" s="5"/>
    </row>
    <row r="331" spans="1:16" x14ac:dyDescent="0.25">
      <c r="A331" s="4" t="s">
        <v>21</v>
      </c>
      <c r="B331" s="4" t="s">
        <v>131</v>
      </c>
      <c r="C331" s="5">
        <v>39403</v>
      </c>
      <c r="D331" s="4" t="s">
        <v>37</v>
      </c>
      <c r="E331" s="4" t="s">
        <v>73</v>
      </c>
      <c r="F331" s="4" t="s">
        <v>73</v>
      </c>
      <c r="G331" s="4" t="s">
        <v>26</v>
      </c>
      <c r="H331" s="4" t="s">
        <v>27</v>
      </c>
      <c r="I331" s="4" t="s">
        <v>715</v>
      </c>
      <c r="J331" s="4" t="s">
        <v>715</v>
      </c>
      <c r="K331" s="5">
        <v>6148920</v>
      </c>
      <c r="L331" s="5">
        <v>320266</v>
      </c>
      <c r="M331" s="5">
        <v>19</v>
      </c>
      <c r="N331" s="5">
        <v>1</v>
      </c>
      <c r="O331" s="5">
        <v>5.9</v>
      </c>
      <c r="P331" s="5"/>
    </row>
    <row r="332" spans="1:16" x14ac:dyDescent="0.25">
      <c r="A332" s="4" t="s">
        <v>21</v>
      </c>
      <c r="B332" s="4" t="s">
        <v>131</v>
      </c>
      <c r="C332" s="5">
        <v>39407</v>
      </c>
      <c r="D332" s="4" t="s">
        <v>37</v>
      </c>
      <c r="E332" s="4" t="s">
        <v>73</v>
      </c>
      <c r="F332" s="4" t="s">
        <v>73</v>
      </c>
      <c r="G332" s="4" t="s">
        <v>26</v>
      </c>
      <c r="H332" s="4" t="s">
        <v>27</v>
      </c>
      <c r="I332" s="4" t="s">
        <v>715</v>
      </c>
      <c r="J332" s="4" t="s">
        <v>715</v>
      </c>
      <c r="K332" s="5">
        <v>6148990</v>
      </c>
      <c r="L332" s="5">
        <v>319989</v>
      </c>
      <c r="M332" s="5">
        <v>19</v>
      </c>
      <c r="N332" s="5">
        <v>1</v>
      </c>
      <c r="O332" s="5">
        <v>4.0999999999999996</v>
      </c>
      <c r="P332" s="5"/>
    </row>
    <row r="333" spans="1:16" x14ac:dyDescent="0.25">
      <c r="A333" s="4" t="s">
        <v>21</v>
      </c>
      <c r="B333" s="4" t="s">
        <v>131</v>
      </c>
      <c r="C333" s="5">
        <v>39419</v>
      </c>
      <c r="D333" s="4" t="s">
        <v>33</v>
      </c>
      <c r="E333" s="4" t="s">
        <v>146</v>
      </c>
      <c r="F333" s="4" t="s">
        <v>146</v>
      </c>
      <c r="G333" s="4" t="s">
        <v>26</v>
      </c>
      <c r="H333" s="4" t="s">
        <v>173</v>
      </c>
      <c r="I333" s="4" t="s">
        <v>715</v>
      </c>
      <c r="J333" s="4" t="s">
        <v>638</v>
      </c>
      <c r="K333" s="5">
        <v>6044692</v>
      </c>
      <c r="L333" s="5">
        <v>271665</v>
      </c>
      <c r="M333" s="5">
        <v>19</v>
      </c>
      <c r="N333" s="5">
        <v>1</v>
      </c>
      <c r="O333" s="5">
        <v>2.25</v>
      </c>
      <c r="P333" s="5"/>
    </row>
    <row r="334" spans="1:16" x14ac:dyDescent="0.25">
      <c r="A334" s="4" t="s">
        <v>21</v>
      </c>
      <c r="B334" s="4" t="s">
        <v>131</v>
      </c>
      <c r="C334" s="5">
        <v>39421</v>
      </c>
      <c r="D334" s="4" t="s">
        <v>33</v>
      </c>
      <c r="E334" s="4" t="s">
        <v>43</v>
      </c>
      <c r="F334" s="4" t="s">
        <v>136</v>
      </c>
      <c r="G334" s="4" t="s">
        <v>26</v>
      </c>
      <c r="H334" s="4" t="s">
        <v>27</v>
      </c>
      <c r="I334" s="4" t="s">
        <v>715</v>
      </c>
      <c r="J334" s="4" t="s">
        <v>715</v>
      </c>
      <c r="K334" s="5">
        <v>6066171</v>
      </c>
      <c r="L334" s="5">
        <v>284405</v>
      </c>
      <c r="M334" s="5">
        <v>19</v>
      </c>
      <c r="N334" s="5">
        <v>1</v>
      </c>
      <c r="O334" s="5">
        <v>11.8</v>
      </c>
      <c r="P334" s="5"/>
    </row>
    <row r="335" spans="1:16" x14ac:dyDescent="0.25">
      <c r="A335" s="4" t="s">
        <v>21</v>
      </c>
      <c r="B335" s="4" t="s">
        <v>131</v>
      </c>
      <c r="C335" s="5">
        <v>39449</v>
      </c>
      <c r="D335" s="4" t="s">
        <v>33</v>
      </c>
      <c r="E335" s="4" t="s">
        <v>34</v>
      </c>
      <c r="F335" s="4" t="s">
        <v>34</v>
      </c>
      <c r="G335" s="4" t="s">
        <v>26</v>
      </c>
      <c r="H335" s="4" t="s">
        <v>27</v>
      </c>
      <c r="I335" s="4" t="s">
        <v>715</v>
      </c>
      <c r="J335" s="4" t="s">
        <v>715</v>
      </c>
      <c r="K335" s="5">
        <v>6134876</v>
      </c>
      <c r="L335" s="5">
        <v>296654</v>
      </c>
      <c r="M335" s="5">
        <v>19</v>
      </c>
      <c r="N335" s="5">
        <v>1</v>
      </c>
      <c r="O335" s="5">
        <v>18.77</v>
      </c>
      <c r="P335" s="5"/>
    </row>
    <row r="336" spans="1:16" x14ac:dyDescent="0.25">
      <c r="A336" s="4" t="s">
        <v>21</v>
      </c>
      <c r="B336" s="4" t="s">
        <v>131</v>
      </c>
      <c r="C336" s="5">
        <v>39454</v>
      </c>
      <c r="D336" s="4" t="s">
        <v>33</v>
      </c>
      <c r="E336" s="4" t="s">
        <v>66</v>
      </c>
      <c r="F336" s="4" t="s">
        <v>67</v>
      </c>
      <c r="G336" s="4" t="s">
        <v>26</v>
      </c>
      <c r="H336" s="4" t="s">
        <v>27</v>
      </c>
      <c r="I336" s="4" t="s">
        <v>715</v>
      </c>
      <c r="J336" s="4" t="s">
        <v>715</v>
      </c>
      <c r="K336" s="5">
        <v>6075681</v>
      </c>
      <c r="L336" s="5">
        <v>267395</v>
      </c>
      <c r="M336" s="5">
        <v>19</v>
      </c>
      <c r="N336" s="5">
        <v>1</v>
      </c>
      <c r="O336" s="5">
        <v>4.8</v>
      </c>
      <c r="P336" s="5"/>
    </row>
    <row r="337" spans="1:16" x14ac:dyDescent="0.25">
      <c r="A337" s="4" t="s">
        <v>21</v>
      </c>
      <c r="B337" s="4" t="s">
        <v>131</v>
      </c>
      <c r="C337" s="5">
        <v>39468</v>
      </c>
      <c r="D337" s="4" t="s">
        <v>33</v>
      </c>
      <c r="E337" s="4" t="s">
        <v>45</v>
      </c>
      <c r="F337" s="4" t="s">
        <v>45</v>
      </c>
      <c r="G337" s="4" t="s">
        <v>26</v>
      </c>
      <c r="H337" s="4" t="s">
        <v>18</v>
      </c>
      <c r="I337" s="4" t="s">
        <v>715</v>
      </c>
      <c r="J337" s="4" t="s">
        <v>715</v>
      </c>
      <c r="K337" s="5">
        <v>6089500</v>
      </c>
      <c r="L337" s="5">
        <v>278844</v>
      </c>
      <c r="M337" s="5">
        <v>19</v>
      </c>
      <c r="N337" s="5">
        <v>1</v>
      </c>
      <c r="O337" s="5">
        <v>0.3</v>
      </c>
      <c r="P337" s="5"/>
    </row>
    <row r="338" spans="1:16" x14ac:dyDescent="0.25">
      <c r="A338" s="4" t="s">
        <v>21</v>
      </c>
      <c r="B338" s="4" t="s">
        <v>131</v>
      </c>
      <c r="C338" s="5">
        <v>39470</v>
      </c>
      <c r="D338" s="4" t="s">
        <v>33</v>
      </c>
      <c r="E338" s="4" t="s">
        <v>45</v>
      </c>
      <c r="F338" s="4" t="s">
        <v>45</v>
      </c>
      <c r="G338" s="4" t="s">
        <v>26</v>
      </c>
      <c r="H338" s="4" t="s">
        <v>18</v>
      </c>
      <c r="I338" s="4" t="s">
        <v>715</v>
      </c>
      <c r="J338" s="4" t="s">
        <v>715</v>
      </c>
      <c r="K338" s="5">
        <v>6097337</v>
      </c>
      <c r="L338" s="5">
        <v>277635</v>
      </c>
      <c r="M338" s="5">
        <v>19</v>
      </c>
      <c r="N338" s="5">
        <v>1</v>
      </c>
      <c r="O338" s="5">
        <v>0.42</v>
      </c>
      <c r="P338" s="5"/>
    </row>
    <row r="339" spans="1:16" x14ac:dyDescent="0.25">
      <c r="A339" s="4" t="s">
        <v>21</v>
      </c>
      <c r="B339" s="4" t="s">
        <v>131</v>
      </c>
      <c r="C339" s="5">
        <v>39472</v>
      </c>
      <c r="D339" s="4" t="s">
        <v>33</v>
      </c>
      <c r="E339" s="4" t="s">
        <v>47</v>
      </c>
      <c r="F339" s="4" t="s">
        <v>47</v>
      </c>
      <c r="G339" s="4" t="s">
        <v>26</v>
      </c>
      <c r="H339" s="4" t="s">
        <v>128</v>
      </c>
      <c r="I339" s="4" t="s">
        <v>715</v>
      </c>
      <c r="J339" s="4" t="s">
        <v>638</v>
      </c>
      <c r="K339" s="5">
        <v>6083770</v>
      </c>
      <c r="L339" s="5">
        <v>284701</v>
      </c>
      <c r="M339" s="5">
        <v>19</v>
      </c>
      <c r="N339" s="5">
        <v>1</v>
      </c>
      <c r="O339" s="5">
        <v>2.6</v>
      </c>
      <c r="P339" s="5"/>
    </row>
    <row r="340" spans="1:16" x14ac:dyDescent="0.25">
      <c r="A340" s="4" t="s">
        <v>21</v>
      </c>
      <c r="B340" s="4" t="s">
        <v>131</v>
      </c>
      <c r="C340" s="5">
        <v>39473</v>
      </c>
      <c r="D340" s="4" t="s">
        <v>33</v>
      </c>
      <c r="E340" s="4" t="s">
        <v>43</v>
      </c>
      <c r="F340" s="4" t="s">
        <v>136</v>
      </c>
      <c r="G340" s="4" t="s">
        <v>26</v>
      </c>
      <c r="H340" s="4" t="s">
        <v>27</v>
      </c>
      <c r="I340" s="4" t="s">
        <v>715</v>
      </c>
      <c r="J340" s="4" t="s">
        <v>715</v>
      </c>
      <c r="K340" s="5">
        <v>6067079</v>
      </c>
      <c r="L340" s="5">
        <v>283649</v>
      </c>
      <c r="M340" s="5">
        <v>19</v>
      </c>
      <c r="N340" s="5">
        <v>1</v>
      </c>
      <c r="O340" s="5">
        <v>12.6</v>
      </c>
      <c r="P340" s="5"/>
    </row>
    <row r="341" spans="1:16" x14ac:dyDescent="0.25">
      <c r="A341" s="4" t="s">
        <v>21</v>
      </c>
      <c r="B341" s="4" t="s">
        <v>131</v>
      </c>
      <c r="C341" s="5">
        <v>39480</v>
      </c>
      <c r="D341" s="4" t="s">
        <v>33</v>
      </c>
      <c r="E341" s="4" t="s">
        <v>45</v>
      </c>
      <c r="F341" s="4" t="s">
        <v>45</v>
      </c>
      <c r="G341" s="4" t="s">
        <v>26</v>
      </c>
      <c r="H341" s="4" t="s">
        <v>18</v>
      </c>
      <c r="I341" s="4" t="s">
        <v>715</v>
      </c>
      <c r="J341" s="4" t="s">
        <v>715</v>
      </c>
      <c r="K341" s="5">
        <v>6087429</v>
      </c>
      <c r="L341" s="5">
        <v>274981</v>
      </c>
      <c r="M341" s="5">
        <v>19</v>
      </c>
      <c r="N341" s="5">
        <v>1</v>
      </c>
      <c r="O341" s="5">
        <v>0.8</v>
      </c>
      <c r="P341" s="5"/>
    </row>
    <row r="342" spans="1:16" x14ac:dyDescent="0.25">
      <c r="A342" s="4" t="s">
        <v>21</v>
      </c>
      <c r="B342" s="4" t="s">
        <v>131</v>
      </c>
      <c r="C342" s="5">
        <v>39482</v>
      </c>
      <c r="D342" s="4" t="s">
        <v>33</v>
      </c>
      <c r="E342" s="4" t="s">
        <v>45</v>
      </c>
      <c r="F342" s="4" t="s">
        <v>45</v>
      </c>
      <c r="G342" s="4" t="s">
        <v>26</v>
      </c>
      <c r="H342" s="4" t="s">
        <v>27</v>
      </c>
      <c r="I342" s="4" t="s">
        <v>715</v>
      </c>
      <c r="J342" s="4" t="s">
        <v>715</v>
      </c>
      <c r="K342" s="5">
        <v>6084734</v>
      </c>
      <c r="L342" s="5">
        <v>271790</v>
      </c>
      <c r="M342" s="5">
        <v>19</v>
      </c>
      <c r="N342" s="5">
        <v>1</v>
      </c>
      <c r="O342" s="5">
        <v>3.28</v>
      </c>
      <c r="P342" s="5"/>
    </row>
    <row r="343" spans="1:16" x14ac:dyDescent="0.25">
      <c r="A343" s="4" t="s">
        <v>21</v>
      </c>
      <c r="B343" s="4" t="s">
        <v>131</v>
      </c>
      <c r="C343" s="5">
        <v>39483</v>
      </c>
      <c r="D343" s="4" t="s">
        <v>33</v>
      </c>
      <c r="E343" s="4" t="s">
        <v>45</v>
      </c>
      <c r="F343" s="4" t="s">
        <v>45</v>
      </c>
      <c r="G343" s="4" t="s">
        <v>26</v>
      </c>
      <c r="H343" s="4" t="s">
        <v>27</v>
      </c>
      <c r="I343" s="4" t="s">
        <v>715</v>
      </c>
      <c r="J343" s="4" t="s">
        <v>715</v>
      </c>
      <c r="K343" s="5">
        <v>6084258</v>
      </c>
      <c r="L343" s="5">
        <v>272092</v>
      </c>
      <c r="M343" s="5">
        <v>19</v>
      </c>
      <c r="N343" s="5">
        <v>2</v>
      </c>
      <c r="O343" s="5">
        <v>35.4</v>
      </c>
      <c r="P343" s="5"/>
    </row>
    <row r="344" spans="1:16" x14ac:dyDescent="0.25">
      <c r="A344" s="4" t="s">
        <v>21</v>
      </c>
      <c r="B344" s="4" t="s">
        <v>131</v>
      </c>
      <c r="C344" s="5">
        <v>39485</v>
      </c>
      <c r="D344" s="4" t="s">
        <v>33</v>
      </c>
      <c r="E344" s="4" t="s">
        <v>66</v>
      </c>
      <c r="F344" s="4" t="s">
        <v>67</v>
      </c>
      <c r="G344" s="4" t="s">
        <v>26</v>
      </c>
      <c r="H344" s="4" t="s">
        <v>27</v>
      </c>
      <c r="I344" s="4" t="s">
        <v>715</v>
      </c>
      <c r="J344" s="4" t="s">
        <v>715</v>
      </c>
      <c r="K344" s="5">
        <v>6075092</v>
      </c>
      <c r="L344" s="5">
        <v>267116</v>
      </c>
      <c r="M344" s="5">
        <v>19</v>
      </c>
      <c r="N344" s="5">
        <v>1</v>
      </c>
      <c r="O344" s="5">
        <v>3.8</v>
      </c>
      <c r="P344" s="5"/>
    </row>
    <row r="345" spans="1:16" x14ac:dyDescent="0.25">
      <c r="A345" s="4" t="s">
        <v>21</v>
      </c>
      <c r="B345" s="4" t="s">
        <v>131</v>
      </c>
      <c r="C345" s="5">
        <v>39546</v>
      </c>
      <c r="D345" s="4" t="s">
        <v>33</v>
      </c>
      <c r="E345" s="4" t="s">
        <v>43</v>
      </c>
      <c r="F345" s="4" t="s">
        <v>136</v>
      </c>
      <c r="G345" s="4" t="s">
        <v>26</v>
      </c>
      <c r="H345" s="4" t="s">
        <v>18</v>
      </c>
      <c r="I345" s="4" t="s">
        <v>715</v>
      </c>
      <c r="J345" s="4" t="s">
        <v>715</v>
      </c>
      <c r="K345" s="5">
        <v>6064590</v>
      </c>
      <c r="L345" s="5">
        <v>285507</v>
      </c>
      <c r="M345" s="5">
        <v>19</v>
      </c>
      <c r="N345" s="5">
        <v>1</v>
      </c>
      <c r="O345" s="5">
        <v>1.2</v>
      </c>
      <c r="P345" s="5"/>
    </row>
    <row r="346" spans="1:16" x14ac:dyDescent="0.25">
      <c r="A346" s="4" t="s">
        <v>21</v>
      </c>
      <c r="B346" s="4" t="s">
        <v>131</v>
      </c>
      <c r="C346" s="5">
        <v>39561</v>
      </c>
      <c r="D346" s="4" t="s">
        <v>33</v>
      </c>
      <c r="E346" s="4" t="s">
        <v>47</v>
      </c>
      <c r="F346" s="4" t="s">
        <v>158</v>
      </c>
      <c r="G346" s="4" t="s">
        <v>26</v>
      </c>
      <c r="H346" s="4" t="s">
        <v>18</v>
      </c>
      <c r="I346" s="4" t="s">
        <v>715</v>
      </c>
      <c r="J346" s="4" t="s">
        <v>715</v>
      </c>
      <c r="K346" s="5">
        <v>6074579</v>
      </c>
      <c r="L346" s="5">
        <v>291203</v>
      </c>
      <c r="M346" s="5">
        <v>19</v>
      </c>
      <c r="N346" s="5">
        <v>1</v>
      </c>
      <c r="O346" s="5">
        <v>0.5</v>
      </c>
      <c r="P346" s="5"/>
    </row>
    <row r="347" spans="1:16" x14ac:dyDescent="0.25">
      <c r="A347" s="4" t="s">
        <v>21</v>
      </c>
      <c r="B347" s="4" t="s">
        <v>131</v>
      </c>
      <c r="C347" s="5">
        <v>39586</v>
      </c>
      <c r="D347" s="4" t="s">
        <v>33</v>
      </c>
      <c r="E347" s="4" t="s">
        <v>43</v>
      </c>
      <c r="F347" s="4" t="s">
        <v>154</v>
      </c>
      <c r="G347" s="4" t="s">
        <v>26</v>
      </c>
      <c r="H347" s="4" t="s">
        <v>173</v>
      </c>
      <c r="I347" s="4" t="s">
        <v>715</v>
      </c>
      <c r="J347" s="4" t="s">
        <v>715</v>
      </c>
      <c r="K347" s="5">
        <v>6063980</v>
      </c>
      <c r="L347" s="5">
        <v>291643</v>
      </c>
      <c r="M347" s="5">
        <v>19</v>
      </c>
      <c r="N347" s="5">
        <v>1</v>
      </c>
      <c r="O347" s="5">
        <v>3.3</v>
      </c>
      <c r="P347" s="5"/>
    </row>
    <row r="348" spans="1:16" x14ac:dyDescent="0.25">
      <c r="A348" s="4" t="s">
        <v>21</v>
      </c>
      <c r="B348" s="4" t="s">
        <v>131</v>
      </c>
      <c r="C348" s="5">
        <v>39622</v>
      </c>
      <c r="D348" s="4" t="s">
        <v>33</v>
      </c>
      <c r="E348" s="4" t="s">
        <v>43</v>
      </c>
      <c r="F348" s="4" t="s">
        <v>161</v>
      </c>
      <c r="G348" s="4" t="s">
        <v>26</v>
      </c>
      <c r="H348" s="4" t="s">
        <v>128</v>
      </c>
      <c r="I348" s="4" t="s">
        <v>715</v>
      </c>
      <c r="J348" s="4" t="s">
        <v>638</v>
      </c>
      <c r="K348" s="5">
        <v>6070981</v>
      </c>
      <c r="L348" s="5">
        <v>278832</v>
      </c>
      <c r="M348" s="5">
        <v>19</v>
      </c>
      <c r="N348" s="5">
        <v>1</v>
      </c>
      <c r="O348" s="5">
        <v>0.75</v>
      </c>
      <c r="P348" s="5"/>
    </row>
    <row r="349" spans="1:16" x14ac:dyDescent="0.25">
      <c r="A349" s="4" t="s">
        <v>21</v>
      </c>
      <c r="B349" s="4" t="s">
        <v>131</v>
      </c>
      <c r="C349" s="5">
        <v>39624</v>
      </c>
      <c r="D349" s="4" t="s">
        <v>33</v>
      </c>
      <c r="E349" s="4" t="s">
        <v>47</v>
      </c>
      <c r="F349" s="4" t="s">
        <v>47</v>
      </c>
      <c r="G349" s="4" t="s">
        <v>26</v>
      </c>
      <c r="H349" s="4" t="s">
        <v>27</v>
      </c>
      <c r="I349" s="4" t="s">
        <v>715</v>
      </c>
      <c r="J349" s="4" t="s">
        <v>638</v>
      </c>
      <c r="K349" s="5">
        <v>6080185</v>
      </c>
      <c r="L349" s="5">
        <v>280129</v>
      </c>
      <c r="M349" s="5">
        <v>19</v>
      </c>
      <c r="N349" s="5">
        <v>1</v>
      </c>
      <c r="O349" s="5">
        <v>6.1</v>
      </c>
      <c r="P349" s="5"/>
    </row>
    <row r="350" spans="1:16" x14ac:dyDescent="0.25">
      <c r="A350" s="4" t="s">
        <v>21</v>
      </c>
      <c r="B350" s="4" t="s">
        <v>131</v>
      </c>
      <c r="C350" s="5">
        <v>39626</v>
      </c>
      <c r="D350" s="4" t="s">
        <v>33</v>
      </c>
      <c r="E350" s="4" t="s">
        <v>43</v>
      </c>
      <c r="F350" s="4" t="s">
        <v>161</v>
      </c>
      <c r="G350" s="4" t="s">
        <v>26</v>
      </c>
      <c r="H350" s="4" t="s">
        <v>18</v>
      </c>
      <c r="I350" s="4" t="s">
        <v>715</v>
      </c>
      <c r="J350" s="4" t="s">
        <v>715</v>
      </c>
      <c r="K350" s="5">
        <v>6073524</v>
      </c>
      <c r="L350" s="5">
        <v>286835</v>
      </c>
      <c r="M350" s="5">
        <v>19</v>
      </c>
      <c r="N350" s="5">
        <v>1</v>
      </c>
      <c r="O350" s="5">
        <v>2.78</v>
      </c>
      <c r="P350" s="5"/>
    </row>
    <row r="351" spans="1:16" x14ac:dyDescent="0.25">
      <c r="A351" s="4" t="s">
        <v>21</v>
      </c>
      <c r="B351" s="4" t="s">
        <v>131</v>
      </c>
      <c r="C351" s="5">
        <v>39628</v>
      </c>
      <c r="D351" s="4" t="s">
        <v>33</v>
      </c>
      <c r="E351" s="4" t="s">
        <v>43</v>
      </c>
      <c r="F351" s="4" t="s">
        <v>161</v>
      </c>
      <c r="G351" s="4" t="s">
        <v>26</v>
      </c>
      <c r="H351" s="4" t="s">
        <v>173</v>
      </c>
      <c r="I351" s="4" t="s">
        <v>715</v>
      </c>
      <c r="J351" s="4" t="s">
        <v>715</v>
      </c>
      <c r="K351" s="5">
        <v>6073200</v>
      </c>
      <c r="L351" s="5">
        <v>283824</v>
      </c>
      <c r="M351" s="5">
        <v>19</v>
      </c>
      <c r="N351" s="5">
        <v>1</v>
      </c>
      <c r="O351" s="5">
        <v>2.4</v>
      </c>
      <c r="P351" s="5"/>
    </row>
    <row r="352" spans="1:16" x14ac:dyDescent="0.25">
      <c r="A352" s="4" t="s">
        <v>21</v>
      </c>
      <c r="B352" s="4" t="s">
        <v>131</v>
      </c>
      <c r="C352" s="5">
        <v>39641</v>
      </c>
      <c r="D352" s="4" t="s">
        <v>33</v>
      </c>
      <c r="E352" s="4" t="s">
        <v>43</v>
      </c>
      <c r="F352" s="4" t="s">
        <v>161</v>
      </c>
      <c r="G352" s="4" t="s">
        <v>26</v>
      </c>
      <c r="H352" s="4" t="s">
        <v>18</v>
      </c>
      <c r="I352" s="4" t="s">
        <v>715</v>
      </c>
      <c r="J352" s="4" t="s">
        <v>715</v>
      </c>
      <c r="K352" s="5">
        <v>6071517</v>
      </c>
      <c r="L352" s="5">
        <v>280047</v>
      </c>
      <c r="M352" s="5">
        <v>19</v>
      </c>
      <c r="N352" s="5">
        <v>1</v>
      </c>
      <c r="O352" s="5">
        <v>3.4</v>
      </c>
      <c r="P352" s="5"/>
    </row>
    <row r="353" spans="1:16" x14ac:dyDescent="0.25">
      <c r="A353" s="4" t="s">
        <v>21</v>
      </c>
      <c r="B353" s="4" t="s">
        <v>131</v>
      </c>
      <c r="C353" s="5">
        <v>39655</v>
      </c>
      <c r="D353" s="4" t="s">
        <v>33</v>
      </c>
      <c r="E353" s="4" t="s">
        <v>43</v>
      </c>
      <c r="F353" s="4" t="s">
        <v>177</v>
      </c>
      <c r="G353" s="4" t="s">
        <v>26</v>
      </c>
      <c r="H353" s="4" t="s">
        <v>27</v>
      </c>
      <c r="I353" s="4" t="s">
        <v>715</v>
      </c>
      <c r="J353" s="4" t="s">
        <v>715</v>
      </c>
      <c r="K353" s="5">
        <v>6070923</v>
      </c>
      <c r="L353" s="5">
        <v>292871</v>
      </c>
      <c r="M353" s="5">
        <v>19</v>
      </c>
      <c r="N353" s="5">
        <v>1</v>
      </c>
      <c r="O353" s="5">
        <v>18.7</v>
      </c>
      <c r="P353" s="5"/>
    </row>
    <row r="354" spans="1:16" x14ac:dyDescent="0.25">
      <c r="A354" s="4" t="s">
        <v>21</v>
      </c>
      <c r="B354" s="4" t="s">
        <v>131</v>
      </c>
      <c r="C354" s="5">
        <v>39659</v>
      </c>
      <c r="D354" s="4" t="s">
        <v>33</v>
      </c>
      <c r="E354" s="4" t="s">
        <v>43</v>
      </c>
      <c r="F354" s="4" t="s">
        <v>161</v>
      </c>
      <c r="G354" s="4" t="s">
        <v>26</v>
      </c>
      <c r="H354" s="4" t="s">
        <v>18</v>
      </c>
      <c r="I354" s="4" t="s">
        <v>715</v>
      </c>
      <c r="J354" s="4" t="s">
        <v>715</v>
      </c>
      <c r="K354" s="5">
        <v>6074420</v>
      </c>
      <c r="L354" s="5">
        <v>286679</v>
      </c>
      <c r="M354" s="5">
        <v>19</v>
      </c>
      <c r="N354" s="5">
        <v>1</v>
      </c>
      <c r="O354" s="5">
        <v>0.83</v>
      </c>
      <c r="P354" s="5"/>
    </row>
    <row r="355" spans="1:16" x14ac:dyDescent="0.25">
      <c r="A355" s="4" t="s">
        <v>21</v>
      </c>
      <c r="B355" s="4" t="s">
        <v>131</v>
      </c>
      <c r="C355" s="5">
        <v>39666</v>
      </c>
      <c r="D355" s="4" t="s">
        <v>33</v>
      </c>
      <c r="E355" s="4" t="s">
        <v>66</v>
      </c>
      <c r="F355" s="4" t="s">
        <v>66</v>
      </c>
      <c r="G355" s="4" t="s">
        <v>26</v>
      </c>
      <c r="H355" s="4" t="s">
        <v>18</v>
      </c>
      <c r="I355" s="4" t="s">
        <v>715</v>
      </c>
      <c r="J355" s="4" t="s">
        <v>715</v>
      </c>
      <c r="K355" s="5">
        <v>6072950</v>
      </c>
      <c r="L355" s="5">
        <v>261173</v>
      </c>
      <c r="M355" s="5">
        <v>19</v>
      </c>
      <c r="N355" s="5">
        <v>1</v>
      </c>
      <c r="O355" s="5">
        <v>0.42</v>
      </c>
      <c r="P355" s="5"/>
    </row>
    <row r="356" spans="1:16" x14ac:dyDescent="0.25">
      <c r="A356" s="4" t="s">
        <v>21</v>
      </c>
      <c r="B356" s="4" t="s">
        <v>131</v>
      </c>
      <c r="C356" s="5">
        <v>39669</v>
      </c>
      <c r="D356" s="4" t="s">
        <v>33</v>
      </c>
      <c r="E356" s="4" t="s">
        <v>43</v>
      </c>
      <c r="F356" s="4" t="s">
        <v>135</v>
      </c>
      <c r="G356" s="4" t="s">
        <v>26</v>
      </c>
      <c r="H356" s="4" t="s">
        <v>18</v>
      </c>
      <c r="I356" s="4" t="s">
        <v>715</v>
      </c>
      <c r="J356" s="4" t="s">
        <v>715</v>
      </c>
      <c r="K356" s="5">
        <v>6064025</v>
      </c>
      <c r="L356" s="5">
        <v>284626</v>
      </c>
      <c r="M356" s="5">
        <v>19</v>
      </c>
      <c r="N356" s="5">
        <v>1</v>
      </c>
      <c r="O356" s="5">
        <v>7.2</v>
      </c>
      <c r="P356" s="5"/>
    </row>
    <row r="357" spans="1:16" x14ac:dyDescent="0.25">
      <c r="A357" s="4" t="s">
        <v>54</v>
      </c>
      <c r="B357" s="4" t="s">
        <v>181</v>
      </c>
      <c r="C357" s="5">
        <v>37223</v>
      </c>
      <c r="D357" s="4" t="s">
        <v>97</v>
      </c>
      <c r="E357" s="4" t="s">
        <v>182</v>
      </c>
      <c r="F357" s="4" t="s">
        <v>183</v>
      </c>
      <c r="G357" s="4" t="s">
        <v>57</v>
      </c>
      <c r="H357" s="4" t="s">
        <v>641</v>
      </c>
      <c r="I357" s="4" t="s">
        <v>642</v>
      </c>
      <c r="J357" s="4" t="s">
        <v>642</v>
      </c>
      <c r="K357" s="5">
        <v>5693901</v>
      </c>
      <c r="L357" s="5">
        <v>704505</v>
      </c>
      <c r="M357" s="5">
        <v>18</v>
      </c>
      <c r="N357" s="5">
        <v>1</v>
      </c>
      <c r="O357" s="5">
        <v>0.5</v>
      </c>
      <c r="P357" s="5"/>
    </row>
    <row r="358" spans="1:16" x14ac:dyDescent="0.25">
      <c r="A358" s="4" t="s">
        <v>54</v>
      </c>
      <c r="B358" s="4" t="s">
        <v>181</v>
      </c>
      <c r="C358" s="5">
        <v>37225</v>
      </c>
      <c r="D358" s="4" t="s">
        <v>97</v>
      </c>
      <c r="E358" s="4" t="s">
        <v>182</v>
      </c>
      <c r="F358" s="4" t="s">
        <v>183</v>
      </c>
      <c r="G358" s="4" t="s">
        <v>57</v>
      </c>
      <c r="H358" s="4" t="s">
        <v>641</v>
      </c>
      <c r="I358" s="4" t="s">
        <v>642</v>
      </c>
      <c r="J358" s="4" t="s">
        <v>642</v>
      </c>
      <c r="K358" s="5">
        <v>5695935</v>
      </c>
      <c r="L358" s="5">
        <v>700755</v>
      </c>
      <c r="M358" s="5">
        <v>18</v>
      </c>
      <c r="N358" s="5">
        <v>1</v>
      </c>
      <c r="O358" s="5">
        <v>0.4</v>
      </c>
      <c r="P358" s="5"/>
    </row>
    <row r="359" spans="1:16" x14ac:dyDescent="0.25">
      <c r="A359" s="4" t="s">
        <v>54</v>
      </c>
      <c r="B359" s="4" t="s">
        <v>181</v>
      </c>
      <c r="C359" s="5">
        <v>37231</v>
      </c>
      <c r="D359" s="4" t="s">
        <v>97</v>
      </c>
      <c r="E359" s="4" t="s">
        <v>184</v>
      </c>
      <c r="F359" s="4" t="s">
        <v>185</v>
      </c>
      <c r="G359" s="4" t="s">
        <v>57</v>
      </c>
      <c r="H359" s="4" t="s">
        <v>641</v>
      </c>
      <c r="I359" s="4" t="s">
        <v>642</v>
      </c>
      <c r="J359" s="4" t="s">
        <v>642</v>
      </c>
      <c r="K359" s="5">
        <v>5708223</v>
      </c>
      <c r="L359" s="5">
        <v>732663</v>
      </c>
      <c r="M359" s="5">
        <v>18</v>
      </c>
      <c r="N359" s="5">
        <v>1</v>
      </c>
      <c r="O359" s="5">
        <v>3</v>
      </c>
      <c r="P359" s="5"/>
    </row>
    <row r="360" spans="1:16" x14ac:dyDescent="0.25">
      <c r="A360" s="4" t="s">
        <v>21</v>
      </c>
      <c r="B360" s="4" t="s">
        <v>186</v>
      </c>
      <c r="C360" s="5">
        <v>35448</v>
      </c>
      <c r="D360" s="4" t="s">
        <v>58</v>
      </c>
      <c r="E360" s="4" t="s">
        <v>59</v>
      </c>
      <c r="F360" s="4" t="s">
        <v>187</v>
      </c>
      <c r="G360" s="4" t="s">
        <v>57</v>
      </c>
      <c r="H360" s="4" t="s">
        <v>27</v>
      </c>
      <c r="I360" s="4" t="s">
        <v>61</v>
      </c>
      <c r="J360" s="4" t="s">
        <v>638</v>
      </c>
      <c r="K360" s="5">
        <v>5850460</v>
      </c>
      <c r="L360" s="5">
        <v>745867</v>
      </c>
      <c r="M360" s="5">
        <v>18</v>
      </c>
      <c r="N360" s="5">
        <v>1</v>
      </c>
      <c r="O360" s="5">
        <v>16.2</v>
      </c>
      <c r="P360" s="5"/>
    </row>
    <row r="361" spans="1:16" x14ac:dyDescent="0.25">
      <c r="A361" s="4" t="s">
        <v>21</v>
      </c>
      <c r="B361" s="4" t="s">
        <v>186</v>
      </c>
      <c r="C361" s="5">
        <v>35544</v>
      </c>
      <c r="D361" s="4" t="s">
        <v>58</v>
      </c>
      <c r="E361" s="4" t="s">
        <v>110</v>
      </c>
      <c r="F361" s="4" t="s">
        <v>110</v>
      </c>
      <c r="G361" s="4" t="s">
        <v>57</v>
      </c>
      <c r="H361" s="4" t="s">
        <v>27</v>
      </c>
      <c r="I361" s="4" t="s">
        <v>61</v>
      </c>
      <c r="J361" s="4" t="s">
        <v>638</v>
      </c>
      <c r="K361" s="5">
        <v>5896255</v>
      </c>
      <c r="L361" s="5">
        <v>753932</v>
      </c>
      <c r="M361" s="5">
        <v>18</v>
      </c>
      <c r="N361" s="5">
        <v>1</v>
      </c>
      <c r="O361" s="5">
        <v>28</v>
      </c>
      <c r="P361" s="5"/>
    </row>
    <row r="362" spans="1:16" x14ac:dyDescent="0.25">
      <c r="A362" s="4" t="s">
        <v>21</v>
      </c>
      <c r="B362" s="4" t="s">
        <v>186</v>
      </c>
      <c r="C362" s="5">
        <v>35550</v>
      </c>
      <c r="D362" s="4" t="s">
        <v>58</v>
      </c>
      <c r="E362" s="4" t="s">
        <v>110</v>
      </c>
      <c r="F362" s="4" t="s">
        <v>110</v>
      </c>
      <c r="G362" s="4" t="s">
        <v>57</v>
      </c>
      <c r="H362" s="4" t="s">
        <v>27</v>
      </c>
      <c r="I362" s="4" t="s">
        <v>61</v>
      </c>
      <c r="J362" s="4" t="s">
        <v>638</v>
      </c>
      <c r="K362" s="5">
        <v>5896185</v>
      </c>
      <c r="L362" s="5">
        <v>755572</v>
      </c>
      <c r="M362" s="5">
        <v>18</v>
      </c>
      <c r="N362" s="5">
        <v>1</v>
      </c>
      <c r="O362" s="5">
        <v>14.9</v>
      </c>
      <c r="P362" s="5"/>
    </row>
    <row r="363" spans="1:16" x14ac:dyDescent="0.25">
      <c r="A363" s="4" t="s">
        <v>21</v>
      </c>
      <c r="B363" s="4" t="s">
        <v>186</v>
      </c>
      <c r="C363" s="5">
        <v>35551</v>
      </c>
      <c r="D363" s="4" t="s">
        <v>58</v>
      </c>
      <c r="E363" s="4" t="s">
        <v>188</v>
      </c>
      <c r="F363" s="4" t="s">
        <v>189</v>
      </c>
      <c r="G363" s="4" t="s">
        <v>57</v>
      </c>
      <c r="H363" s="4" t="s">
        <v>27</v>
      </c>
      <c r="I363" s="4" t="s">
        <v>61</v>
      </c>
      <c r="J363" s="4" t="s">
        <v>61</v>
      </c>
      <c r="K363" s="5">
        <v>5836681</v>
      </c>
      <c r="L363" s="5">
        <v>723870</v>
      </c>
      <c r="M363" s="5">
        <v>18</v>
      </c>
      <c r="N363" s="5">
        <v>1</v>
      </c>
      <c r="O363" s="5">
        <v>23.5</v>
      </c>
      <c r="P363" s="5"/>
    </row>
    <row r="364" spans="1:16" x14ac:dyDescent="0.25">
      <c r="A364" s="4" t="s">
        <v>21</v>
      </c>
      <c r="B364" s="4" t="s">
        <v>186</v>
      </c>
      <c r="C364" s="5">
        <v>35564</v>
      </c>
      <c r="D364" s="4" t="s">
        <v>58</v>
      </c>
      <c r="E364" s="4" t="s">
        <v>59</v>
      </c>
      <c r="F364" s="4" t="s">
        <v>190</v>
      </c>
      <c r="G364" s="4" t="s">
        <v>57</v>
      </c>
      <c r="H364" s="4" t="s">
        <v>27</v>
      </c>
      <c r="I364" s="4" t="s">
        <v>61</v>
      </c>
      <c r="J364" s="4" t="s">
        <v>61</v>
      </c>
      <c r="K364" s="5">
        <v>5858389</v>
      </c>
      <c r="L364" s="5">
        <v>719929</v>
      </c>
      <c r="M364" s="5">
        <v>18</v>
      </c>
      <c r="N364" s="5">
        <v>1</v>
      </c>
      <c r="O364" s="5">
        <v>23.3</v>
      </c>
      <c r="P364" s="5"/>
    </row>
    <row r="365" spans="1:16" x14ac:dyDescent="0.25">
      <c r="A365" s="4" t="s">
        <v>21</v>
      </c>
      <c r="B365" s="4" t="s">
        <v>186</v>
      </c>
      <c r="C365" s="5">
        <v>35567</v>
      </c>
      <c r="D365" s="4" t="s">
        <v>97</v>
      </c>
      <c r="E365" s="4" t="s">
        <v>191</v>
      </c>
      <c r="F365" s="4" t="s">
        <v>192</v>
      </c>
      <c r="G365" s="4" t="s">
        <v>57</v>
      </c>
      <c r="H365" s="4" t="s">
        <v>27</v>
      </c>
      <c r="I365" s="4" t="s">
        <v>638</v>
      </c>
      <c r="J365" s="4" t="s">
        <v>61</v>
      </c>
      <c r="K365" s="5">
        <v>5694564</v>
      </c>
      <c r="L365" s="5">
        <v>736999</v>
      </c>
      <c r="M365" s="5">
        <v>18</v>
      </c>
      <c r="N365" s="5">
        <v>1</v>
      </c>
      <c r="O365" s="5">
        <v>21.5</v>
      </c>
      <c r="P365" s="5"/>
    </row>
    <row r="366" spans="1:16" x14ac:dyDescent="0.25">
      <c r="A366" s="4" t="s">
        <v>21</v>
      </c>
      <c r="B366" s="4" t="s">
        <v>186</v>
      </c>
      <c r="C366" s="5">
        <v>35647</v>
      </c>
      <c r="D366" s="4" t="s">
        <v>58</v>
      </c>
      <c r="E366" s="4" t="s">
        <v>111</v>
      </c>
      <c r="F366" s="4" t="s">
        <v>193</v>
      </c>
      <c r="G366" s="4" t="s">
        <v>57</v>
      </c>
      <c r="H366" s="4" t="s">
        <v>27</v>
      </c>
      <c r="I366" s="4" t="s">
        <v>61</v>
      </c>
      <c r="J366" s="4" t="s">
        <v>638</v>
      </c>
      <c r="K366" s="5">
        <v>5929196</v>
      </c>
      <c r="L366" s="5">
        <v>748341</v>
      </c>
      <c r="M366" s="5">
        <v>18</v>
      </c>
      <c r="N366" s="5">
        <v>1</v>
      </c>
      <c r="O366" s="5">
        <v>29</v>
      </c>
      <c r="P366" s="5"/>
    </row>
    <row r="367" spans="1:16" x14ac:dyDescent="0.25">
      <c r="A367" s="4" t="s">
        <v>21</v>
      </c>
      <c r="B367" s="4" t="s">
        <v>186</v>
      </c>
      <c r="C367" s="5">
        <v>35655</v>
      </c>
      <c r="D367" s="4" t="s">
        <v>33</v>
      </c>
      <c r="E367" s="4" t="s">
        <v>180</v>
      </c>
      <c r="F367" s="4" t="s">
        <v>195</v>
      </c>
      <c r="G367" s="4" t="s">
        <v>57</v>
      </c>
      <c r="H367" s="4" t="s">
        <v>27</v>
      </c>
      <c r="I367" s="4" t="s">
        <v>61</v>
      </c>
      <c r="J367" s="4" t="s">
        <v>638</v>
      </c>
      <c r="K367" s="5">
        <v>6025496</v>
      </c>
      <c r="L367" s="5">
        <v>767872</v>
      </c>
      <c r="M367" s="5">
        <v>18</v>
      </c>
      <c r="N367" s="5">
        <v>1</v>
      </c>
      <c r="O367" s="5">
        <v>42</v>
      </c>
      <c r="P367" s="5"/>
    </row>
    <row r="368" spans="1:16" x14ac:dyDescent="0.25">
      <c r="A368" s="4" t="s">
        <v>21</v>
      </c>
      <c r="B368" s="4" t="s">
        <v>186</v>
      </c>
      <c r="C368" s="5">
        <v>35656</v>
      </c>
      <c r="D368" s="4" t="s">
        <v>58</v>
      </c>
      <c r="E368" s="4" t="s">
        <v>196</v>
      </c>
      <c r="F368" s="4" t="s">
        <v>197</v>
      </c>
      <c r="G368" s="4" t="s">
        <v>57</v>
      </c>
      <c r="H368" s="4" t="s">
        <v>27</v>
      </c>
      <c r="I368" s="4" t="s">
        <v>61</v>
      </c>
      <c r="J368" s="4" t="s">
        <v>61</v>
      </c>
      <c r="K368" s="5">
        <v>5971616</v>
      </c>
      <c r="L368" s="5">
        <v>254238</v>
      </c>
      <c r="M368" s="5">
        <v>19</v>
      </c>
      <c r="N368" s="5">
        <v>1</v>
      </c>
      <c r="O368" s="5">
        <v>44</v>
      </c>
      <c r="P368" s="5"/>
    </row>
    <row r="369" spans="1:16" x14ac:dyDescent="0.25">
      <c r="A369" s="4" t="s">
        <v>21</v>
      </c>
      <c r="B369" s="4" t="s">
        <v>186</v>
      </c>
      <c r="C369" s="5">
        <v>35660</v>
      </c>
      <c r="D369" s="4" t="s">
        <v>97</v>
      </c>
      <c r="E369" s="4" t="s">
        <v>184</v>
      </c>
      <c r="F369" s="4" t="s">
        <v>198</v>
      </c>
      <c r="G369" s="4" t="s">
        <v>57</v>
      </c>
      <c r="H369" s="4" t="s">
        <v>27</v>
      </c>
      <c r="I369" s="4" t="s">
        <v>638</v>
      </c>
      <c r="J369" s="4" t="s">
        <v>61</v>
      </c>
      <c r="K369" s="5">
        <v>5714502</v>
      </c>
      <c r="L369" s="5">
        <v>758160</v>
      </c>
      <c r="M369" s="5">
        <v>18</v>
      </c>
      <c r="N369" s="5">
        <v>1</v>
      </c>
      <c r="O369" s="5">
        <v>43</v>
      </c>
      <c r="P369" s="5"/>
    </row>
    <row r="370" spans="1:16" x14ac:dyDescent="0.25">
      <c r="A370" s="4" t="s">
        <v>21</v>
      </c>
      <c r="B370" s="4" t="s">
        <v>186</v>
      </c>
      <c r="C370" s="5">
        <v>35668</v>
      </c>
      <c r="D370" s="4" t="s">
        <v>97</v>
      </c>
      <c r="E370" s="4" t="s">
        <v>184</v>
      </c>
      <c r="F370" s="4" t="s">
        <v>198</v>
      </c>
      <c r="G370" s="4" t="s">
        <v>57</v>
      </c>
      <c r="H370" s="4" t="s">
        <v>27</v>
      </c>
      <c r="I370" s="4" t="s">
        <v>638</v>
      </c>
      <c r="J370" s="4" t="s">
        <v>61</v>
      </c>
      <c r="K370" s="5">
        <v>5714502</v>
      </c>
      <c r="L370" s="5">
        <v>757087</v>
      </c>
      <c r="M370" s="5">
        <v>18</v>
      </c>
      <c r="N370" s="5">
        <v>1</v>
      </c>
      <c r="O370" s="5">
        <v>22</v>
      </c>
      <c r="P370" s="5"/>
    </row>
    <row r="371" spans="1:16" x14ac:dyDescent="0.25">
      <c r="A371" s="4" t="s">
        <v>54</v>
      </c>
      <c r="B371" s="4" t="s">
        <v>186</v>
      </c>
      <c r="C371" s="5">
        <v>35731</v>
      </c>
      <c r="D371" s="4" t="s">
        <v>58</v>
      </c>
      <c r="E371" s="4" t="s">
        <v>59</v>
      </c>
      <c r="F371" s="4" t="s">
        <v>112</v>
      </c>
      <c r="G371" s="4" t="s">
        <v>57</v>
      </c>
      <c r="H371" s="4" t="s">
        <v>641</v>
      </c>
      <c r="I371" s="4" t="s">
        <v>642</v>
      </c>
      <c r="J371" s="4" t="s">
        <v>642</v>
      </c>
      <c r="K371" s="5">
        <v>5859978</v>
      </c>
      <c r="L371" s="5">
        <v>730066</v>
      </c>
      <c r="M371" s="5">
        <v>18</v>
      </c>
      <c r="N371" s="5">
        <v>1</v>
      </c>
      <c r="O371" s="5">
        <v>0.5</v>
      </c>
      <c r="P371" s="5"/>
    </row>
    <row r="372" spans="1:16" x14ac:dyDescent="0.25">
      <c r="A372" s="4" t="s">
        <v>21</v>
      </c>
      <c r="B372" s="4" t="s">
        <v>186</v>
      </c>
      <c r="C372" s="5">
        <v>35758</v>
      </c>
      <c r="D372" s="4" t="s">
        <v>33</v>
      </c>
      <c r="E372" s="4" t="s">
        <v>178</v>
      </c>
      <c r="F372" s="4" t="s">
        <v>199</v>
      </c>
      <c r="G372" s="4" t="s">
        <v>57</v>
      </c>
      <c r="H372" s="4" t="s">
        <v>27</v>
      </c>
      <c r="I372" s="4" t="s">
        <v>61</v>
      </c>
      <c r="J372" s="4" t="s">
        <v>61</v>
      </c>
      <c r="K372" s="5">
        <v>6013151</v>
      </c>
      <c r="L372" s="5">
        <v>769856</v>
      </c>
      <c r="M372" s="5">
        <v>18</v>
      </c>
      <c r="N372" s="5">
        <v>1</v>
      </c>
      <c r="O372" s="5">
        <v>16</v>
      </c>
      <c r="P372" s="5"/>
    </row>
    <row r="373" spans="1:16" x14ac:dyDescent="0.25">
      <c r="A373" s="4" t="s">
        <v>21</v>
      </c>
      <c r="B373" s="4" t="s">
        <v>186</v>
      </c>
      <c r="C373" s="5">
        <v>35773</v>
      </c>
      <c r="D373" s="4" t="s">
        <v>33</v>
      </c>
      <c r="E373" s="4" t="s">
        <v>178</v>
      </c>
      <c r="F373" s="4" t="s">
        <v>199</v>
      </c>
      <c r="G373" s="4" t="s">
        <v>57</v>
      </c>
      <c r="H373" s="4" t="s">
        <v>27</v>
      </c>
      <c r="I373" s="4" t="s">
        <v>61</v>
      </c>
      <c r="J373" s="4" t="s">
        <v>61</v>
      </c>
      <c r="K373" s="5">
        <v>6013567</v>
      </c>
      <c r="L373" s="5">
        <v>768946</v>
      </c>
      <c r="M373" s="5">
        <v>18</v>
      </c>
      <c r="N373" s="5">
        <v>1</v>
      </c>
      <c r="O373" s="5">
        <v>24</v>
      </c>
      <c r="P373" s="5"/>
    </row>
    <row r="374" spans="1:16" x14ac:dyDescent="0.25">
      <c r="A374" s="4" t="s">
        <v>21</v>
      </c>
      <c r="B374" s="4" t="s">
        <v>186</v>
      </c>
      <c r="C374" s="5">
        <v>35782</v>
      </c>
      <c r="D374" s="4" t="s">
        <v>33</v>
      </c>
      <c r="E374" s="4" t="s">
        <v>180</v>
      </c>
      <c r="F374" s="4" t="s">
        <v>195</v>
      </c>
      <c r="G374" s="4" t="s">
        <v>57</v>
      </c>
      <c r="H374" s="4" t="s">
        <v>27</v>
      </c>
      <c r="I374" s="4" t="s">
        <v>61</v>
      </c>
      <c r="J374" s="4" t="s">
        <v>638</v>
      </c>
      <c r="K374" s="5">
        <v>6025189</v>
      </c>
      <c r="L374" s="5">
        <v>769399</v>
      </c>
      <c r="M374" s="5">
        <v>18</v>
      </c>
      <c r="N374" s="5">
        <v>1</v>
      </c>
      <c r="O374" s="5">
        <v>54</v>
      </c>
      <c r="P374" s="5"/>
    </row>
    <row r="375" spans="1:16" x14ac:dyDescent="0.25">
      <c r="A375" s="4" t="s">
        <v>21</v>
      </c>
      <c r="B375" s="4" t="s">
        <v>186</v>
      </c>
      <c r="C375" s="5">
        <v>35783</v>
      </c>
      <c r="D375" s="4" t="s">
        <v>58</v>
      </c>
      <c r="E375" s="4" t="s">
        <v>200</v>
      </c>
      <c r="F375" s="4" t="s">
        <v>201</v>
      </c>
      <c r="G375" s="4" t="s">
        <v>57</v>
      </c>
      <c r="H375" s="4" t="s">
        <v>27</v>
      </c>
      <c r="I375" s="4" t="s">
        <v>61</v>
      </c>
      <c r="J375" s="4" t="s">
        <v>61</v>
      </c>
      <c r="K375" s="5">
        <v>5832652</v>
      </c>
      <c r="L375" s="5">
        <v>751043</v>
      </c>
      <c r="M375" s="5">
        <v>18</v>
      </c>
      <c r="N375" s="5">
        <v>1</v>
      </c>
      <c r="O375" s="5">
        <v>20</v>
      </c>
      <c r="P375" s="5"/>
    </row>
    <row r="376" spans="1:16" x14ac:dyDescent="0.25">
      <c r="A376" s="4" t="s">
        <v>21</v>
      </c>
      <c r="B376" s="4" t="s">
        <v>186</v>
      </c>
      <c r="C376" s="5">
        <v>35797</v>
      </c>
      <c r="D376" s="4" t="s">
        <v>58</v>
      </c>
      <c r="E376" s="4" t="s">
        <v>59</v>
      </c>
      <c r="F376" s="4" t="s">
        <v>202</v>
      </c>
      <c r="G376" s="4" t="s">
        <v>57</v>
      </c>
      <c r="H376" s="4" t="s">
        <v>27</v>
      </c>
      <c r="I376" s="4" t="s">
        <v>61</v>
      </c>
      <c r="J376" s="4" t="s">
        <v>61</v>
      </c>
      <c r="K376" s="5">
        <v>5855859</v>
      </c>
      <c r="L376" s="5">
        <v>713322</v>
      </c>
      <c r="M376" s="5">
        <v>18</v>
      </c>
      <c r="N376" s="5">
        <v>1</v>
      </c>
      <c r="O376" s="5">
        <v>19</v>
      </c>
      <c r="P376" s="5"/>
    </row>
    <row r="377" spans="1:16" x14ac:dyDescent="0.25">
      <c r="A377" s="4" t="s">
        <v>21</v>
      </c>
      <c r="B377" s="4" t="s">
        <v>186</v>
      </c>
      <c r="C377" s="5">
        <v>35800</v>
      </c>
      <c r="D377" s="4" t="s">
        <v>33</v>
      </c>
      <c r="E377" s="4" t="s">
        <v>180</v>
      </c>
      <c r="F377" s="4" t="s">
        <v>195</v>
      </c>
      <c r="G377" s="4" t="s">
        <v>57</v>
      </c>
      <c r="H377" s="4" t="s">
        <v>27</v>
      </c>
      <c r="I377" s="4" t="s">
        <v>61</v>
      </c>
      <c r="J377" s="4" t="s">
        <v>638</v>
      </c>
      <c r="K377" s="5">
        <v>6023911</v>
      </c>
      <c r="L377" s="5">
        <v>770036</v>
      </c>
      <c r="M377" s="5">
        <v>18</v>
      </c>
      <c r="N377" s="5">
        <v>1</v>
      </c>
      <c r="O377" s="5">
        <v>45</v>
      </c>
      <c r="P377" s="5"/>
    </row>
    <row r="378" spans="1:16" x14ac:dyDescent="0.25">
      <c r="A378" s="4" t="s">
        <v>21</v>
      </c>
      <c r="B378" s="4" t="s">
        <v>186</v>
      </c>
      <c r="C378" s="5">
        <v>35995</v>
      </c>
      <c r="D378" s="4" t="s">
        <v>58</v>
      </c>
      <c r="E378" s="4" t="s">
        <v>59</v>
      </c>
      <c r="F378" s="4" t="s">
        <v>203</v>
      </c>
      <c r="G378" s="4" t="s">
        <v>57</v>
      </c>
      <c r="H378" s="4" t="s">
        <v>27</v>
      </c>
      <c r="I378" s="4" t="s">
        <v>61</v>
      </c>
      <c r="J378" s="4" t="s">
        <v>638</v>
      </c>
      <c r="K378" s="5">
        <v>5846057</v>
      </c>
      <c r="L378" s="5">
        <v>719559</v>
      </c>
      <c r="M378" s="5">
        <v>18</v>
      </c>
      <c r="N378" s="5">
        <v>2</v>
      </c>
      <c r="O378" s="5">
        <v>50</v>
      </c>
      <c r="P378" s="5"/>
    </row>
    <row r="379" spans="1:16" x14ac:dyDescent="0.25">
      <c r="A379" s="4" t="s">
        <v>21</v>
      </c>
      <c r="B379" s="4" t="s">
        <v>186</v>
      </c>
      <c r="C379" s="5">
        <v>36079</v>
      </c>
      <c r="D379" s="4" t="s">
        <v>97</v>
      </c>
      <c r="E379" s="4" t="s">
        <v>204</v>
      </c>
      <c r="F379" s="4" t="s">
        <v>205</v>
      </c>
      <c r="G379" s="4" t="s">
        <v>57</v>
      </c>
      <c r="H379" s="4" t="s">
        <v>27</v>
      </c>
      <c r="I379" s="4" t="s">
        <v>61</v>
      </c>
      <c r="J379" s="4" t="s">
        <v>638</v>
      </c>
      <c r="K379" s="5">
        <v>5662123</v>
      </c>
      <c r="L379" s="5">
        <v>732441</v>
      </c>
      <c r="M379" s="5">
        <v>18</v>
      </c>
      <c r="N379" s="5">
        <v>1</v>
      </c>
      <c r="O379" s="5">
        <v>28</v>
      </c>
      <c r="P379" s="5"/>
    </row>
    <row r="380" spans="1:16" x14ac:dyDescent="0.25">
      <c r="A380" s="4" t="s">
        <v>21</v>
      </c>
      <c r="B380" s="4" t="s">
        <v>186</v>
      </c>
      <c r="C380" s="5">
        <v>36314</v>
      </c>
      <c r="D380" s="4" t="s">
        <v>33</v>
      </c>
      <c r="E380" s="4" t="s">
        <v>206</v>
      </c>
      <c r="F380" s="4" t="s">
        <v>207</v>
      </c>
      <c r="G380" s="4" t="s">
        <v>57</v>
      </c>
      <c r="H380" s="4" t="s">
        <v>27</v>
      </c>
      <c r="I380" s="4" t="s">
        <v>61</v>
      </c>
      <c r="J380" s="4" t="s">
        <v>638</v>
      </c>
      <c r="K380" s="5">
        <v>6026742</v>
      </c>
      <c r="L380" s="5">
        <v>766311</v>
      </c>
      <c r="M380" s="5">
        <v>18</v>
      </c>
      <c r="N380" s="5">
        <v>2</v>
      </c>
      <c r="O380" s="5">
        <v>77</v>
      </c>
      <c r="P380" s="5"/>
    </row>
    <row r="381" spans="1:16" x14ac:dyDescent="0.25">
      <c r="A381" s="4" t="s">
        <v>21</v>
      </c>
      <c r="B381" s="4" t="s">
        <v>186</v>
      </c>
      <c r="C381" s="5">
        <v>36316</v>
      </c>
      <c r="D381" s="4" t="s">
        <v>33</v>
      </c>
      <c r="E381" s="4" t="s">
        <v>180</v>
      </c>
      <c r="F381" s="4" t="s">
        <v>195</v>
      </c>
      <c r="G381" s="4" t="s">
        <v>57</v>
      </c>
      <c r="H381" s="4" t="s">
        <v>27</v>
      </c>
      <c r="I381" s="4" t="s">
        <v>61</v>
      </c>
      <c r="J381" s="4" t="s">
        <v>638</v>
      </c>
      <c r="K381" s="5">
        <v>6024747</v>
      </c>
      <c r="L381" s="5">
        <v>770140</v>
      </c>
      <c r="M381" s="5">
        <v>18</v>
      </c>
      <c r="N381" s="5">
        <v>1</v>
      </c>
      <c r="O381" s="5">
        <v>52</v>
      </c>
      <c r="P381" s="5"/>
    </row>
    <row r="382" spans="1:16" x14ac:dyDescent="0.25">
      <c r="A382" s="4" t="s">
        <v>21</v>
      </c>
      <c r="B382" s="4" t="s">
        <v>186</v>
      </c>
      <c r="C382" s="5">
        <v>36343</v>
      </c>
      <c r="D382" s="4" t="s">
        <v>33</v>
      </c>
      <c r="E382" s="4" t="s">
        <v>180</v>
      </c>
      <c r="F382" s="4" t="s">
        <v>208</v>
      </c>
      <c r="G382" s="4" t="s">
        <v>57</v>
      </c>
      <c r="H382" s="4" t="s">
        <v>27</v>
      </c>
      <c r="I382" s="4" t="s">
        <v>61</v>
      </c>
      <c r="J382" s="4" t="s">
        <v>61</v>
      </c>
      <c r="K382" s="5">
        <v>5986923</v>
      </c>
      <c r="L382" s="5">
        <v>242822</v>
      </c>
      <c r="M382" s="5">
        <v>19</v>
      </c>
      <c r="N382" s="5">
        <v>1</v>
      </c>
      <c r="O382" s="5">
        <v>20</v>
      </c>
      <c r="P382" s="5"/>
    </row>
    <row r="383" spans="1:16" x14ac:dyDescent="0.25">
      <c r="A383" s="4" t="s">
        <v>21</v>
      </c>
      <c r="B383" s="4" t="s">
        <v>186</v>
      </c>
      <c r="C383" s="5">
        <v>36345</v>
      </c>
      <c r="D383" s="4" t="s">
        <v>33</v>
      </c>
      <c r="E383" s="4" t="s">
        <v>180</v>
      </c>
      <c r="F383" s="4" t="s">
        <v>208</v>
      </c>
      <c r="G383" s="4" t="s">
        <v>57</v>
      </c>
      <c r="H383" s="4" t="s">
        <v>27</v>
      </c>
      <c r="I383" s="4" t="s">
        <v>61</v>
      </c>
      <c r="J383" s="4" t="s">
        <v>61</v>
      </c>
      <c r="K383" s="5">
        <v>5986081</v>
      </c>
      <c r="L383" s="5">
        <v>242443</v>
      </c>
      <c r="M383" s="5">
        <v>19</v>
      </c>
      <c r="N383" s="5">
        <v>1</v>
      </c>
      <c r="O383" s="5">
        <v>29</v>
      </c>
      <c r="P383" s="5"/>
    </row>
    <row r="384" spans="1:16" x14ac:dyDescent="0.25">
      <c r="A384" s="4" t="s">
        <v>21</v>
      </c>
      <c r="B384" s="4" t="s">
        <v>186</v>
      </c>
      <c r="C384" s="5">
        <v>36430</v>
      </c>
      <c r="D384" s="4" t="s">
        <v>97</v>
      </c>
      <c r="E384" s="4" t="s">
        <v>209</v>
      </c>
      <c r="F384" s="4" t="s">
        <v>210</v>
      </c>
      <c r="G384" s="4" t="s">
        <v>57</v>
      </c>
      <c r="H384" s="4" t="s">
        <v>173</v>
      </c>
      <c r="I384" s="4" t="s">
        <v>638</v>
      </c>
      <c r="J384" s="4" t="s">
        <v>61</v>
      </c>
      <c r="K384" s="5">
        <v>5728857</v>
      </c>
      <c r="L384" s="5">
        <v>681243</v>
      </c>
      <c r="M384" s="5">
        <v>18</v>
      </c>
      <c r="N384" s="5">
        <v>1</v>
      </c>
      <c r="O384" s="5">
        <v>1.31</v>
      </c>
      <c r="P384" s="5"/>
    </row>
    <row r="385" spans="1:16" x14ac:dyDescent="0.25">
      <c r="A385" s="4" t="s">
        <v>21</v>
      </c>
      <c r="B385" s="4" t="s">
        <v>186</v>
      </c>
      <c r="C385" s="5">
        <v>36510</v>
      </c>
      <c r="D385" s="4" t="s">
        <v>97</v>
      </c>
      <c r="E385" s="4" t="s">
        <v>211</v>
      </c>
      <c r="F385" s="4" t="s">
        <v>212</v>
      </c>
      <c r="G385" s="4" t="s">
        <v>57</v>
      </c>
      <c r="H385" s="4" t="s">
        <v>27</v>
      </c>
      <c r="I385" s="4" t="s">
        <v>61</v>
      </c>
      <c r="J385" s="4" t="s">
        <v>61</v>
      </c>
      <c r="K385" s="5">
        <v>5824191</v>
      </c>
      <c r="L385" s="5">
        <v>713910</v>
      </c>
      <c r="M385" s="5">
        <v>18</v>
      </c>
      <c r="N385" s="5">
        <v>1</v>
      </c>
      <c r="O385" s="5">
        <v>44</v>
      </c>
      <c r="P385" s="5"/>
    </row>
    <row r="386" spans="1:16" x14ac:dyDescent="0.25">
      <c r="A386" s="4" t="s">
        <v>13</v>
      </c>
      <c r="B386" s="4" t="s">
        <v>186</v>
      </c>
      <c r="C386" s="5">
        <v>36526</v>
      </c>
      <c r="D386" s="4" t="s">
        <v>97</v>
      </c>
      <c r="E386" s="4" t="s">
        <v>209</v>
      </c>
      <c r="F386" s="4" t="s">
        <v>210</v>
      </c>
      <c r="G386" s="4" t="s">
        <v>57</v>
      </c>
      <c r="H386" s="4" t="s">
        <v>18</v>
      </c>
      <c r="I386" s="4" t="s">
        <v>61</v>
      </c>
      <c r="J386" s="4" t="s">
        <v>61</v>
      </c>
      <c r="K386" s="5">
        <v>5728857</v>
      </c>
      <c r="L386" s="5">
        <v>681243</v>
      </c>
      <c r="M386" s="5">
        <v>18</v>
      </c>
      <c r="N386" s="5">
        <v>1</v>
      </c>
      <c r="O386" s="5">
        <v>1</v>
      </c>
      <c r="P386" s="5"/>
    </row>
    <row r="387" spans="1:16" x14ac:dyDescent="0.25">
      <c r="A387" s="4" t="s">
        <v>21</v>
      </c>
      <c r="B387" s="4" t="s">
        <v>186</v>
      </c>
      <c r="C387" s="5">
        <v>36533</v>
      </c>
      <c r="D387" s="4" t="s">
        <v>33</v>
      </c>
      <c r="E387" s="4" t="s">
        <v>178</v>
      </c>
      <c r="F387" s="4" t="s">
        <v>199</v>
      </c>
      <c r="G387" s="4" t="s">
        <v>57</v>
      </c>
      <c r="H387" s="4" t="s">
        <v>27</v>
      </c>
      <c r="I387" s="4" t="s">
        <v>61</v>
      </c>
      <c r="J387" s="4" t="s">
        <v>61</v>
      </c>
      <c r="K387" s="5">
        <v>6013388</v>
      </c>
      <c r="L387" s="5">
        <v>768170</v>
      </c>
      <c r="M387" s="5">
        <v>18</v>
      </c>
      <c r="N387" s="5">
        <v>1</v>
      </c>
      <c r="O387" s="5">
        <v>7.6</v>
      </c>
      <c r="P387" s="5"/>
    </row>
    <row r="388" spans="1:16" x14ac:dyDescent="0.25">
      <c r="A388" s="4" t="s">
        <v>13</v>
      </c>
      <c r="B388" s="4" t="s">
        <v>186</v>
      </c>
      <c r="C388" s="5">
        <v>36893</v>
      </c>
      <c r="D388" s="4" t="s">
        <v>97</v>
      </c>
      <c r="E388" s="4" t="s">
        <v>182</v>
      </c>
      <c r="F388" s="4" t="s">
        <v>182</v>
      </c>
      <c r="G388" s="4" t="s">
        <v>57</v>
      </c>
      <c r="H388" s="4" t="s">
        <v>27</v>
      </c>
      <c r="I388" s="4" t="s">
        <v>61</v>
      </c>
      <c r="J388" s="4" t="s">
        <v>638</v>
      </c>
      <c r="K388" s="5">
        <v>5684382</v>
      </c>
      <c r="L388" s="5">
        <v>703267</v>
      </c>
      <c r="M388" s="5">
        <v>18</v>
      </c>
      <c r="N388" s="5">
        <v>1</v>
      </c>
      <c r="O388" s="5">
        <v>12</v>
      </c>
      <c r="P388" s="5"/>
    </row>
    <row r="389" spans="1:16" x14ac:dyDescent="0.25">
      <c r="A389" s="4" t="s">
        <v>21</v>
      </c>
      <c r="B389" s="4" t="s">
        <v>186</v>
      </c>
      <c r="C389" s="5">
        <v>36896</v>
      </c>
      <c r="D389" s="4" t="s">
        <v>97</v>
      </c>
      <c r="E389" s="4" t="s">
        <v>191</v>
      </c>
      <c r="F389" s="4" t="s">
        <v>213</v>
      </c>
      <c r="G389" s="4" t="s">
        <v>57</v>
      </c>
      <c r="H389" s="4" t="s">
        <v>27</v>
      </c>
      <c r="I389" s="4" t="s">
        <v>638</v>
      </c>
      <c r="J389" s="4" t="s">
        <v>61</v>
      </c>
      <c r="K389" s="5">
        <v>5679786</v>
      </c>
      <c r="L389" s="5">
        <v>735964</v>
      </c>
      <c r="M389" s="5">
        <v>18</v>
      </c>
      <c r="N389" s="5">
        <v>1</v>
      </c>
      <c r="O389" s="5">
        <v>15</v>
      </c>
      <c r="P389" s="5"/>
    </row>
    <row r="390" spans="1:16" x14ac:dyDescent="0.25">
      <c r="A390" s="4" t="s">
        <v>21</v>
      </c>
      <c r="B390" s="4" t="s">
        <v>186</v>
      </c>
      <c r="C390" s="5">
        <v>36975</v>
      </c>
      <c r="D390" s="4" t="s">
        <v>58</v>
      </c>
      <c r="E390" s="4" t="s">
        <v>101</v>
      </c>
      <c r="F390" s="4" t="s">
        <v>214</v>
      </c>
      <c r="G390" s="4" t="s">
        <v>57</v>
      </c>
      <c r="H390" s="4" t="s">
        <v>27</v>
      </c>
      <c r="I390" s="4" t="s">
        <v>61</v>
      </c>
      <c r="J390" s="4" t="s">
        <v>638</v>
      </c>
      <c r="K390" s="5">
        <v>5961906</v>
      </c>
      <c r="L390" s="5">
        <v>767065</v>
      </c>
      <c r="M390" s="5">
        <v>18</v>
      </c>
      <c r="N390" s="5">
        <v>1</v>
      </c>
      <c r="O390" s="5">
        <v>60</v>
      </c>
      <c r="P390" s="5"/>
    </row>
    <row r="391" spans="1:16" x14ac:dyDescent="0.25">
      <c r="A391" s="4" t="s">
        <v>13</v>
      </c>
      <c r="B391" s="4" t="s">
        <v>186</v>
      </c>
      <c r="C391" s="5">
        <v>37014</v>
      </c>
      <c r="D391" s="4" t="s">
        <v>97</v>
      </c>
      <c r="E391" s="4" t="s">
        <v>211</v>
      </c>
      <c r="F391" s="4" t="s">
        <v>215</v>
      </c>
      <c r="G391" s="4" t="s">
        <v>57</v>
      </c>
      <c r="H391" s="4" t="s">
        <v>173</v>
      </c>
      <c r="I391" s="4" t="s">
        <v>638</v>
      </c>
      <c r="J391" s="4" t="s">
        <v>61</v>
      </c>
      <c r="K391" s="5">
        <v>5818615</v>
      </c>
      <c r="L391" s="5">
        <v>709856</v>
      </c>
      <c r="M391" s="5">
        <v>18</v>
      </c>
      <c r="N391" s="5">
        <v>1</v>
      </c>
      <c r="O391" s="5">
        <v>2.6</v>
      </c>
      <c r="P391" s="5"/>
    </row>
    <row r="392" spans="1:16" x14ac:dyDescent="0.25">
      <c r="A392" s="4" t="s">
        <v>13</v>
      </c>
      <c r="B392" s="4" t="s">
        <v>186</v>
      </c>
      <c r="C392" s="5">
        <v>37020</v>
      </c>
      <c r="D392" s="4" t="s">
        <v>97</v>
      </c>
      <c r="E392" s="4" t="s">
        <v>216</v>
      </c>
      <c r="F392" s="4" t="s">
        <v>217</v>
      </c>
      <c r="G392" s="4" t="s">
        <v>57</v>
      </c>
      <c r="H392" s="4" t="s">
        <v>173</v>
      </c>
      <c r="I392" s="4" t="s">
        <v>61</v>
      </c>
      <c r="J392" s="4" t="s">
        <v>61</v>
      </c>
      <c r="K392" s="5">
        <v>5664548</v>
      </c>
      <c r="L392" s="5">
        <v>664180</v>
      </c>
      <c r="M392" s="5">
        <v>18</v>
      </c>
      <c r="N392" s="5">
        <v>1</v>
      </c>
      <c r="O392" s="5">
        <v>1.2</v>
      </c>
      <c r="P392" s="5"/>
    </row>
    <row r="393" spans="1:16" x14ac:dyDescent="0.25">
      <c r="A393" s="4" t="s">
        <v>54</v>
      </c>
      <c r="B393" s="4" t="s">
        <v>186</v>
      </c>
      <c r="C393" s="5">
        <v>37073</v>
      </c>
      <c r="D393" s="4" t="s">
        <v>97</v>
      </c>
      <c r="E393" s="4" t="s">
        <v>218</v>
      </c>
      <c r="F393" s="4" t="s">
        <v>219</v>
      </c>
      <c r="G393" s="4" t="s">
        <v>57</v>
      </c>
      <c r="H393" s="4" t="s">
        <v>641</v>
      </c>
      <c r="I393" s="4" t="s">
        <v>642</v>
      </c>
      <c r="J393" s="4" t="s">
        <v>642</v>
      </c>
      <c r="K393" s="5">
        <v>5699018</v>
      </c>
      <c r="L393" s="5">
        <v>703107</v>
      </c>
      <c r="M393" s="5">
        <v>18</v>
      </c>
      <c r="N393" s="5">
        <v>1</v>
      </c>
      <c r="O393" s="5">
        <v>0.8</v>
      </c>
      <c r="P393" s="5"/>
    </row>
    <row r="394" spans="1:16" x14ac:dyDescent="0.25">
      <c r="A394" s="4" t="s">
        <v>21</v>
      </c>
      <c r="B394" s="4" t="s">
        <v>186</v>
      </c>
      <c r="C394" s="5">
        <v>37082</v>
      </c>
      <c r="D394" s="4" t="s">
        <v>97</v>
      </c>
      <c r="E394" s="4" t="s">
        <v>191</v>
      </c>
      <c r="F394" s="4" t="s">
        <v>220</v>
      </c>
      <c r="G394" s="4" t="s">
        <v>57</v>
      </c>
      <c r="H394" s="4" t="s">
        <v>27</v>
      </c>
      <c r="I394" s="4" t="s">
        <v>638</v>
      </c>
      <c r="J394" s="4" t="s">
        <v>61</v>
      </c>
      <c r="K394" s="5">
        <v>5693943</v>
      </c>
      <c r="L394" s="5">
        <v>251971</v>
      </c>
      <c r="M394" s="5">
        <v>19</v>
      </c>
      <c r="N394" s="5">
        <v>1</v>
      </c>
      <c r="O394" s="5">
        <v>33</v>
      </c>
      <c r="P394" s="5"/>
    </row>
    <row r="395" spans="1:16" x14ac:dyDescent="0.25">
      <c r="A395" s="4" t="s">
        <v>21</v>
      </c>
      <c r="B395" s="4" t="s">
        <v>186</v>
      </c>
      <c r="C395" s="5">
        <v>37094</v>
      </c>
      <c r="D395" s="4" t="s">
        <v>221</v>
      </c>
      <c r="E395" s="4" t="s">
        <v>222</v>
      </c>
      <c r="F395" s="4" t="s">
        <v>223</v>
      </c>
      <c r="G395" s="4" t="s">
        <v>57</v>
      </c>
      <c r="H395" s="4" t="s">
        <v>27</v>
      </c>
      <c r="I395" s="4" t="s">
        <v>61</v>
      </c>
      <c r="J395" s="4" t="s">
        <v>638</v>
      </c>
      <c r="K395" s="5">
        <v>5622451</v>
      </c>
      <c r="L395" s="5">
        <v>684279</v>
      </c>
      <c r="M395" s="5">
        <v>18</v>
      </c>
      <c r="N395" s="5">
        <v>1</v>
      </c>
      <c r="O395" s="5">
        <v>28</v>
      </c>
      <c r="P395" s="5"/>
    </row>
    <row r="396" spans="1:16" x14ac:dyDescent="0.25">
      <c r="A396" s="4" t="s">
        <v>54</v>
      </c>
      <c r="B396" s="4" t="s">
        <v>186</v>
      </c>
      <c r="C396" s="5">
        <v>37096</v>
      </c>
      <c r="D396" s="4" t="s">
        <v>97</v>
      </c>
      <c r="E396" s="4" t="s">
        <v>184</v>
      </c>
      <c r="F396" s="4" t="s">
        <v>224</v>
      </c>
      <c r="G396" s="4" t="s">
        <v>57</v>
      </c>
      <c r="H396" s="4" t="s">
        <v>641</v>
      </c>
      <c r="I396" s="4" t="s">
        <v>642</v>
      </c>
      <c r="J396" s="4" t="s">
        <v>642</v>
      </c>
      <c r="K396" s="5">
        <v>5717328</v>
      </c>
      <c r="L396" s="5">
        <v>747580</v>
      </c>
      <c r="M396" s="5">
        <v>18</v>
      </c>
      <c r="N396" s="5">
        <v>1</v>
      </c>
      <c r="O396" s="5">
        <v>14.5</v>
      </c>
      <c r="P396" s="5"/>
    </row>
    <row r="397" spans="1:16" x14ac:dyDescent="0.25">
      <c r="A397" s="4" t="s">
        <v>21</v>
      </c>
      <c r="B397" s="4" t="s">
        <v>186</v>
      </c>
      <c r="C397" s="5">
        <v>37241</v>
      </c>
      <c r="D397" s="4" t="s">
        <v>97</v>
      </c>
      <c r="E397" s="4" t="s">
        <v>209</v>
      </c>
      <c r="F397" s="4" t="s">
        <v>225</v>
      </c>
      <c r="G397" s="4" t="s">
        <v>57</v>
      </c>
      <c r="H397" s="4" t="s">
        <v>173</v>
      </c>
      <c r="I397" s="4" t="s">
        <v>638</v>
      </c>
      <c r="J397" s="4" t="s">
        <v>61</v>
      </c>
      <c r="K397" s="5">
        <v>5726248</v>
      </c>
      <c r="L397" s="5">
        <v>693114</v>
      </c>
      <c r="M397" s="5">
        <v>18</v>
      </c>
      <c r="N397" s="5">
        <v>1</v>
      </c>
      <c r="O397" s="5">
        <v>0.56000000000000005</v>
      </c>
      <c r="P397" s="5"/>
    </row>
    <row r="398" spans="1:16" x14ac:dyDescent="0.25">
      <c r="A398" s="4" t="s">
        <v>13</v>
      </c>
      <c r="B398" s="4" t="s">
        <v>186</v>
      </c>
      <c r="C398" s="5">
        <v>37245</v>
      </c>
      <c r="D398" s="4" t="s">
        <v>97</v>
      </c>
      <c r="E398" s="4" t="s">
        <v>209</v>
      </c>
      <c r="F398" s="4" t="s">
        <v>225</v>
      </c>
      <c r="G398" s="4" t="s">
        <v>57</v>
      </c>
      <c r="H398" s="4" t="s">
        <v>18</v>
      </c>
      <c r="I398" s="4" t="s">
        <v>61</v>
      </c>
      <c r="J398" s="4" t="s">
        <v>61</v>
      </c>
      <c r="K398" s="5">
        <v>5726248</v>
      </c>
      <c r="L398" s="5">
        <v>693114</v>
      </c>
      <c r="M398" s="5">
        <v>18</v>
      </c>
      <c r="N398" s="5">
        <v>1</v>
      </c>
      <c r="O398" s="5">
        <v>0.41</v>
      </c>
      <c r="P398" s="5"/>
    </row>
    <row r="399" spans="1:16" x14ac:dyDescent="0.25">
      <c r="A399" s="4" t="s">
        <v>13</v>
      </c>
      <c r="B399" s="4" t="s">
        <v>186</v>
      </c>
      <c r="C399" s="5">
        <v>38309</v>
      </c>
      <c r="D399" s="4" t="s">
        <v>97</v>
      </c>
      <c r="E399" s="4" t="s">
        <v>226</v>
      </c>
      <c r="F399" s="4" t="s">
        <v>227</v>
      </c>
      <c r="G399" s="4" t="s">
        <v>57</v>
      </c>
      <c r="H399" s="4" t="s">
        <v>173</v>
      </c>
      <c r="I399" s="4" t="s">
        <v>61</v>
      </c>
      <c r="J399" s="4" t="s">
        <v>61</v>
      </c>
      <c r="K399" s="5">
        <v>5677268</v>
      </c>
      <c r="L399" s="5">
        <v>652683</v>
      </c>
      <c r="M399" s="5">
        <v>18</v>
      </c>
      <c r="N399" s="5">
        <v>1</v>
      </c>
      <c r="O399" s="5">
        <v>0.14000000000000001</v>
      </c>
      <c r="P399" s="5"/>
    </row>
    <row r="400" spans="1:16" x14ac:dyDescent="0.25">
      <c r="A400" s="4" t="s">
        <v>13</v>
      </c>
      <c r="B400" s="4" t="s">
        <v>186</v>
      </c>
      <c r="C400" s="5">
        <v>38312</v>
      </c>
      <c r="D400" s="4" t="s">
        <v>97</v>
      </c>
      <c r="E400" s="4" t="s">
        <v>226</v>
      </c>
      <c r="F400" s="4" t="s">
        <v>227</v>
      </c>
      <c r="G400" s="4" t="s">
        <v>57</v>
      </c>
      <c r="H400" s="4" t="s">
        <v>173</v>
      </c>
      <c r="I400" s="4" t="s">
        <v>61</v>
      </c>
      <c r="J400" s="4" t="s">
        <v>61</v>
      </c>
      <c r="K400" s="5">
        <v>5677268</v>
      </c>
      <c r="L400" s="5">
        <v>652683</v>
      </c>
      <c r="M400" s="5">
        <v>18</v>
      </c>
      <c r="N400" s="5">
        <v>1</v>
      </c>
      <c r="O400" s="5">
        <v>0.93</v>
      </c>
      <c r="P400" s="5"/>
    </row>
    <row r="401" spans="1:16" x14ac:dyDescent="0.25">
      <c r="A401" s="4" t="s">
        <v>13</v>
      </c>
      <c r="B401" s="4" t="s">
        <v>186</v>
      </c>
      <c r="C401" s="5">
        <v>38318</v>
      </c>
      <c r="D401" s="4" t="s">
        <v>97</v>
      </c>
      <c r="E401" s="4" t="s">
        <v>226</v>
      </c>
      <c r="F401" s="4" t="s">
        <v>227</v>
      </c>
      <c r="G401" s="4" t="s">
        <v>57</v>
      </c>
      <c r="H401" s="4" t="s">
        <v>18</v>
      </c>
      <c r="I401" s="4" t="s">
        <v>61</v>
      </c>
      <c r="J401" s="4" t="s">
        <v>61</v>
      </c>
      <c r="K401" s="5">
        <v>5677268</v>
      </c>
      <c r="L401" s="5">
        <v>652683</v>
      </c>
      <c r="M401" s="5">
        <v>18</v>
      </c>
      <c r="N401" s="5">
        <v>1</v>
      </c>
      <c r="O401" s="5">
        <v>0.5</v>
      </c>
      <c r="P401" s="5"/>
    </row>
    <row r="402" spans="1:16" x14ac:dyDescent="0.25">
      <c r="A402" s="4" t="s">
        <v>21</v>
      </c>
      <c r="B402" s="4" t="s">
        <v>186</v>
      </c>
      <c r="C402" s="5">
        <v>38346</v>
      </c>
      <c r="D402" s="4" t="s">
        <v>97</v>
      </c>
      <c r="E402" s="4" t="s">
        <v>228</v>
      </c>
      <c r="F402" s="4" t="s">
        <v>229</v>
      </c>
      <c r="G402" s="4" t="s">
        <v>57</v>
      </c>
      <c r="H402" s="4" t="s">
        <v>128</v>
      </c>
      <c r="I402" s="4" t="s">
        <v>61</v>
      </c>
      <c r="J402" s="4" t="s">
        <v>638</v>
      </c>
      <c r="K402" s="5">
        <v>5779323</v>
      </c>
      <c r="L402" s="5">
        <v>684760</v>
      </c>
      <c r="M402" s="5">
        <v>18</v>
      </c>
      <c r="N402" s="5">
        <v>1</v>
      </c>
      <c r="O402" s="5">
        <v>2.1</v>
      </c>
      <c r="P402" s="5"/>
    </row>
    <row r="403" spans="1:16" x14ac:dyDescent="0.25">
      <c r="A403" s="4" t="s">
        <v>13</v>
      </c>
      <c r="B403" s="4" t="s">
        <v>186</v>
      </c>
      <c r="C403" s="5">
        <v>38390</v>
      </c>
      <c r="D403" s="4" t="s">
        <v>97</v>
      </c>
      <c r="E403" s="4" t="s">
        <v>216</v>
      </c>
      <c r="F403" s="4" t="s">
        <v>230</v>
      </c>
      <c r="G403" s="4" t="s">
        <v>57</v>
      </c>
      <c r="H403" s="4" t="s">
        <v>128</v>
      </c>
      <c r="I403" s="4" t="s">
        <v>61</v>
      </c>
      <c r="J403" s="4" t="s">
        <v>638</v>
      </c>
      <c r="K403" s="5">
        <v>5668311</v>
      </c>
      <c r="L403" s="5">
        <v>649915</v>
      </c>
      <c r="M403" s="5">
        <v>18</v>
      </c>
      <c r="N403" s="5">
        <v>1</v>
      </c>
      <c r="O403" s="5">
        <v>0.98</v>
      </c>
      <c r="P403" s="5"/>
    </row>
    <row r="404" spans="1:16" x14ac:dyDescent="0.25">
      <c r="A404" s="4" t="s">
        <v>13</v>
      </c>
      <c r="B404" s="4" t="s">
        <v>186</v>
      </c>
      <c r="C404" s="5">
        <v>38399</v>
      </c>
      <c r="D404" s="4" t="s">
        <v>97</v>
      </c>
      <c r="E404" s="4" t="s">
        <v>216</v>
      </c>
      <c r="F404" s="4" t="s">
        <v>231</v>
      </c>
      <c r="G404" s="4" t="s">
        <v>57</v>
      </c>
      <c r="H404" s="4" t="s">
        <v>128</v>
      </c>
      <c r="I404" s="4" t="s">
        <v>61</v>
      </c>
      <c r="J404" s="4" t="s">
        <v>638</v>
      </c>
      <c r="K404" s="5">
        <v>5683363</v>
      </c>
      <c r="L404" s="5">
        <v>646485</v>
      </c>
      <c r="M404" s="5">
        <v>18</v>
      </c>
      <c r="N404" s="5">
        <v>1</v>
      </c>
      <c r="O404" s="5">
        <v>0.6</v>
      </c>
      <c r="P404" s="5"/>
    </row>
    <row r="405" spans="1:16" x14ac:dyDescent="0.25">
      <c r="A405" s="4" t="s">
        <v>21</v>
      </c>
      <c r="B405" s="4" t="s">
        <v>186</v>
      </c>
      <c r="C405" s="5">
        <v>38454</v>
      </c>
      <c r="D405" s="4" t="s">
        <v>97</v>
      </c>
      <c r="E405" s="4" t="s">
        <v>209</v>
      </c>
      <c r="F405" s="4" t="s">
        <v>232</v>
      </c>
      <c r="G405" s="4" t="s">
        <v>57</v>
      </c>
      <c r="H405" s="4" t="s">
        <v>173</v>
      </c>
      <c r="I405" s="4" t="s">
        <v>61</v>
      </c>
      <c r="J405" s="4" t="s">
        <v>61</v>
      </c>
      <c r="K405" s="5">
        <v>5728006</v>
      </c>
      <c r="L405" s="5">
        <v>685991</v>
      </c>
      <c r="M405" s="5">
        <v>18</v>
      </c>
      <c r="N405" s="5">
        <v>1</v>
      </c>
      <c r="O405" s="5">
        <v>0.75</v>
      </c>
      <c r="P405" s="5"/>
    </row>
    <row r="406" spans="1:16" x14ac:dyDescent="0.25">
      <c r="A406" s="4" t="s">
        <v>21</v>
      </c>
      <c r="B406" s="4" t="s">
        <v>186</v>
      </c>
      <c r="C406" s="5">
        <v>38458</v>
      </c>
      <c r="D406" s="4" t="s">
        <v>97</v>
      </c>
      <c r="E406" s="4" t="s">
        <v>209</v>
      </c>
      <c r="F406" s="4" t="s">
        <v>233</v>
      </c>
      <c r="G406" s="4" t="s">
        <v>57</v>
      </c>
      <c r="H406" s="4" t="s">
        <v>173</v>
      </c>
      <c r="I406" s="4" t="s">
        <v>61</v>
      </c>
      <c r="J406" s="4" t="s">
        <v>61</v>
      </c>
      <c r="K406" s="5">
        <v>5737895</v>
      </c>
      <c r="L406" s="5">
        <v>681310</v>
      </c>
      <c r="M406" s="5">
        <v>18</v>
      </c>
      <c r="N406" s="5">
        <v>1</v>
      </c>
      <c r="O406" s="5">
        <v>1.4</v>
      </c>
      <c r="P406" s="5"/>
    </row>
    <row r="407" spans="1:16" x14ac:dyDescent="0.25">
      <c r="A407" s="4" t="s">
        <v>13</v>
      </c>
      <c r="B407" s="4" t="s">
        <v>186</v>
      </c>
      <c r="C407" s="5">
        <v>38462</v>
      </c>
      <c r="D407" s="4" t="s">
        <v>97</v>
      </c>
      <c r="E407" s="4" t="s">
        <v>209</v>
      </c>
      <c r="F407" s="4" t="s">
        <v>233</v>
      </c>
      <c r="G407" s="4" t="s">
        <v>57</v>
      </c>
      <c r="H407" s="4" t="s">
        <v>18</v>
      </c>
      <c r="I407" s="4" t="s">
        <v>61</v>
      </c>
      <c r="J407" s="4" t="s">
        <v>61</v>
      </c>
      <c r="K407" s="5">
        <v>5737895</v>
      </c>
      <c r="L407" s="5">
        <v>681310</v>
      </c>
      <c r="M407" s="5">
        <v>18</v>
      </c>
      <c r="N407" s="5">
        <v>1</v>
      </c>
      <c r="O407" s="5">
        <v>0.75</v>
      </c>
      <c r="P407" s="5"/>
    </row>
    <row r="408" spans="1:16" x14ac:dyDescent="0.25">
      <c r="A408" s="4" t="s">
        <v>21</v>
      </c>
      <c r="B408" s="4" t="s">
        <v>186</v>
      </c>
      <c r="C408" s="5">
        <v>38484</v>
      </c>
      <c r="D408" s="4" t="s">
        <v>97</v>
      </c>
      <c r="E408" s="4" t="s">
        <v>209</v>
      </c>
      <c r="F408" s="4" t="s">
        <v>232</v>
      </c>
      <c r="G408" s="4" t="s">
        <v>57</v>
      </c>
      <c r="H408" s="4" t="s">
        <v>18</v>
      </c>
      <c r="I408" s="4" t="s">
        <v>61</v>
      </c>
      <c r="J408" s="4" t="s">
        <v>61</v>
      </c>
      <c r="K408" s="5">
        <v>5728006</v>
      </c>
      <c r="L408" s="5">
        <v>685991</v>
      </c>
      <c r="M408" s="5">
        <v>18</v>
      </c>
      <c r="N408" s="5">
        <v>1</v>
      </c>
      <c r="O408" s="5">
        <v>0.64</v>
      </c>
      <c r="P408" s="5"/>
    </row>
    <row r="409" spans="1:16" x14ac:dyDescent="0.25">
      <c r="A409" s="4" t="s">
        <v>13</v>
      </c>
      <c r="B409" s="4" t="s">
        <v>186</v>
      </c>
      <c r="C409" s="5">
        <v>38488</v>
      </c>
      <c r="D409" s="4" t="s">
        <v>97</v>
      </c>
      <c r="E409" s="4" t="s">
        <v>209</v>
      </c>
      <c r="F409" s="4" t="s">
        <v>232</v>
      </c>
      <c r="G409" s="4" t="s">
        <v>57</v>
      </c>
      <c r="H409" s="4" t="s">
        <v>18</v>
      </c>
      <c r="I409" s="4" t="s">
        <v>61</v>
      </c>
      <c r="J409" s="4" t="s">
        <v>61</v>
      </c>
      <c r="K409" s="5">
        <v>5728006</v>
      </c>
      <c r="L409" s="5">
        <v>685991</v>
      </c>
      <c r="M409" s="5">
        <v>18</v>
      </c>
      <c r="N409" s="5">
        <v>1</v>
      </c>
      <c r="O409" s="5">
        <v>0</v>
      </c>
      <c r="P409" s="5"/>
    </row>
    <row r="410" spans="1:16" x14ac:dyDescent="0.25">
      <c r="A410" s="4" t="s">
        <v>21</v>
      </c>
      <c r="B410" s="4" t="s">
        <v>186</v>
      </c>
      <c r="C410" s="5">
        <v>38491</v>
      </c>
      <c r="D410" s="4" t="s">
        <v>97</v>
      </c>
      <c r="E410" s="4" t="s">
        <v>234</v>
      </c>
      <c r="F410" s="4" t="s">
        <v>235</v>
      </c>
      <c r="G410" s="4" t="s">
        <v>57</v>
      </c>
      <c r="H410" s="4" t="s">
        <v>173</v>
      </c>
      <c r="I410" s="4" t="s">
        <v>61</v>
      </c>
      <c r="J410" s="4" t="s">
        <v>638</v>
      </c>
      <c r="K410" s="5">
        <v>5697466</v>
      </c>
      <c r="L410" s="5">
        <v>670905</v>
      </c>
      <c r="M410" s="5">
        <v>18</v>
      </c>
      <c r="N410" s="5">
        <v>1</v>
      </c>
      <c r="O410" s="5">
        <v>0.49</v>
      </c>
      <c r="P410" s="5"/>
    </row>
    <row r="411" spans="1:16" x14ac:dyDescent="0.25">
      <c r="A411" s="4" t="s">
        <v>13</v>
      </c>
      <c r="B411" s="4" t="s">
        <v>186</v>
      </c>
      <c r="C411" s="5">
        <v>38612</v>
      </c>
      <c r="D411" s="4" t="s">
        <v>97</v>
      </c>
      <c r="E411" s="4" t="s">
        <v>236</v>
      </c>
      <c r="F411" s="4" t="s">
        <v>237</v>
      </c>
      <c r="G411" s="4" t="s">
        <v>57</v>
      </c>
      <c r="H411" s="4" t="s">
        <v>173</v>
      </c>
      <c r="I411" s="4" t="s">
        <v>638</v>
      </c>
      <c r="J411" s="4" t="s">
        <v>61</v>
      </c>
      <c r="K411" s="5">
        <v>5705412</v>
      </c>
      <c r="L411" s="5">
        <v>652357</v>
      </c>
      <c r="M411" s="5">
        <v>18</v>
      </c>
      <c r="N411" s="5">
        <v>1</v>
      </c>
      <c r="O411" s="5">
        <v>1.9</v>
      </c>
      <c r="P411" s="5"/>
    </row>
    <row r="412" spans="1:16" x14ac:dyDescent="0.25">
      <c r="A412" s="4" t="s">
        <v>13</v>
      </c>
      <c r="B412" s="4" t="s">
        <v>186</v>
      </c>
      <c r="C412" s="5">
        <v>38614</v>
      </c>
      <c r="D412" s="4" t="s">
        <v>97</v>
      </c>
      <c r="E412" s="4" t="s">
        <v>238</v>
      </c>
      <c r="F412" s="4" t="s">
        <v>239</v>
      </c>
      <c r="G412" s="4" t="s">
        <v>57</v>
      </c>
      <c r="H412" s="4" t="s">
        <v>128</v>
      </c>
      <c r="I412" s="4" t="s">
        <v>61</v>
      </c>
      <c r="J412" s="4" t="s">
        <v>638</v>
      </c>
      <c r="K412" s="5">
        <v>5801980</v>
      </c>
      <c r="L412" s="5">
        <v>698962</v>
      </c>
      <c r="M412" s="5">
        <v>18</v>
      </c>
      <c r="N412" s="5">
        <v>1</v>
      </c>
      <c r="O412" s="5">
        <v>1</v>
      </c>
      <c r="P412" s="5"/>
    </row>
    <row r="413" spans="1:16" x14ac:dyDescent="0.25">
      <c r="A413" s="4" t="s">
        <v>13</v>
      </c>
      <c r="B413" s="4" t="s">
        <v>186</v>
      </c>
      <c r="C413" s="5">
        <v>38615</v>
      </c>
      <c r="D413" s="4" t="s">
        <v>97</v>
      </c>
      <c r="E413" s="4" t="s">
        <v>238</v>
      </c>
      <c r="F413" s="4" t="s">
        <v>239</v>
      </c>
      <c r="G413" s="4" t="s">
        <v>57</v>
      </c>
      <c r="H413" s="4" t="s">
        <v>128</v>
      </c>
      <c r="I413" s="4" t="s">
        <v>61</v>
      </c>
      <c r="J413" s="4" t="s">
        <v>638</v>
      </c>
      <c r="K413" s="5">
        <v>5801980</v>
      </c>
      <c r="L413" s="5">
        <v>698962</v>
      </c>
      <c r="M413" s="5">
        <v>18</v>
      </c>
      <c r="N413" s="5">
        <v>1</v>
      </c>
      <c r="O413" s="5">
        <v>0.5</v>
      </c>
      <c r="P413" s="5"/>
    </row>
    <row r="414" spans="1:16" x14ac:dyDescent="0.25">
      <c r="A414" s="4" t="s">
        <v>13</v>
      </c>
      <c r="B414" s="4" t="s">
        <v>186</v>
      </c>
      <c r="C414" s="5">
        <v>38640</v>
      </c>
      <c r="D414" s="4" t="s">
        <v>58</v>
      </c>
      <c r="E414" s="4" t="s">
        <v>196</v>
      </c>
      <c r="F414" s="4" t="s">
        <v>240</v>
      </c>
      <c r="G414" s="4" t="s">
        <v>57</v>
      </c>
      <c r="H414" s="4" t="s">
        <v>18</v>
      </c>
      <c r="I414" s="4" t="s">
        <v>61</v>
      </c>
      <c r="J414" s="4" t="s">
        <v>61</v>
      </c>
      <c r="K414" s="5">
        <v>5974834</v>
      </c>
      <c r="L414" s="5">
        <v>247378</v>
      </c>
      <c r="M414" s="5">
        <v>19</v>
      </c>
      <c r="N414" s="5">
        <v>1</v>
      </c>
      <c r="O414" s="5">
        <v>0.75</v>
      </c>
      <c r="P414" s="5"/>
    </row>
    <row r="415" spans="1:16" x14ac:dyDescent="0.25">
      <c r="A415" s="4" t="s">
        <v>54</v>
      </c>
      <c r="B415" s="4" t="s">
        <v>186</v>
      </c>
      <c r="C415" s="5">
        <v>38644</v>
      </c>
      <c r="D415" s="4" t="s">
        <v>58</v>
      </c>
      <c r="E415" s="4" t="s">
        <v>196</v>
      </c>
      <c r="F415" s="4" t="s">
        <v>240</v>
      </c>
      <c r="G415" s="4" t="s">
        <v>57</v>
      </c>
      <c r="H415" s="4" t="s">
        <v>641</v>
      </c>
      <c r="I415" s="4" t="s">
        <v>642</v>
      </c>
      <c r="J415" s="4" t="s">
        <v>642</v>
      </c>
      <c r="K415" s="5">
        <v>5974834</v>
      </c>
      <c r="L415" s="5">
        <v>247378</v>
      </c>
      <c r="M415" s="5">
        <v>19</v>
      </c>
      <c r="N415" s="5">
        <v>1</v>
      </c>
      <c r="O415" s="5">
        <v>0.01</v>
      </c>
      <c r="P415" s="5"/>
    </row>
    <row r="416" spans="1:16" x14ac:dyDescent="0.25">
      <c r="A416" s="4" t="s">
        <v>13</v>
      </c>
      <c r="B416" s="4" t="s">
        <v>186</v>
      </c>
      <c r="C416" s="5">
        <v>38651</v>
      </c>
      <c r="D416" s="4" t="s">
        <v>97</v>
      </c>
      <c r="E416" s="4" t="s">
        <v>241</v>
      </c>
      <c r="F416" s="4" t="s">
        <v>242</v>
      </c>
      <c r="G416" s="4" t="s">
        <v>57</v>
      </c>
      <c r="H416" s="4" t="s">
        <v>128</v>
      </c>
      <c r="I416" s="4" t="s">
        <v>61</v>
      </c>
      <c r="J416" s="4" t="s">
        <v>638</v>
      </c>
      <c r="K416" s="5">
        <v>5791966</v>
      </c>
      <c r="L416" s="5">
        <v>669588</v>
      </c>
      <c r="M416" s="5">
        <v>18</v>
      </c>
      <c r="N416" s="5">
        <v>1</v>
      </c>
      <c r="O416" s="5">
        <v>0.7</v>
      </c>
      <c r="P416" s="5"/>
    </row>
    <row r="417" spans="1:16" x14ac:dyDescent="0.25">
      <c r="A417" s="4" t="s">
        <v>13</v>
      </c>
      <c r="B417" s="4" t="s">
        <v>186</v>
      </c>
      <c r="C417" s="5">
        <v>38697</v>
      </c>
      <c r="D417" s="4" t="s">
        <v>97</v>
      </c>
      <c r="E417" s="4" t="s">
        <v>226</v>
      </c>
      <c r="F417" s="4" t="s">
        <v>243</v>
      </c>
      <c r="G417" s="4" t="s">
        <v>57</v>
      </c>
      <c r="H417" s="4" t="s">
        <v>128</v>
      </c>
      <c r="I417" s="4" t="s">
        <v>61</v>
      </c>
      <c r="J417" s="4" t="s">
        <v>638</v>
      </c>
      <c r="K417" s="5">
        <v>5673530</v>
      </c>
      <c r="L417" s="5">
        <v>657929</v>
      </c>
      <c r="M417" s="5">
        <v>18</v>
      </c>
      <c r="N417" s="5">
        <v>2</v>
      </c>
      <c r="O417" s="5">
        <v>0.04</v>
      </c>
      <c r="P417" s="5"/>
    </row>
    <row r="418" spans="1:16" x14ac:dyDescent="0.25">
      <c r="A418" s="4" t="s">
        <v>13</v>
      </c>
      <c r="B418" s="4" t="s">
        <v>186</v>
      </c>
      <c r="C418" s="5">
        <v>38708</v>
      </c>
      <c r="D418" s="4" t="s">
        <v>97</v>
      </c>
      <c r="E418" s="4" t="s">
        <v>226</v>
      </c>
      <c r="F418" s="4" t="s">
        <v>243</v>
      </c>
      <c r="G418" s="4" t="s">
        <v>57</v>
      </c>
      <c r="H418" s="4" t="s">
        <v>18</v>
      </c>
      <c r="I418" s="4" t="s">
        <v>61</v>
      </c>
      <c r="J418" s="4" t="s">
        <v>61</v>
      </c>
      <c r="K418" s="5">
        <v>5673530</v>
      </c>
      <c r="L418" s="5">
        <v>657929</v>
      </c>
      <c r="M418" s="5">
        <v>18</v>
      </c>
      <c r="N418" s="5">
        <v>1</v>
      </c>
      <c r="O418" s="5">
        <v>0.02</v>
      </c>
      <c r="P418" s="5"/>
    </row>
    <row r="419" spans="1:16" x14ac:dyDescent="0.25">
      <c r="A419" s="4" t="s">
        <v>13</v>
      </c>
      <c r="B419" s="4" t="s">
        <v>186</v>
      </c>
      <c r="C419" s="5">
        <v>38911</v>
      </c>
      <c r="D419" s="4" t="s">
        <v>97</v>
      </c>
      <c r="E419" s="4" t="s">
        <v>216</v>
      </c>
      <c r="F419" s="4" t="s">
        <v>244</v>
      </c>
      <c r="G419" s="4" t="s">
        <v>57</v>
      </c>
      <c r="H419" s="4" t="s">
        <v>128</v>
      </c>
      <c r="I419" s="4" t="s">
        <v>61</v>
      </c>
      <c r="J419" s="4" t="s">
        <v>638</v>
      </c>
      <c r="K419" s="5">
        <v>5666123</v>
      </c>
      <c r="L419" s="5">
        <v>658287</v>
      </c>
      <c r="M419" s="5">
        <v>18</v>
      </c>
      <c r="N419" s="5">
        <v>1</v>
      </c>
      <c r="O419" s="5">
        <v>1</v>
      </c>
      <c r="P419" s="5"/>
    </row>
    <row r="420" spans="1:16" x14ac:dyDescent="0.25">
      <c r="A420" s="4" t="s">
        <v>13</v>
      </c>
      <c r="B420" s="4" t="s">
        <v>186</v>
      </c>
      <c r="C420" s="5">
        <v>38915</v>
      </c>
      <c r="D420" s="4" t="s">
        <v>97</v>
      </c>
      <c r="E420" s="4" t="s">
        <v>216</v>
      </c>
      <c r="F420" s="4" t="s">
        <v>245</v>
      </c>
      <c r="G420" s="4" t="s">
        <v>57</v>
      </c>
      <c r="H420" s="4" t="s">
        <v>128</v>
      </c>
      <c r="I420" s="4" t="s">
        <v>61</v>
      </c>
      <c r="J420" s="4" t="s">
        <v>638</v>
      </c>
      <c r="K420" s="5">
        <v>5668959</v>
      </c>
      <c r="L420" s="5">
        <v>668770</v>
      </c>
      <c r="M420" s="5">
        <v>18</v>
      </c>
      <c r="N420" s="5">
        <v>1</v>
      </c>
      <c r="O420" s="5">
        <v>2.1</v>
      </c>
      <c r="P420" s="5"/>
    </row>
    <row r="421" spans="1:16" x14ac:dyDescent="0.25">
      <c r="A421" s="4" t="s">
        <v>21</v>
      </c>
      <c r="B421" s="4" t="s">
        <v>250</v>
      </c>
      <c r="C421" s="5">
        <v>35736</v>
      </c>
      <c r="D421" s="4" t="s">
        <v>33</v>
      </c>
      <c r="E421" s="4" t="s">
        <v>35</v>
      </c>
      <c r="F421" s="4" t="s">
        <v>140</v>
      </c>
      <c r="G421" s="4" t="s">
        <v>26</v>
      </c>
      <c r="H421" s="4" t="s">
        <v>27</v>
      </c>
      <c r="I421" s="4" t="s">
        <v>715</v>
      </c>
      <c r="J421" s="4" t="s">
        <v>638</v>
      </c>
      <c r="K421" s="5">
        <v>6134325</v>
      </c>
      <c r="L421" s="5">
        <v>316396</v>
      </c>
      <c r="M421" s="5">
        <v>19</v>
      </c>
      <c r="N421" s="5">
        <v>1</v>
      </c>
      <c r="O421" s="5">
        <v>8</v>
      </c>
      <c r="P421" s="5"/>
    </row>
    <row r="422" spans="1:16" x14ac:dyDescent="0.25">
      <c r="A422" s="4" t="s">
        <v>21</v>
      </c>
      <c r="B422" s="4" t="s">
        <v>250</v>
      </c>
      <c r="C422" s="5">
        <v>35759</v>
      </c>
      <c r="D422" s="4" t="s">
        <v>33</v>
      </c>
      <c r="E422" s="4" t="s">
        <v>34</v>
      </c>
      <c r="F422" s="4" t="s">
        <v>251</v>
      </c>
      <c r="G422" s="4" t="s">
        <v>26</v>
      </c>
      <c r="H422" s="4" t="s">
        <v>27</v>
      </c>
      <c r="I422" s="4" t="s">
        <v>715</v>
      </c>
      <c r="J422" s="4" t="s">
        <v>638</v>
      </c>
      <c r="K422" s="5">
        <v>6118584</v>
      </c>
      <c r="L422" s="5">
        <v>302603</v>
      </c>
      <c r="M422" s="5">
        <v>19</v>
      </c>
      <c r="N422" s="5">
        <v>1</v>
      </c>
      <c r="O422" s="5">
        <v>12</v>
      </c>
      <c r="P422" s="5"/>
    </row>
    <row r="423" spans="1:16" x14ac:dyDescent="0.25">
      <c r="A423" s="4" t="s">
        <v>21</v>
      </c>
      <c r="B423" s="4" t="s">
        <v>250</v>
      </c>
      <c r="C423" s="5">
        <v>35764</v>
      </c>
      <c r="D423" s="4" t="s">
        <v>15</v>
      </c>
      <c r="E423" s="4" t="s">
        <v>252</v>
      </c>
      <c r="F423" s="4" t="s">
        <v>253</v>
      </c>
      <c r="G423" s="4" t="s">
        <v>26</v>
      </c>
      <c r="H423" s="4" t="s">
        <v>18</v>
      </c>
      <c r="I423" s="4" t="s">
        <v>715</v>
      </c>
      <c r="J423" s="4" t="s">
        <v>715</v>
      </c>
      <c r="K423" s="5">
        <v>6362272</v>
      </c>
      <c r="L423" s="5">
        <v>302256</v>
      </c>
      <c r="M423" s="5">
        <v>19</v>
      </c>
      <c r="N423" s="5">
        <v>1</v>
      </c>
      <c r="O423" s="5">
        <v>0.4</v>
      </c>
      <c r="P423" s="5"/>
    </row>
    <row r="424" spans="1:16" x14ac:dyDescent="0.25">
      <c r="A424" s="4" t="s">
        <v>21</v>
      </c>
      <c r="B424" s="4" t="s">
        <v>250</v>
      </c>
      <c r="C424" s="5">
        <v>35765</v>
      </c>
      <c r="D424" s="4" t="s">
        <v>33</v>
      </c>
      <c r="E424" s="4" t="s">
        <v>35</v>
      </c>
      <c r="F424" s="4" t="s">
        <v>140</v>
      </c>
      <c r="G424" s="4" t="s">
        <v>26</v>
      </c>
      <c r="H424" s="4" t="s">
        <v>27</v>
      </c>
      <c r="I424" s="4" t="s">
        <v>715</v>
      </c>
      <c r="J424" s="4" t="s">
        <v>638</v>
      </c>
      <c r="K424" s="5">
        <v>6134165</v>
      </c>
      <c r="L424" s="5">
        <v>316626</v>
      </c>
      <c r="M424" s="5">
        <v>19</v>
      </c>
      <c r="N424" s="5">
        <v>1</v>
      </c>
      <c r="O424" s="5">
        <v>5</v>
      </c>
      <c r="P424" s="5"/>
    </row>
    <row r="425" spans="1:16" x14ac:dyDescent="0.25">
      <c r="A425" s="4" t="s">
        <v>21</v>
      </c>
      <c r="B425" s="4" t="s">
        <v>250</v>
      </c>
      <c r="C425" s="5">
        <v>35878</v>
      </c>
      <c r="D425" s="4" t="s">
        <v>37</v>
      </c>
      <c r="E425" s="4" t="s">
        <v>169</v>
      </c>
      <c r="F425" s="4" t="s">
        <v>255</v>
      </c>
      <c r="G425" s="4" t="s">
        <v>26</v>
      </c>
      <c r="H425" s="4" t="s">
        <v>27</v>
      </c>
      <c r="I425" s="4" t="s">
        <v>715</v>
      </c>
      <c r="J425" s="4" t="s">
        <v>638</v>
      </c>
      <c r="K425" s="5">
        <v>6220825</v>
      </c>
      <c r="L425" s="5">
        <v>337913</v>
      </c>
      <c r="M425" s="5">
        <v>19</v>
      </c>
      <c r="N425" s="5">
        <v>1</v>
      </c>
      <c r="O425" s="5">
        <v>4</v>
      </c>
      <c r="P425" s="5"/>
    </row>
    <row r="426" spans="1:16" x14ac:dyDescent="0.25">
      <c r="A426" s="4" t="s">
        <v>21</v>
      </c>
      <c r="B426" s="4" t="s">
        <v>250</v>
      </c>
      <c r="C426" s="5">
        <v>35883</v>
      </c>
      <c r="D426" s="4" t="s">
        <v>37</v>
      </c>
      <c r="E426" s="4" t="s">
        <v>169</v>
      </c>
      <c r="F426" s="4" t="s">
        <v>256</v>
      </c>
      <c r="G426" s="4" t="s">
        <v>26</v>
      </c>
      <c r="H426" s="4" t="s">
        <v>27</v>
      </c>
      <c r="I426" s="4" t="s">
        <v>715</v>
      </c>
      <c r="J426" s="4" t="s">
        <v>638</v>
      </c>
      <c r="K426" s="5">
        <v>6220863</v>
      </c>
      <c r="L426" s="5">
        <v>337670</v>
      </c>
      <c r="M426" s="5">
        <v>19</v>
      </c>
      <c r="N426" s="5">
        <v>1</v>
      </c>
      <c r="O426" s="5">
        <v>4.4000000000000004</v>
      </c>
      <c r="P426" s="5"/>
    </row>
    <row r="427" spans="1:16" x14ac:dyDescent="0.25">
      <c r="A427" s="4" t="s">
        <v>21</v>
      </c>
      <c r="B427" s="4" t="s">
        <v>250</v>
      </c>
      <c r="C427" s="5">
        <v>35885</v>
      </c>
      <c r="D427" s="4" t="s">
        <v>33</v>
      </c>
      <c r="E427" s="4" t="s">
        <v>35</v>
      </c>
      <c r="F427" s="4" t="s">
        <v>140</v>
      </c>
      <c r="G427" s="4" t="s">
        <v>26</v>
      </c>
      <c r="H427" s="4" t="s">
        <v>27</v>
      </c>
      <c r="I427" s="4" t="s">
        <v>715</v>
      </c>
      <c r="J427" s="4" t="s">
        <v>638</v>
      </c>
      <c r="K427" s="5">
        <v>6128345</v>
      </c>
      <c r="L427" s="5">
        <v>323327</v>
      </c>
      <c r="M427" s="5">
        <v>19</v>
      </c>
      <c r="N427" s="5">
        <v>3</v>
      </c>
      <c r="O427" s="5">
        <v>22</v>
      </c>
      <c r="P427" s="5"/>
    </row>
    <row r="428" spans="1:16" x14ac:dyDescent="0.25">
      <c r="A428" s="4" t="s">
        <v>21</v>
      </c>
      <c r="B428" s="4" t="s">
        <v>250</v>
      </c>
      <c r="C428" s="5">
        <v>35893</v>
      </c>
      <c r="D428" s="4" t="s">
        <v>15</v>
      </c>
      <c r="E428" s="4" t="s">
        <v>252</v>
      </c>
      <c r="F428" s="4" t="s">
        <v>253</v>
      </c>
      <c r="G428" s="4" t="s">
        <v>26</v>
      </c>
      <c r="H428" s="4" t="s">
        <v>18</v>
      </c>
      <c r="I428" s="4" t="s">
        <v>715</v>
      </c>
      <c r="J428" s="4" t="s">
        <v>715</v>
      </c>
      <c r="K428" s="5">
        <v>6362272</v>
      </c>
      <c r="L428" s="5">
        <v>302256</v>
      </c>
      <c r="M428" s="5">
        <v>19</v>
      </c>
      <c r="N428" s="5">
        <v>1</v>
      </c>
      <c r="O428" s="5">
        <v>0.4</v>
      </c>
      <c r="P428" s="5"/>
    </row>
    <row r="429" spans="1:16" x14ac:dyDescent="0.25">
      <c r="A429" s="4" t="s">
        <v>21</v>
      </c>
      <c r="B429" s="4" t="s">
        <v>250</v>
      </c>
      <c r="C429" s="5">
        <v>35898</v>
      </c>
      <c r="D429" s="4" t="s">
        <v>15</v>
      </c>
      <c r="E429" s="4" t="s">
        <v>252</v>
      </c>
      <c r="F429" s="4" t="s">
        <v>50</v>
      </c>
      <c r="G429" s="4" t="s">
        <v>26</v>
      </c>
      <c r="H429" s="4" t="s">
        <v>128</v>
      </c>
      <c r="I429" s="4" t="s">
        <v>715</v>
      </c>
      <c r="J429" s="4" t="s">
        <v>638</v>
      </c>
      <c r="K429" s="5">
        <v>6363056</v>
      </c>
      <c r="L429" s="5">
        <v>309939</v>
      </c>
      <c r="M429" s="5">
        <v>19</v>
      </c>
      <c r="N429" s="5">
        <v>1</v>
      </c>
      <c r="O429" s="5">
        <v>1.8</v>
      </c>
      <c r="P429" s="5"/>
    </row>
    <row r="430" spans="1:16" x14ac:dyDescent="0.25">
      <c r="A430" s="4" t="s">
        <v>21</v>
      </c>
      <c r="B430" s="4" t="s">
        <v>250</v>
      </c>
      <c r="C430" s="5">
        <v>35899</v>
      </c>
      <c r="D430" s="4" t="s">
        <v>15</v>
      </c>
      <c r="E430" s="4" t="s">
        <v>252</v>
      </c>
      <c r="F430" s="4" t="s">
        <v>50</v>
      </c>
      <c r="G430" s="4" t="s">
        <v>26</v>
      </c>
      <c r="H430" s="4" t="s">
        <v>18</v>
      </c>
      <c r="I430" s="4" t="s">
        <v>715</v>
      </c>
      <c r="J430" s="4" t="s">
        <v>715</v>
      </c>
      <c r="K430" s="5">
        <v>6363056</v>
      </c>
      <c r="L430" s="5">
        <v>309939</v>
      </c>
      <c r="M430" s="5">
        <v>19</v>
      </c>
      <c r="N430" s="5">
        <v>1</v>
      </c>
      <c r="O430" s="5">
        <v>0.81</v>
      </c>
      <c r="P430" s="5"/>
    </row>
    <row r="431" spans="1:16" x14ac:dyDescent="0.25">
      <c r="A431" s="4" t="s">
        <v>21</v>
      </c>
      <c r="B431" s="4" t="s">
        <v>250</v>
      </c>
      <c r="C431" s="5">
        <v>35900</v>
      </c>
      <c r="D431" s="4" t="s">
        <v>15</v>
      </c>
      <c r="E431" s="4" t="s">
        <v>252</v>
      </c>
      <c r="F431" s="4" t="s">
        <v>257</v>
      </c>
      <c r="G431" s="4" t="s">
        <v>26</v>
      </c>
      <c r="H431" s="4" t="s">
        <v>18</v>
      </c>
      <c r="I431" s="4" t="s">
        <v>715</v>
      </c>
      <c r="J431" s="4" t="s">
        <v>715</v>
      </c>
      <c r="K431" s="5">
        <v>6366397</v>
      </c>
      <c r="L431" s="5">
        <v>308584</v>
      </c>
      <c r="M431" s="5">
        <v>19</v>
      </c>
      <c r="N431" s="5">
        <v>1</v>
      </c>
      <c r="O431" s="5">
        <v>0.8</v>
      </c>
      <c r="P431" s="5"/>
    </row>
    <row r="432" spans="1:16" x14ac:dyDescent="0.25">
      <c r="A432" s="4" t="s">
        <v>21</v>
      </c>
      <c r="B432" s="4" t="s">
        <v>250</v>
      </c>
      <c r="C432" s="5">
        <v>35901</v>
      </c>
      <c r="D432" s="4" t="s">
        <v>15</v>
      </c>
      <c r="E432" s="4" t="s">
        <v>252</v>
      </c>
      <c r="F432" s="4" t="s">
        <v>257</v>
      </c>
      <c r="G432" s="4" t="s">
        <v>26</v>
      </c>
      <c r="H432" s="4" t="s">
        <v>18</v>
      </c>
      <c r="I432" s="4" t="s">
        <v>715</v>
      </c>
      <c r="J432" s="4" t="s">
        <v>715</v>
      </c>
      <c r="K432" s="5">
        <v>6366397</v>
      </c>
      <c r="L432" s="5">
        <v>308584</v>
      </c>
      <c r="M432" s="5">
        <v>19</v>
      </c>
      <c r="N432" s="5">
        <v>1</v>
      </c>
      <c r="O432" s="5">
        <v>0.4</v>
      </c>
      <c r="P432" s="5"/>
    </row>
    <row r="433" spans="1:16" x14ac:dyDescent="0.25">
      <c r="A433" s="4" t="s">
        <v>21</v>
      </c>
      <c r="B433" s="4" t="s">
        <v>250</v>
      </c>
      <c r="C433" s="5">
        <v>35904</v>
      </c>
      <c r="D433" s="4" t="s">
        <v>15</v>
      </c>
      <c r="E433" s="4" t="s">
        <v>258</v>
      </c>
      <c r="F433" s="4" t="s">
        <v>259</v>
      </c>
      <c r="G433" s="4" t="s">
        <v>26</v>
      </c>
      <c r="H433" s="4" t="s">
        <v>18</v>
      </c>
      <c r="I433" s="4" t="s">
        <v>715</v>
      </c>
      <c r="J433" s="4" t="s">
        <v>715</v>
      </c>
      <c r="K433" s="5">
        <v>6366948</v>
      </c>
      <c r="L433" s="5">
        <v>314478</v>
      </c>
      <c r="M433" s="5">
        <v>19</v>
      </c>
      <c r="N433" s="5">
        <v>1</v>
      </c>
      <c r="O433" s="5">
        <v>3.6</v>
      </c>
      <c r="P433" s="5"/>
    </row>
    <row r="434" spans="1:16" x14ac:dyDescent="0.25">
      <c r="A434" s="4" t="s">
        <v>21</v>
      </c>
      <c r="B434" s="4" t="s">
        <v>250</v>
      </c>
      <c r="C434" s="5">
        <v>35905</v>
      </c>
      <c r="D434" s="4" t="s">
        <v>15</v>
      </c>
      <c r="E434" s="4" t="s">
        <v>258</v>
      </c>
      <c r="F434" s="4" t="s">
        <v>127</v>
      </c>
      <c r="G434" s="4" t="s">
        <v>26</v>
      </c>
      <c r="H434" s="4" t="s">
        <v>18</v>
      </c>
      <c r="I434" s="4" t="s">
        <v>715</v>
      </c>
      <c r="J434" s="4" t="s">
        <v>715</v>
      </c>
      <c r="K434" s="5">
        <v>6364848</v>
      </c>
      <c r="L434" s="5">
        <v>313516</v>
      </c>
      <c r="M434" s="5">
        <v>19</v>
      </c>
      <c r="N434" s="5">
        <v>1</v>
      </c>
      <c r="O434" s="5">
        <v>1.21</v>
      </c>
      <c r="P434" s="5"/>
    </row>
    <row r="435" spans="1:16" x14ac:dyDescent="0.25">
      <c r="A435" s="4" t="s">
        <v>21</v>
      </c>
      <c r="B435" s="4" t="s">
        <v>250</v>
      </c>
      <c r="C435" s="5">
        <v>35961</v>
      </c>
      <c r="D435" s="4" t="s">
        <v>37</v>
      </c>
      <c r="E435" s="4" t="s">
        <v>169</v>
      </c>
      <c r="F435" s="4" t="s">
        <v>256</v>
      </c>
      <c r="G435" s="4" t="s">
        <v>26</v>
      </c>
      <c r="H435" s="4" t="s">
        <v>27</v>
      </c>
      <c r="I435" s="4" t="s">
        <v>715</v>
      </c>
      <c r="J435" s="4" t="s">
        <v>638</v>
      </c>
      <c r="K435" s="5">
        <v>6221041</v>
      </c>
      <c r="L435" s="5">
        <v>338192</v>
      </c>
      <c r="M435" s="5">
        <v>19</v>
      </c>
      <c r="N435" s="5">
        <v>2</v>
      </c>
      <c r="O435" s="5">
        <v>7</v>
      </c>
      <c r="P435" s="5"/>
    </row>
    <row r="436" spans="1:16" x14ac:dyDescent="0.25">
      <c r="A436" s="4" t="s">
        <v>21</v>
      </c>
      <c r="B436" s="4" t="s">
        <v>250</v>
      </c>
      <c r="C436" s="5">
        <v>35964</v>
      </c>
      <c r="D436" s="4" t="s">
        <v>33</v>
      </c>
      <c r="E436" s="4" t="s">
        <v>43</v>
      </c>
      <c r="F436" s="4" t="s">
        <v>260</v>
      </c>
      <c r="G436" s="4" t="s">
        <v>26</v>
      </c>
      <c r="H436" s="4" t="s">
        <v>27</v>
      </c>
      <c r="I436" s="4" t="s">
        <v>715</v>
      </c>
      <c r="J436" s="4" t="s">
        <v>638</v>
      </c>
      <c r="K436" s="5">
        <v>6060539</v>
      </c>
      <c r="L436" s="5">
        <v>274312</v>
      </c>
      <c r="M436" s="5">
        <v>19</v>
      </c>
      <c r="N436" s="5">
        <v>2</v>
      </c>
      <c r="O436" s="5">
        <v>15</v>
      </c>
      <c r="P436" s="5"/>
    </row>
    <row r="437" spans="1:16" x14ac:dyDescent="0.25">
      <c r="A437" s="4" t="s">
        <v>21</v>
      </c>
      <c r="B437" s="4" t="s">
        <v>250</v>
      </c>
      <c r="C437" s="5">
        <v>35966</v>
      </c>
      <c r="D437" s="4" t="s">
        <v>33</v>
      </c>
      <c r="E437" s="4" t="s">
        <v>35</v>
      </c>
      <c r="F437" s="4" t="s">
        <v>140</v>
      </c>
      <c r="G437" s="4" t="s">
        <v>26</v>
      </c>
      <c r="H437" s="4" t="s">
        <v>27</v>
      </c>
      <c r="I437" s="4" t="s">
        <v>715</v>
      </c>
      <c r="J437" s="4" t="s">
        <v>638</v>
      </c>
      <c r="K437" s="5">
        <v>6133722</v>
      </c>
      <c r="L437" s="5">
        <v>316555</v>
      </c>
      <c r="M437" s="5">
        <v>19</v>
      </c>
      <c r="N437" s="5">
        <v>3</v>
      </c>
      <c r="O437" s="5">
        <v>20</v>
      </c>
      <c r="P437" s="5"/>
    </row>
    <row r="438" spans="1:16" x14ac:dyDescent="0.25">
      <c r="A438" s="4" t="s">
        <v>21</v>
      </c>
      <c r="B438" s="4" t="s">
        <v>250</v>
      </c>
      <c r="C438" s="5">
        <v>35968</v>
      </c>
      <c r="D438" s="4" t="s">
        <v>33</v>
      </c>
      <c r="E438" s="4" t="s">
        <v>35</v>
      </c>
      <c r="F438" s="4" t="s">
        <v>140</v>
      </c>
      <c r="G438" s="4" t="s">
        <v>26</v>
      </c>
      <c r="H438" s="4" t="s">
        <v>27</v>
      </c>
      <c r="I438" s="4" t="s">
        <v>715</v>
      </c>
      <c r="J438" s="4" t="s">
        <v>638</v>
      </c>
      <c r="K438" s="5">
        <v>6133730</v>
      </c>
      <c r="L438" s="5">
        <v>316119</v>
      </c>
      <c r="M438" s="5">
        <v>19</v>
      </c>
      <c r="N438" s="5">
        <v>3</v>
      </c>
      <c r="O438" s="5">
        <v>70</v>
      </c>
      <c r="P438" s="5"/>
    </row>
    <row r="439" spans="1:16" x14ac:dyDescent="0.25">
      <c r="A439" s="4" t="s">
        <v>21</v>
      </c>
      <c r="B439" s="4" t="s">
        <v>250</v>
      </c>
      <c r="C439" s="5">
        <v>35970</v>
      </c>
      <c r="D439" s="4" t="s">
        <v>33</v>
      </c>
      <c r="E439" s="4" t="s">
        <v>35</v>
      </c>
      <c r="F439" s="4" t="s">
        <v>140</v>
      </c>
      <c r="G439" s="4" t="s">
        <v>26</v>
      </c>
      <c r="H439" s="4" t="s">
        <v>27</v>
      </c>
      <c r="I439" s="4" t="s">
        <v>715</v>
      </c>
      <c r="J439" s="4" t="s">
        <v>638</v>
      </c>
      <c r="K439" s="5">
        <v>6131904</v>
      </c>
      <c r="L439" s="5">
        <v>317019</v>
      </c>
      <c r="M439" s="5">
        <v>19</v>
      </c>
      <c r="N439" s="5">
        <v>1</v>
      </c>
      <c r="O439" s="5">
        <v>4</v>
      </c>
      <c r="P439" s="5"/>
    </row>
    <row r="440" spans="1:16" x14ac:dyDescent="0.25">
      <c r="A440" s="4" t="s">
        <v>21</v>
      </c>
      <c r="B440" s="4" t="s">
        <v>250</v>
      </c>
      <c r="C440" s="5">
        <v>35973</v>
      </c>
      <c r="D440" s="4" t="s">
        <v>33</v>
      </c>
      <c r="E440" s="4" t="s">
        <v>35</v>
      </c>
      <c r="F440" s="4" t="s">
        <v>140</v>
      </c>
      <c r="G440" s="4" t="s">
        <v>26</v>
      </c>
      <c r="H440" s="4" t="s">
        <v>27</v>
      </c>
      <c r="I440" s="4" t="s">
        <v>715</v>
      </c>
      <c r="J440" s="4" t="s">
        <v>638</v>
      </c>
      <c r="K440" s="5">
        <v>6132477</v>
      </c>
      <c r="L440" s="5">
        <v>317067</v>
      </c>
      <c r="M440" s="5">
        <v>19</v>
      </c>
      <c r="N440" s="5">
        <v>3</v>
      </c>
      <c r="O440" s="5">
        <v>35</v>
      </c>
      <c r="P440" s="5"/>
    </row>
    <row r="441" spans="1:16" x14ac:dyDescent="0.25">
      <c r="A441" s="4" t="s">
        <v>21</v>
      </c>
      <c r="B441" s="4" t="s">
        <v>250</v>
      </c>
      <c r="C441" s="5">
        <v>35975</v>
      </c>
      <c r="D441" s="4" t="s">
        <v>33</v>
      </c>
      <c r="E441" s="4" t="s">
        <v>146</v>
      </c>
      <c r="F441" s="4" t="s">
        <v>165</v>
      </c>
      <c r="G441" s="4" t="s">
        <v>26</v>
      </c>
      <c r="H441" s="4" t="s">
        <v>18</v>
      </c>
      <c r="I441" s="4" t="s">
        <v>715</v>
      </c>
      <c r="J441" s="4" t="s">
        <v>715</v>
      </c>
      <c r="K441" s="5">
        <v>6050931</v>
      </c>
      <c r="L441" s="5">
        <v>277725</v>
      </c>
      <c r="M441" s="5">
        <v>19</v>
      </c>
      <c r="N441" s="5">
        <v>1</v>
      </c>
      <c r="O441" s="5">
        <v>0.4</v>
      </c>
      <c r="P441" s="5"/>
    </row>
    <row r="442" spans="1:16" x14ac:dyDescent="0.25">
      <c r="A442" s="4" t="s">
        <v>21</v>
      </c>
      <c r="B442" s="4" t="s">
        <v>250</v>
      </c>
      <c r="C442" s="5">
        <v>35980</v>
      </c>
      <c r="D442" s="4" t="s">
        <v>33</v>
      </c>
      <c r="E442" s="4" t="s">
        <v>45</v>
      </c>
      <c r="F442" s="4" t="s">
        <v>261</v>
      </c>
      <c r="G442" s="4" t="s">
        <v>26</v>
      </c>
      <c r="H442" s="4" t="s">
        <v>18</v>
      </c>
      <c r="I442" s="4" t="s">
        <v>715</v>
      </c>
      <c r="J442" s="4" t="s">
        <v>715</v>
      </c>
      <c r="K442" s="5">
        <v>6088711</v>
      </c>
      <c r="L442" s="5">
        <v>277710</v>
      </c>
      <c r="M442" s="5">
        <v>19</v>
      </c>
      <c r="N442" s="5">
        <v>1</v>
      </c>
      <c r="O442" s="5">
        <v>7</v>
      </c>
      <c r="P442" s="5"/>
    </row>
    <row r="443" spans="1:16" x14ac:dyDescent="0.25">
      <c r="A443" s="4" t="s">
        <v>21</v>
      </c>
      <c r="B443" s="4" t="s">
        <v>250</v>
      </c>
      <c r="C443" s="5">
        <v>35981</v>
      </c>
      <c r="D443" s="4" t="s">
        <v>33</v>
      </c>
      <c r="E443" s="4" t="s">
        <v>35</v>
      </c>
      <c r="F443" s="4" t="s">
        <v>35</v>
      </c>
      <c r="G443" s="4" t="s">
        <v>26</v>
      </c>
      <c r="H443" s="4" t="s">
        <v>27</v>
      </c>
      <c r="I443" s="4" t="s">
        <v>715</v>
      </c>
      <c r="J443" s="4" t="s">
        <v>638</v>
      </c>
      <c r="K443" s="5">
        <v>6134845</v>
      </c>
      <c r="L443" s="5">
        <v>315584</v>
      </c>
      <c r="M443" s="5">
        <v>19</v>
      </c>
      <c r="N443" s="5">
        <v>2</v>
      </c>
      <c r="O443" s="5">
        <v>16</v>
      </c>
      <c r="P443" s="5"/>
    </row>
    <row r="444" spans="1:16" x14ac:dyDescent="0.25">
      <c r="A444" s="4" t="s">
        <v>21</v>
      </c>
      <c r="B444" s="4" t="s">
        <v>250</v>
      </c>
      <c r="C444" s="5">
        <v>35983</v>
      </c>
      <c r="D444" s="4" t="s">
        <v>33</v>
      </c>
      <c r="E444" s="4" t="s">
        <v>35</v>
      </c>
      <c r="F444" s="4" t="s">
        <v>140</v>
      </c>
      <c r="G444" s="4" t="s">
        <v>26</v>
      </c>
      <c r="H444" s="4" t="s">
        <v>27</v>
      </c>
      <c r="I444" s="4" t="s">
        <v>715</v>
      </c>
      <c r="J444" s="4" t="s">
        <v>638</v>
      </c>
      <c r="K444" s="5">
        <v>6135224</v>
      </c>
      <c r="L444" s="5">
        <v>315629</v>
      </c>
      <c r="M444" s="5">
        <v>19</v>
      </c>
      <c r="N444" s="5">
        <v>3</v>
      </c>
      <c r="O444" s="5">
        <v>16</v>
      </c>
      <c r="P444" s="5"/>
    </row>
    <row r="445" spans="1:16" x14ac:dyDescent="0.25">
      <c r="A445" s="4" t="s">
        <v>21</v>
      </c>
      <c r="B445" s="4" t="s">
        <v>250</v>
      </c>
      <c r="C445" s="5">
        <v>35985</v>
      </c>
      <c r="D445" s="4" t="s">
        <v>33</v>
      </c>
      <c r="E445" s="4" t="s">
        <v>35</v>
      </c>
      <c r="F445" s="4" t="s">
        <v>140</v>
      </c>
      <c r="G445" s="4" t="s">
        <v>26</v>
      </c>
      <c r="H445" s="4" t="s">
        <v>27</v>
      </c>
      <c r="I445" s="4" t="s">
        <v>715</v>
      </c>
      <c r="J445" s="4" t="s">
        <v>638</v>
      </c>
      <c r="K445" s="5">
        <v>6132482</v>
      </c>
      <c r="L445" s="5">
        <v>316364</v>
      </c>
      <c r="M445" s="5">
        <v>19</v>
      </c>
      <c r="N445" s="5">
        <v>3</v>
      </c>
      <c r="O445" s="5">
        <v>18</v>
      </c>
      <c r="P445" s="5"/>
    </row>
    <row r="446" spans="1:16" x14ac:dyDescent="0.25">
      <c r="A446" s="4" t="s">
        <v>21</v>
      </c>
      <c r="B446" s="4" t="s">
        <v>250</v>
      </c>
      <c r="C446" s="5">
        <v>35989</v>
      </c>
      <c r="D446" s="4" t="s">
        <v>33</v>
      </c>
      <c r="E446" s="4" t="s">
        <v>35</v>
      </c>
      <c r="F446" s="4" t="s">
        <v>140</v>
      </c>
      <c r="G446" s="4" t="s">
        <v>26</v>
      </c>
      <c r="H446" s="4" t="s">
        <v>18</v>
      </c>
      <c r="I446" s="4" t="s">
        <v>715</v>
      </c>
      <c r="J446" s="4" t="s">
        <v>715</v>
      </c>
      <c r="K446" s="5">
        <v>6132214</v>
      </c>
      <c r="L446" s="5">
        <v>315108</v>
      </c>
      <c r="M446" s="5">
        <v>19</v>
      </c>
      <c r="N446" s="5">
        <v>1</v>
      </c>
      <c r="O446" s="5">
        <v>0.4</v>
      </c>
      <c r="P446" s="5"/>
    </row>
    <row r="447" spans="1:16" x14ac:dyDescent="0.25">
      <c r="A447" s="4" t="s">
        <v>21</v>
      </c>
      <c r="B447" s="4" t="s">
        <v>250</v>
      </c>
      <c r="C447" s="5">
        <v>35996</v>
      </c>
      <c r="D447" s="4" t="s">
        <v>33</v>
      </c>
      <c r="E447" s="4" t="s">
        <v>167</v>
      </c>
      <c r="F447" s="4" t="s">
        <v>262</v>
      </c>
      <c r="G447" s="4" t="s">
        <v>26</v>
      </c>
      <c r="H447" s="4" t="s">
        <v>27</v>
      </c>
      <c r="I447" s="4" t="s">
        <v>715</v>
      </c>
      <c r="J447" s="4" t="s">
        <v>638</v>
      </c>
      <c r="K447" s="5">
        <v>6102873</v>
      </c>
      <c r="L447" s="5">
        <v>292578</v>
      </c>
      <c r="M447" s="5">
        <v>19</v>
      </c>
      <c r="N447" s="5">
        <v>3</v>
      </c>
      <c r="O447" s="5">
        <v>14</v>
      </c>
      <c r="P447" s="5"/>
    </row>
    <row r="448" spans="1:16" x14ac:dyDescent="0.25">
      <c r="A448" s="4" t="s">
        <v>21</v>
      </c>
      <c r="B448" s="4" t="s">
        <v>250</v>
      </c>
      <c r="C448" s="5">
        <v>35999</v>
      </c>
      <c r="D448" s="4" t="s">
        <v>33</v>
      </c>
      <c r="E448" s="4" t="s">
        <v>35</v>
      </c>
      <c r="F448" s="4" t="s">
        <v>140</v>
      </c>
      <c r="G448" s="4" t="s">
        <v>26</v>
      </c>
      <c r="H448" s="4" t="s">
        <v>27</v>
      </c>
      <c r="I448" s="4" t="s">
        <v>715</v>
      </c>
      <c r="J448" s="4" t="s">
        <v>638</v>
      </c>
      <c r="K448" s="5">
        <v>6135147</v>
      </c>
      <c r="L448" s="5">
        <v>314445</v>
      </c>
      <c r="M448" s="5">
        <v>19</v>
      </c>
      <c r="N448" s="5">
        <v>3</v>
      </c>
      <c r="O448" s="5">
        <v>40</v>
      </c>
      <c r="P448" s="5"/>
    </row>
    <row r="449" spans="1:16" x14ac:dyDescent="0.25">
      <c r="A449" s="4" t="s">
        <v>21</v>
      </c>
      <c r="B449" s="4" t="s">
        <v>250</v>
      </c>
      <c r="C449" s="5">
        <v>36021</v>
      </c>
      <c r="D449" s="4" t="s">
        <v>33</v>
      </c>
      <c r="E449" s="4" t="s">
        <v>50</v>
      </c>
      <c r="F449" s="4" t="s">
        <v>50</v>
      </c>
      <c r="G449" s="4" t="s">
        <v>26</v>
      </c>
      <c r="H449" s="4" t="s">
        <v>18</v>
      </c>
      <c r="I449" s="4" t="s">
        <v>715</v>
      </c>
      <c r="J449" s="4" t="s">
        <v>715</v>
      </c>
      <c r="K449" s="5">
        <v>6129739</v>
      </c>
      <c r="L449" s="5">
        <v>310231</v>
      </c>
      <c r="M449" s="5">
        <v>19</v>
      </c>
      <c r="N449" s="5">
        <v>1</v>
      </c>
      <c r="O449" s="5">
        <v>0.4</v>
      </c>
      <c r="P449" s="5"/>
    </row>
    <row r="450" spans="1:16" x14ac:dyDescent="0.25">
      <c r="A450" s="4" t="s">
        <v>21</v>
      </c>
      <c r="B450" s="4" t="s">
        <v>250</v>
      </c>
      <c r="C450" s="5">
        <v>36023</v>
      </c>
      <c r="D450" s="4" t="s">
        <v>33</v>
      </c>
      <c r="E450" s="4" t="s">
        <v>50</v>
      </c>
      <c r="F450" s="4" t="s">
        <v>263</v>
      </c>
      <c r="G450" s="4" t="s">
        <v>26</v>
      </c>
      <c r="H450" s="4" t="s">
        <v>18</v>
      </c>
      <c r="I450" s="4" t="s">
        <v>715</v>
      </c>
      <c r="J450" s="4" t="s">
        <v>715</v>
      </c>
      <c r="K450" s="5">
        <v>6129556</v>
      </c>
      <c r="L450" s="5">
        <v>311872</v>
      </c>
      <c r="M450" s="5">
        <v>19</v>
      </c>
      <c r="N450" s="5">
        <v>1</v>
      </c>
      <c r="O450" s="5">
        <v>0.4</v>
      </c>
      <c r="P450" s="5"/>
    </row>
    <row r="451" spans="1:16" x14ac:dyDescent="0.25">
      <c r="A451" s="4" t="s">
        <v>21</v>
      </c>
      <c r="B451" s="4" t="s">
        <v>250</v>
      </c>
      <c r="C451" s="5">
        <v>36025</v>
      </c>
      <c r="D451" s="4" t="s">
        <v>33</v>
      </c>
      <c r="E451" s="4" t="s">
        <v>35</v>
      </c>
      <c r="F451" s="4" t="s">
        <v>140</v>
      </c>
      <c r="G451" s="4" t="s">
        <v>26</v>
      </c>
      <c r="H451" s="4" t="s">
        <v>18</v>
      </c>
      <c r="I451" s="4" t="s">
        <v>715</v>
      </c>
      <c r="J451" s="4" t="s">
        <v>715</v>
      </c>
      <c r="K451" s="5">
        <v>6132224</v>
      </c>
      <c r="L451" s="5">
        <v>317955</v>
      </c>
      <c r="M451" s="5">
        <v>19</v>
      </c>
      <c r="N451" s="5">
        <v>2</v>
      </c>
      <c r="O451" s="5">
        <v>7</v>
      </c>
      <c r="P451" s="5"/>
    </row>
    <row r="452" spans="1:16" x14ac:dyDescent="0.25">
      <c r="A452" s="4" t="s">
        <v>21</v>
      </c>
      <c r="B452" s="4" t="s">
        <v>250</v>
      </c>
      <c r="C452" s="5">
        <v>36026</v>
      </c>
      <c r="D452" s="4" t="s">
        <v>33</v>
      </c>
      <c r="E452" s="4" t="s">
        <v>35</v>
      </c>
      <c r="F452" s="4" t="s">
        <v>264</v>
      </c>
      <c r="G452" s="4" t="s">
        <v>26</v>
      </c>
      <c r="H452" s="4" t="s">
        <v>18</v>
      </c>
      <c r="I452" s="4" t="s">
        <v>715</v>
      </c>
      <c r="J452" s="4" t="s">
        <v>715</v>
      </c>
      <c r="K452" s="5">
        <v>6131577</v>
      </c>
      <c r="L452" s="5">
        <v>315693</v>
      </c>
      <c r="M452" s="5">
        <v>19</v>
      </c>
      <c r="N452" s="5">
        <v>2</v>
      </c>
      <c r="O452" s="5">
        <v>7</v>
      </c>
      <c r="P452" s="5"/>
    </row>
    <row r="453" spans="1:16" x14ac:dyDescent="0.25">
      <c r="A453" s="4" t="s">
        <v>21</v>
      </c>
      <c r="B453" s="4" t="s">
        <v>250</v>
      </c>
      <c r="C453" s="5">
        <v>36027</v>
      </c>
      <c r="D453" s="4" t="s">
        <v>33</v>
      </c>
      <c r="E453" s="4" t="s">
        <v>35</v>
      </c>
      <c r="F453" s="4" t="s">
        <v>265</v>
      </c>
      <c r="G453" s="4" t="s">
        <v>26</v>
      </c>
      <c r="H453" s="4" t="s">
        <v>18</v>
      </c>
      <c r="I453" s="4" t="s">
        <v>715</v>
      </c>
      <c r="J453" s="4" t="s">
        <v>715</v>
      </c>
      <c r="K453" s="5">
        <v>6132398</v>
      </c>
      <c r="L453" s="5">
        <v>318635</v>
      </c>
      <c r="M453" s="5">
        <v>19</v>
      </c>
      <c r="N453" s="5">
        <v>1</v>
      </c>
      <c r="O453" s="5">
        <v>0.81</v>
      </c>
      <c r="P453" s="5"/>
    </row>
    <row r="454" spans="1:16" x14ac:dyDescent="0.25">
      <c r="A454" s="4" t="s">
        <v>21</v>
      </c>
      <c r="B454" s="4" t="s">
        <v>250</v>
      </c>
      <c r="C454" s="5">
        <v>36031</v>
      </c>
      <c r="D454" s="4" t="s">
        <v>33</v>
      </c>
      <c r="E454" s="4" t="s">
        <v>35</v>
      </c>
      <c r="F454" s="4" t="s">
        <v>266</v>
      </c>
      <c r="G454" s="4" t="s">
        <v>26</v>
      </c>
      <c r="H454" s="4" t="s">
        <v>18</v>
      </c>
      <c r="I454" s="4" t="s">
        <v>715</v>
      </c>
      <c r="J454" s="4" t="s">
        <v>715</v>
      </c>
      <c r="K454" s="5">
        <v>6139615</v>
      </c>
      <c r="L454" s="5">
        <v>313553</v>
      </c>
      <c r="M454" s="5">
        <v>19</v>
      </c>
      <c r="N454" s="5">
        <v>1</v>
      </c>
      <c r="O454" s="5">
        <v>0.81</v>
      </c>
      <c r="P454" s="5"/>
    </row>
    <row r="455" spans="1:16" x14ac:dyDescent="0.25">
      <c r="A455" s="4" t="s">
        <v>21</v>
      </c>
      <c r="B455" s="4" t="s">
        <v>250</v>
      </c>
      <c r="C455" s="5">
        <v>36035</v>
      </c>
      <c r="D455" s="4" t="s">
        <v>33</v>
      </c>
      <c r="E455" s="4" t="s">
        <v>50</v>
      </c>
      <c r="F455" s="4" t="s">
        <v>50</v>
      </c>
      <c r="G455" s="4" t="s">
        <v>26</v>
      </c>
      <c r="H455" s="4" t="s">
        <v>18</v>
      </c>
      <c r="I455" s="4" t="s">
        <v>715</v>
      </c>
      <c r="J455" s="4" t="s">
        <v>715</v>
      </c>
      <c r="K455" s="5">
        <v>6129325</v>
      </c>
      <c r="L455" s="5">
        <v>305154</v>
      </c>
      <c r="M455" s="5">
        <v>19</v>
      </c>
      <c r="N455" s="5">
        <v>1</v>
      </c>
      <c r="O455" s="5">
        <v>0.4</v>
      </c>
      <c r="P455" s="5"/>
    </row>
    <row r="456" spans="1:16" x14ac:dyDescent="0.25">
      <c r="A456" s="4" t="s">
        <v>21</v>
      </c>
      <c r="B456" s="4" t="s">
        <v>250</v>
      </c>
      <c r="C456" s="5">
        <v>36036</v>
      </c>
      <c r="D456" s="4" t="s">
        <v>33</v>
      </c>
      <c r="E456" s="4" t="s">
        <v>118</v>
      </c>
      <c r="F456" s="4" t="s">
        <v>267</v>
      </c>
      <c r="G456" s="4" t="s">
        <v>26</v>
      </c>
      <c r="H456" s="4" t="s">
        <v>128</v>
      </c>
      <c r="I456" s="4" t="s">
        <v>715</v>
      </c>
      <c r="J456" s="4" t="s">
        <v>638</v>
      </c>
      <c r="K456" s="5">
        <v>6030455</v>
      </c>
      <c r="L456" s="5">
        <v>273340</v>
      </c>
      <c r="M456" s="5">
        <v>19</v>
      </c>
      <c r="N456" s="5">
        <v>1</v>
      </c>
      <c r="O456" s="5">
        <v>0.6</v>
      </c>
      <c r="P456" s="5"/>
    </row>
    <row r="457" spans="1:16" x14ac:dyDescent="0.25">
      <c r="A457" s="4" t="s">
        <v>21</v>
      </c>
      <c r="B457" s="4" t="s">
        <v>250</v>
      </c>
      <c r="C457" s="5">
        <v>36060</v>
      </c>
      <c r="D457" s="4" t="s">
        <v>33</v>
      </c>
      <c r="E457" s="4" t="s">
        <v>47</v>
      </c>
      <c r="F457" s="4" t="s">
        <v>268</v>
      </c>
      <c r="G457" s="4" t="s">
        <v>26</v>
      </c>
      <c r="H457" s="4" t="s">
        <v>18</v>
      </c>
      <c r="I457" s="4" t="s">
        <v>715</v>
      </c>
      <c r="J457" s="4" t="s">
        <v>715</v>
      </c>
      <c r="K457" s="5">
        <v>6087378</v>
      </c>
      <c r="L457" s="5">
        <v>287198</v>
      </c>
      <c r="M457" s="5">
        <v>19</v>
      </c>
      <c r="N457" s="5">
        <v>1</v>
      </c>
      <c r="O457" s="5">
        <v>0.4</v>
      </c>
      <c r="P457" s="5"/>
    </row>
    <row r="458" spans="1:16" x14ac:dyDescent="0.25">
      <c r="A458" s="4" t="s">
        <v>21</v>
      </c>
      <c r="B458" s="4" t="s">
        <v>250</v>
      </c>
      <c r="C458" s="5">
        <v>36107</v>
      </c>
      <c r="D458" s="4" t="s">
        <v>33</v>
      </c>
      <c r="E458" s="4" t="s">
        <v>34</v>
      </c>
      <c r="F458" s="4" t="s">
        <v>251</v>
      </c>
      <c r="G458" s="4" t="s">
        <v>26</v>
      </c>
      <c r="H458" s="4" t="s">
        <v>18</v>
      </c>
      <c r="I458" s="4" t="s">
        <v>715</v>
      </c>
      <c r="J458" s="4" t="s">
        <v>715</v>
      </c>
      <c r="K458" s="5">
        <v>6118452</v>
      </c>
      <c r="L458" s="5">
        <v>303441</v>
      </c>
      <c r="M458" s="5">
        <v>19</v>
      </c>
      <c r="N458" s="5">
        <v>1</v>
      </c>
      <c r="O458" s="5">
        <v>11</v>
      </c>
      <c r="P458" s="5"/>
    </row>
    <row r="459" spans="1:16" x14ac:dyDescent="0.25">
      <c r="A459" s="4" t="s">
        <v>21</v>
      </c>
      <c r="B459" s="4" t="s">
        <v>250</v>
      </c>
      <c r="C459" s="5">
        <v>36134</v>
      </c>
      <c r="D459" s="4" t="s">
        <v>33</v>
      </c>
      <c r="E459" s="4" t="s">
        <v>47</v>
      </c>
      <c r="F459" s="4" t="s">
        <v>268</v>
      </c>
      <c r="G459" s="4" t="s">
        <v>26</v>
      </c>
      <c r="H459" s="4" t="s">
        <v>18</v>
      </c>
      <c r="I459" s="4" t="s">
        <v>715</v>
      </c>
      <c r="J459" s="4" t="s">
        <v>715</v>
      </c>
      <c r="K459" s="5">
        <v>6087502</v>
      </c>
      <c r="L459" s="5">
        <v>285844</v>
      </c>
      <c r="M459" s="5">
        <v>19</v>
      </c>
      <c r="N459" s="5">
        <v>1</v>
      </c>
      <c r="O459" s="5">
        <v>0.4</v>
      </c>
      <c r="P459" s="5"/>
    </row>
    <row r="460" spans="1:16" x14ac:dyDescent="0.25">
      <c r="A460" s="4" t="s">
        <v>21</v>
      </c>
      <c r="B460" s="4" t="s">
        <v>250</v>
      </c>
      <c r="C460" s="5">
        <v>36200</v>
      </c>
      <c r="D460" s="4" t="s">
        <v>37</v>
      </c>
      <c r="E460" s="4" t="s">
        <v>38</v>
      </c>
      <c r="F460" s="4" t="s">
        <v>269</v>
      </c>
      <c r="G460" s="4" t="s">
        <v>26</v>
      </c>
      <c r="H460" s="4" t="s">
        <v>27</v>
      </c>
      <c r="I460" s="4" t="s">
        <v>715</v>
      </c>
      <c r="J460" s="4" t="s">
        <v>715</v>
      </c>
      <c r="K460" s="5">
        <v>6170449</v>
      </c>
      <c r="L460" s="5">
        <v>315177</v>
      </c>
      <c r="M460" s="5">
        <v>19</v>
      </c>
      <c r="N460" s="5">
        <v>1</v>
      </c>
      <c r="O460" s="5">
        <v>8.5</v>
      </c>
      <c r="P460" s="5"/>
    </row>
    <row r="461" spans="1:16" x14ac:dyDescent="0.25">
      <c r="A461" s="4" t="s">
        <v>21</v>
      </c>
      <c r="B461" s="4" t="s">
        <v>250</v>
      </c>
      <c r="C461" s="5">
        <v>36203</v>
      </c>
      <c r="D461" s="4" t="s">
        <v>33</v>
      </c>
      <c r="E461" s="4" t="s">
        <v>122</v>
      </c>
      <c r="F461" s="4" t="s">
        <v>270</v>
      </c>
      <c r="G461" s="4" t="s">
        <v>26</v>
      </c>
      <c r="H461" s="4" t="s">
        <v>27</v>
      </c>
      <c r="I461" s="4" t="s">
        <v>715</v>
      </c>
      <c r="J461" s="4" t="s">
        <v>638</v>
      </c>
      <c r="K461" s="5">
        <v>6105924</v>
      </c>
      <c r="L461" s="5">
        <v>297065</v>
      </c>
      <c r="M461" s="5">
        <v>19</v>
      </c>
      <c r="N461" s="5">
        <v>1</v>
      </c>
      <c r="O461" s="5">
        <v>10.5</v>
      </c>
      <c r="P461" s="5"/>
    </row>
    <row r="462" spans="1:16" x14ac:dyDescent="0.25">
      <c r="A462" s="4" t="s">
        <v>21</v>
      </c>
      <c r="B462" s="4" t="s">
        <v>250</v>
      </c>
      <c r="C462" s="5">
        <v>36204</v>
      </c>
      <c r="D462" s="4" t="s">
        <v>37</v>
      </c>
      <c r="E462" s="4" t="s">
        <v>169</v>
      </c>
      <c r="F462" s="4" t="s">
        <v>271</v>
      </c>
      <c r="G462" s="4" t="s">
        <v>26</v>
      </c>
      <c r="H462" s="4" t="s">
        <v>27</v>
      </c>
      <c r="I462" s="4" t="s">
        <v>715</v>
      </c>
      <c r="J462" s="4" t="s">
        <v>638</v>
      </c>
      <c r="K462" s="5">
        <v>6222992</v>
      </c>
      <c r="L462" s="5">
        <v>337218</v>
      </c>
      <c r="M462" s="5">
        <v>19</v>
      </c>
      <c r="N462" s="5">
        <v>1</v>
      </c>
      <c r="O462" s="5">
        <v>6</v>
      </c>
      <c r="P462" s="5"/>
    </row>
    <row r="463" spans="1:16" x14ac:dyDescent="0.25">
      <c r="A463" s="4" t="s">
        <v>21</v>
      </c>
      <c r="B463" s="4" t="s">
        <v>250</v>
      </c>
      <c r="C463" s="5">
        <v>36256</v>
      </c>
      <c r="D463" s="4" t="s">
        <v>37</v>
      </c>
      <c r="E463" s="4" t="s">
        <v>38</v>
      </c>
      <c r="F463" s="4" t="s">
        <v>38</v>
      </c>
      <c r="G463" s="4" t="s">
        <v>26</v>
      </c>
      <c r="H463" s="4" t="s">
        <v>27</v>
      </c>
      <c r="I463" s="4" t="s">
        <v>715</v>
      </c>
      <c r="J463" s="4" t="s">
        <v>638</v>
      </c>
      <c r="K463" s="5">
        <v>6168794</v>
      </c>
      <c r="L463" s="5">
        <v>317165</v>
      </c>
      <c r="M463" s="5">
        <v>19</v>
      </c>
      <c r="N463" s="5">
        <v>1</v>
      </c>
      <c r="O463" s="5">
        <v>8.5</v>
      </c>
      <c r="P463" s="5"/>
    </row>
    <row r="464" spans="1:16" x14ac:dyDescent="0.25">
      <c r="A464" s="4" t="s">
        <v>21</v>
      </c>
      <c r="B464" s="4" t="s">
        <v>250</v>
      </c>
      <c r="C464" s="5">
        <v>36262</v>
      </c>
      <c r="D464" s="4" t="s">
        <v>33</v>
      </c>
      <c r="E464" s="4" t="s">
        <v>43</v>
      </c>
      <c r="F464" s="4" t="s">
        <v>272</v>
      </c>
      <c r="G464" s="4" t="s">
        <v>26</v>
      </c>
      <c r="H464" s="4" t="s">
        <v>27</v>
      </c>
      <c r="I464" s="4" t="s">
        <v>715</v>
      </c>
      <c r="J464" s="4" t="s">
        <v>715</v>
      </c>
      <c r="K464" s="5">
        <v>6061936</v>
      </c>
      <c r="L464" s="5">
        <v>281106</v>
      </c>
      <c r="M464" s="5">
        <v>19</v>
      </c>
      <c r="N464" s="5">
        <v>5</v>
      </c>
      <c r="O464" s="5">
        <v>34.1</v>
      </c>
      <c r="P464" s="5"/>
    </row>
    <row r="465" spans="1:16" x14ac:dyDescent="0.25">
      <c r="A465" s="4" t="s">
        <v>21</v>
      </c>
      <c r="B465" s="4" t="s">
        <v>250</v>
      </c>
      <c r="C465" s="5">
        <v>36337</v>
      </c>
      <c r="D465" s="4" t="s">
        <v>15</v>
      </c>
      <c r="E465" s="4" t="s">
        <v>258</v>
      </c>
      <c r="F465" s="4" t="s">
        <v>273</v>
      </c>
      <c r="G465" s="4" t="s">
        <v>26</v>
      </c>
      <c r="H465" s="4" t="s">
        <v>18</v>
      </c>
      <c r="I465" s="4" t="s">
        <v>715</v>
      </c>
      <c r="J465" s="4" t="s">
        <v>715</v>
      </c>
      <c r="K465" s="5">
        <v>6361696</v>
      </c>
      <c r="L465" s="5">
        <v>318113</v>
      </c>
      <c r="M465" s="5">
        <v>19</v>
      </c>
      <c r="N465" s="5">
        <v>1</v>
      </c>
      <c r="O465" s="5">
        <v>2.4</v>
      </c>
      <c r="P465" s="5"/>
    </row>
    <row r="466" spans="1:16" x14ac:dyDescent="0.25">
      <c r="A466" s="4" t="s">
        <v>21</v>
      </c>
      <c r="B466" s="4" t="s">
        <v>250</v>
      </c>
      <c r="C466" s="5">
        <v>36409</v>
      </c>
      <c r="D466" s="4" t="s">
        <v>37</v>
      </c>
      <c r="E466" s="4" t="s">
        <v>38</v>
      </c>
      <c r="F466" s="4" t="s">
        <v>274</v>
      </c>
      <c r="G466" s="4" t="s">
        <v>26</v>
      </c>
      <c r="H466" s="4" t="s">
        <v>27</v>
      </c>
      <c r="I466" s="4" t="s">
        <v>715</v>
      </c>
      <c r="J466" s="4" t="s">
        <v>638</v>
      </c>
      <c r="K466" s="5">
        <v>6168635</v>
      </c>
      <c r="L466" s="5">
        <v>316731</v>
      </c>
      <c r="M466" s="5">
        <v>19</v>
      </c>
      <c r="N466" s="5">
        <v>1</v>
      </c>
      <c r="O466" s="5">
        <v>9</v>
      </c>
      <c r="P466" s="5"/>
    </row>
    <row r="467" spans="1:16" x14ac:dyDescent="0.25">
      <c r="A467" s="4" t="s">
        <v>21</v>
      </c>
      <c r="B467" s="4" t="s">
        <v>250</v>
      </c>
      <c r="C467" s="5">
        <v>36426</v>
      </c>
      <c r="D467" s="4" t="s">
        <v>33</v>
      </c>
      <c r="E467" s="4" t="s">
        <v>137</v>
      </c>
      <c r="F467" s="4" t="s">
        <v>275</v>
      </c>
      <c r="G467" s="4" t="s">
        <v>26</v>
      </c>
      <c r="H467" s="4" t="s">
        <v>27</v>
      </c>
      <c r="I467" s="4" t="s">
        <v>715</v>
      </c>
      <c r="J467" s="4" t="s">
        <v>715</v>
      </c>
      <c r="K467" s="5">
        <v>6054213</v>
      </c>
      <c r="L467" s="5">
        <v>279922</v>
      </c>
      <c r="M467" s="5">
        <v>19</v>
      </c>
      <c r="N467" s="5">
        <v>3</v>
      </c>
      <c r="O467" s="5">
        <v>9.9</v>
      </c>
      <c r="P467" s="5"/>
    </row>
    <row r="468" spans="1:16" x14ac:dyDescent="0.25">
      <c r="A468" s="4" t="s">
        <v>21</v>
      </c>
      <c r="B468" s="4" t="s">
        <v>250</v>
      </c>
      <c r="C468" s="5">
        <v>36440</v>
      </c>
      <c r="D468" s="4" t="s">
        <v>33</v>
      </c>
      <c r="E468" s="4" t="s">
        <v>45</v>
      </c>
      <c r="F468" s="4" t="s">
        <v>45</v>
      </c>
      <c r="G468" s="4" t="s">
        <v>26</v>
      </c>
      <c r="H468" s="4" t="s">
        <v>27</v>
      </c>
      <c r="I468" s="4" t="s">
        <v>715</v>
      </c>
      <c r="J468" s="4" t="s">
        <v>638</v>
      </c>
      <c r="K468" s="5">
        <v>6089541</v>
      </c>
      <c r="L468" s="5">
        <v>275048</v>
      </c>
      <c r="M468" s="5">
        <v>19</v>
      </c>
      <c r="N468" s="5">
        <v>2</v>
      </c>
      <c r="O468" s="5">
        <v>17</v>
      </c>
      <c r="P468" s="5"/>
    </row>
    <row r="469" spans="1:16" x14ac:dyDescent="0.25">
      <c r="A469" s="4" t="s">
        <v>21</v>
      </c>
      <c r="B469" s="4" t="s">
        <v>250</v>
      </c>
      <c r="C469" s="5">
        <v>36532</v>
      </c>
      <c r="D469" s="4" t="s">
        <v>37</v>
      </c>
      <c r="E469" s="4" t="s">
        <v>38</v>
      </c>
      <c r="F469" s="4" t="s">
        <v>276</v>
      </c>
      <c r="G469" s="4" t="s">
        <v>26</v>
      </c>
      <c r="H469" s="4" t="s">
        <v>27</v>
      </c>
      <c r="I469" s="4" t="s">
        <v>715</v>
      </c>
      <c r="J469" s="4" t="s">
        <v>715</v>
      </c>
      <c r="K469" s="5">
        <v>6172849</v>
      </c>
      <c r="L469" s="5">
        <v>323184</v>
      </c>
      <c r="M469" s="5">
        <v>19</v>
      </c>
      <c r="N469" s="5">
        <v>1</v>
      </c>
      <c r="O469" s="5">
        <v>5</v>
      </c>
      <c r="P469" s="5"/>
    </row>
    <row r="470" spans="1:16" x14ac:dyDescent="0.25">
      <c r="A470" s="4" t="s">
        <v>21</v>
      </c>
      <c r="B470" s="4" t="s">
        <v>250</v>
      </c>
      <c r="C470" s="5">
        <v>36540</v>
      </c>
      <c r="D470" s="4" t="s">
        <v>33</v>
      </c>
      <c r="E470" s="4" t="s">
        <v>35</v>
      </c>
      <c r="F470" s="4" t="s">
        <v>140</v>
      </c>
      <c r="G470" s="4" t="s">
        <v>26</v>
      </c>
      <c r="H470" s="4" t="s">
        <v>27</v>
      </c>
      <c r="I470" s="4" t="s">
        <v>715</v>
      </c>
      <c r="J470" s="4" t="s">
        <v>638</v>
      </c>
      <c r="K470" s="5">
        <v>6132620</v>
      </c>
      <c r="L470" s="5">
        <v>314388</v>
      </c>
      <c r="M470" s="5">
        <v>19</v>
      </c>
      <c r="N470" s="5">
        <v>1</v>
      </c>
      <c r="O470" s="5">
        <v>10.5</v>
      </c>
      <c r="P470" s="5"/>
    </row>
    <row r="471" spans="1:16" x14ac:dyDescent="0.25">
      <c r="A471" s="4" t="s">
        <v>21</v>
      </c>
      <c r="B471" s="4" t="s">
        <v>250</v>
      </c>
      <c r="C471" s="5">
        <v>36551</v>
      </c>
      <c r="D471" s="4" t="s">
        <v>15</v>
      </c>
      <c r="E471" s="4" t="s">
        <v>252</v>
      </c>
      <c r="F471" s="4" t="s">
        <v>50</v>
      </c>
      <c r="G471" s="4" t="s">
        <v>26</v>
      </c>
      <c r="H471" s="4" t="s">
        <v>128</v>
      </c>
      <c r="I471" s="4" t="s">
        <v>715</v>
      </c>
      <c r="J471" s="4" t="s">
        <v>638</v>
      </c>
      <c r="K471" s="5">
        <v>6365473</v>
      </c>
      <c r="L471" s="5">
        <v>310934</v>
      </c>
      <c r="M471" s="5">
        <v>19</v>
      </c>
      <c r="N471" s="5">
        <v>1</v>
      </c>
      <c r="O471" s="5">
        <v>0.81</v>
      </c>
      <c r="P471" s="5"/>
    </row>
    <row r="472" spans="1:16" x14ac:dyDescent="0.25">
      <c r="A472" s="4" t="s">
        <v>21</v>
      </c>
      <c r="B472" s="4" t="s">
        <v>250</v>
      </c>
      <c r="C472" s="5">
        <v>36552</v>
      </c>
      <c r="D472" s="4" t="s">
        <v>15</v>
      </c>
      <c r="E472" s="4" t="s">
        <v>252</v>
      </c>
      <c r="F472" s="4" t="s">
        <v>50</v>
      </c>
      <c r="G472" s="4" t="s">
        <v>26</v>
      </c>
      <c r="H472" s="4" t="s">
        <v>18</v>
      </c>
      <c r="I472" s="4" t="s">
        <v>715</v>
      </c>
      <c r="J472" s="4" t="s">
        <v>715</v>
      </c>
      <c r="K472" s="5">
        <v>6365473</v>
      </c>
      <c r="L472" s="5">
        <v>310934</v>
      </c>
      <c r="M472" s="5">
        <v>19</v>
      </c>
      <c r="N472" s="5">
        <v>1</v>
      </c>
      <c r="O472" s="5">
        <v>0.81</v>
      </c>
      <c r="P472" s="5"/>
    </row>
    <row r="473" spans="1:16" x14ac:dyDescent="0.25">
      <c r="A473" s="4" t="s">
        <v>21</v>
      </c>
      <c r="B473" s="4" t="s">
        <v>250</v>
      </c>
      <c r="C473" s="5">
        <v>36553</v>
      </c>
      <c r="D473" s="4" t="s">
        <v>15</v>
      </c>
      <c r="E473" s="4" t="s">
        <v>258</v>
      </c>
      <c r="F473" s="4" t="s">
        <v>258</v>
      </c>
      <c r="G473" s="4" t="s">
        <v>26</v>
      </c>
      <c r="H473" s="4" t="s">
        <v>18</v>
      </c>
      <c r="I473" s="4" t="s">
        <v>715</v>
      </c>
      <c r="J473" s="4" t="s">
        <v>715</v>
      </c>
      <c r="K473" s="5">
        <v>6363648</v>
      </c>
      <c r="L473" s="5">
        <v>316612</v>
      </c>
      <c r="M473" s="5">
        <v>19</v>
      </c>
      <c r="N473" s="5">
        <v>1</v>
      </c>
      <c r="O473" s="5">
        <v>0.4</v>
      </c>
      <c r="P473" s="5"/>
    </row>
    <row r="474" spans="1:16" x14ac:dyDescent="0.25">
      <c r="A474" s="4" t="s">
        <v>21</v>
      </c>
      <c r="B474" s="4" t="s">
        <v>250</v>
      </c>
      <c r="C474" s="5">
        <v>36556</v>
      </c>
      <c r="D474" s="4" t="s">
        <v>15</v>
      </c>
      <c r="E474" s="4" t="s">
        <v>277</v>
      </c>
      <c r="F474" s="4" t="s">
        <v>278</v>
      </c>
      <c r="G474" s="4" t="s">
        <v>26</v>
      </c>
      <c r="H474" s="4" t="s">
        <v>128</v>
      </c>
      <c r="I474" s="4" t="s">
        <v>715</v>
      </c>
      <c r="J474" s="4" t="s">
        <v>638</v>
      </c>
      <c r="K474" s="5">
        <v>6381635</v>
      </c>
      <c r="L474" s="5">
        <v>317212</v>
      </c>
      <c r="M474" s="5">
        <v>19</v>
      </c>
      <c r="N474" s="5">
        <v>1</v>
      </c>
      <c r="O474" s="5">
        <v>0.2</v>
      </c>
      <c r="P474" s="5"/>
    </row>
    <row r="475" spans="1:16" x14ac:dyDescent="0.25">
      <c r="A475" s="4" t="s">
        <v>21</v>
      </c>
      <c r="B475" s="4" t="s">
        <v>250</v>
      </c>
      <c r="C475" s="5">
        <v>36557</v>
      </c>
      <c r="D475" s="4" t="s">
        <v>15</v>
      </c>
      <c r="E475" s="4" t="s">
        <v>277</v>
      </c>
      <c r="F475" s="4" t="s">
        <v>278</v>
      </c>
      <c r="G475" s="4" t="s">
        <v>26</v>
      </c>
      <c r="H475" s="4" t="s">
        <v>18</v>
      </c>
      <c r="I475" s="4" t="s">
        <v>715</v>
      </c>
      <c r="J475" s="4" t="s">
        <v>715</v>
      </c>
      <c r="K475" s="5">
        <v>6381635</v>
      </c>
      <c r="L475" s="5">
        <v>317212</v>
      </c>
      <c r="M475" s="5">
        <v>19</v>
      </c>
      <c r="N475" s="5">
        <v>1</v>
      </c>
      <c r="O475" s="5">
        <v>0.2</v>
      </c>
      <c r="P475" s="5"/>
    </row>
    <row r="476" spans="1:16" x14ac:dyDescent="0.25">
      <c r="A476" s="4" t="s">
        <v>21</v>
      </c>
      <c r="B476" s="4" t="s">
        <v>250</v>
      </c>
      <c r="C476" s="5">
        <v>36559</v>
      </c>
      <c r="D476" s="4" t="s">
        <v>15</v>
      </c>
      <c r="E476" s="4" t="s">
        <v>252</v>
      </c>
      <c r="F476" s="4" t="s">
        <v>279</v>
      </c>
      <c r="G476" s="4" t="s">
        <v>26</v>
      </c>
      <c r="H476" s="4" t="s">
        <v>18</v>
      </c>
      <c r="I476" s="4" t="s">
        <v>715</v>
      </c>
      <c r="J476" s="4" t="s">
        <v>715</v>
      </c>
      <c r="K476" s="5">
        <v>6360878</v>
      </c>
      <c r="L476" s="5">
        <v>302062</v>
      </c>
      <c r="M476" s="5">
        <v>19</v>
      </c>
      <c r="N476" s="5">
        <v>1</v>
      </c>
      <c r="O476" s="5">
        <v>0.4</v>
      </c>
      <c r="P476" s="5"/>
    </row>
    <row r="477" spans="1:16" x14ac:dyDescent="0.25">
      <c r="A477" s="4" t="s">
        <v>21</v>
      </c>
      <c r="B477" s="4" t="s">
        <v>250</v>
      </c>
      <c r="C477" s="5">
        <v>36597</v>
      </c>
      <c r="D477" s="4" t="s">
        <v>15</v>
      </c>
      <c r="E477" s="4" t="s">
        <v>252</v>
      </c>
      <c r="F477" s="4" t="s">
        <v>279</v>
      </c>
      <c r="G477" s="4" t="s">
        <v>26</v>
      </c>
      <c r="H477" s="4" t="s">
        <v>18</v>
      </c>
      <c r="I477" s="4" t="s">
        <v>715</v>
      </c>
      <c r="J477" s="4" t="s">
        <v>715</v>
      </c>
      <c r="K477" s="5">
        <v>6362431</v>
      </c>
      <c r="L477" s="5">
        <v>303915</v>
      </c>
      <c r="M477" s="5">
        <v>19</v>
      </c>
      <c r="N477" s="5">
        <v>1</v>
      </c>
      <c r="O477" s="5">
        <v>0.4</v>
      </c>
      <c r="P477" s="5"/>
    </row>
    <row r="478" spans="1:16" x14ac:dyDescent="0.25">
      <c r="A478" s="4" t="s">
        <v>21</v>
      </c>
      <c r="B478" s="4" t="s">
        <v>250</v>
      </c>
      <c r="C478" s="5">
        <v>36598</v>
      </c>
      <c r="D478" s="4" t="s">
        <v>15</v>
      </c>
      <c r="E478" s="4" t="s">
        <v>252</v>
      </c>
      <c r="F478" s="4" t="s">
        <v>279</v>
      </c>
      <c r="G478" s="4" t="s">
        <v>26</v>
      </c>
      <c r="H478" s="4" t="s">
        <v>18</v>
      </c>
      <c r="I478" s="4" t="s">
        <v>715</v>
      </c>
      <c r="J478" s="4" t="s">
        <v>715</v>
      </c>
      <c r="K478" s="5">
        <v>6358683</v>
      </c>
      <c r="L478" s="5">
        <v>303314</v>
      </c>
      <c r="M478" s="5">
        <v>19</v>
      </c>
      <c r="N478" s="5">
        <v>1</v>
      </c>
      <c r="O478" s="5">
        <v>0.4</v>
      </c>
      <c r="P478" s="13" t="s">
        <v>711</v>
      </c>
    </row>
    <row r="479" spans="1:16" x14ac:dyDescent="0.25">
      <c r="A479" s="4" t="s">
        <v>21</v>
      </c>
      <c r="B479" s="4" t="s">
        <v>250</v>
      </c>
      <c r="C479" s="5">
        <v>36599</v>
      </c>
      <c r="D479" s="4" t="s">
        <v>15</v>
      </c>
      <c r="E479" s="4" t="s">
        <v>252</v>
      </c>
      <c r="F479" s="4" t="s">
        <v>279</v>
      </c>
      <c r="G479" s="4" t="s">
        <v>26</v>
      </c>
      <c r="H479" s="4" t="s">
        <v>18</v>
      </c>
      <c r="I479" s="4" t="s">
        <v>715</v>
      </c>
      <c r="J479" s="4" t="s">
        <v>715</v>
      </c>
      <c r="K479" s="5">
        <v>6358683</v>
      </c>
      <c r="L479" s="5">
        <v>303314</v>
      </c>
      <c r="M479" s="5">
        <v>19</v>
      </c>
      <c r="N479" s="5">
        <v>1</v>
      </c>
      <c r="O479" s="5">
        <v>0.4</v>
      </c>
      <c r="P479" s="15"/>
    </row>
    <row r="480" spans="1:16" x14ac:dyDescent="0.25">
      <c r="A480" s="4" t="s">
        <v>21</v>
      </c>
      <c r="B480" s="4" t="s">
        <v>250</v>
      </c>
      <c r="C480" s="5">
        <v>36629</v>
      </c>
      <c r="D480" s="4" t="s">
        <v>37</v>
      </c>
      <c r="E480" s="4" t="s">
        <v>169</v>
      </c>
      <c r="F480" s="4" t="s">
        <v>271</v>
      </c>
      <c r="G480" s="4" t="s">
        <v>26</v>
      </c>
      <c r="H480" s="4" t="s">
        <v>27</v>
      </c>
      <c r="I480" s="4" t="s">
        <v>715</v>
      </c>
      <c r="J480" s="4" t="s">
        <v>638</v>
      </c>
      <c r="K480" s="5">
        <v>6222568</v>
      </c>
      <c r="L480" s="5">
        <v>337826</v>
      </c>
      <c r="M480" s="5">
        <v>19</v>
      </c>
      <c r="N480" s="5">
        <v>1</v>
      </c>
      <c r="O480" s="5">
        <v>6.2</v>
      </c>
      <c r="P480" s="5"/>
    </row>
    <row r="481" spans="1:16" x14ac:dyDescent="0.25">
      <c r="A481" s="4" t="s">
        <v>21</v>
      </c>
      <c r="B481" s="4" t="s">
        <v>250</v>
      </c>
      <c r="C481" s="5">
        <v>36688</v>
      </c>
      <c r="D481" s="4" t="s">
        <v>15</v>
      </c>
      <c r="E481" s="4" t="s">
        <v>258</v>
      </c>
      <c r="F481" s="4" t="s">
        <v>280</v>
      </c>
      <c r="G481" s="4" t="s">
        <v>26</v>
      </c>
      <c r="H481" s="4" t="s">
        <v>128</v>
      </c>
      <c r="I481" s="4" t="s">
        <v>715</v>
      </c>
      <c r="J481" s="4" t="s">
        <v>638</v>
      </c>
      <c r="K481" s="5">
        <v>6363282</v>
      </c>
      <c r="L481" s="5">
        <v>316076</v>
      </c>
      <c r="M481" s="5">
        <v>19</v>
      </c>
      <c r="N481" s="5">
        <v>1</v>
      </c>
      <c r="O481" s="5">
        <v>4</v>
      </c>
      <c r="P481" s="5"/>
    </row>
    <row r="482" spans="1:16" x14ac:dyDescent="0.25">
      <c r="A482" s="4" t="s">
        <v>21</v>
      </c>
      <c r="B482" s="4" t="s">
        <v>250</v>
      </c>
      <c r="C482" s="5">
        <v>36692</v>
      </c>
      <c r="D482" s="4" t="s">
        <v>15</v>
      </c>
      <c r="E482" s="4" t="s">
        <v>258</v>
      </c>
      <c r="F482" s="4" t="s">
        <v>280</v>
      </c>
      <c r="G482" s="4" t="s">
        <v>26</v>
      </c>
      <c r="H482" s="4" t="s">
        <v>128</v>
      </c>
      <c r="I482" s="4" t="s">
        <v>715</v>
      </c>
      <c r="J482" s="4" t="s">
        <v>638</v>
      </c>
      <c r="K482" s="5">
        <v>6363394</v>
      </c>
      <c r="L482" s="5">
        <v>315868</v>
      </c>
      <c r="M482" s="5">
        <v>19</v>
      </c>
      <c r="N482" s="5">
        <v>1</v>
      </c>
      <c r="O482" s="5">
        <v>1.47</v>
      </c>
      <c r="P482" s="5"/>
    </row>
    <row r="483" spans="1:16" x14ac:dyDescent="0.25">
      <c r="A483" s="4" t="s">
        <v>21</v>
      </c>
      <c r="B483" s="4" t="s">
        <v>250</v>
      </c>
      <c r="C483" s="5">
        <v>36696</v>
      </c>
      <c r="D483" s="4" t="s">
        <v>15</v>
      </c>
      <c r="E483" s="4" t="s">
        <v>252</v>
      </c>
      <c r="F483" s="4" t="s">
        <v>281</v>
      </c>
      <c r="G483" s="4" t="s">
        <v>26</v>
      </c>
      <c r="H483" s="4" t="s">
        <v>18</v>
      </c>
      <c r="I483" s="4" t="s">
        <v>715</v>
      </c>
      <c r="J483" s="4" t="s">
        <v>715</v>
      </c>
      <c r="K483" s="5">
        <v>6363745</v>
      </c>
      <c r="L483" s="5">
        <v>313215</v>
      </c>
      <c r="M483" s="5">
        <v>19</v>
      </c>
      <c r="N483" s="5">
        <v>1</v>
      </c>
      <c r="O483" s="5">
        <v>0.4</v>
      </c>
      <c r="P483" s="5"/>
    </row>
    <row r="484" spans="1:16" x14ac:dyDescent="0.25">
      <c r="A484" s="4" t="s">
        <v>21</v>
      </c>
      <c r="B484" s="4" t="s">
        <v>250</v>
      </c>
      <c r="C484" s="5">
        <v>36699</v>
      </c>
      <c r="D484" s="4" t="s">
        <v>33</v>
      </c>
      <c r="E484" s="4" t="s">
        <v>137</v>
      </c>
      <c r="F484" s="4" t="s">
        <v>282</v>
      </c>
      <c r="G484" s="4" t="s">
        <v>26</v>
      </c>
      <c r="H484" s="4" t="s">
        <v>18</v>
      </c>
      <c r="I484" s="4" t="s">
        <v>715</v>
      </c>
      <c r="J484" s="4" t="s">
        <v>715</v>
      </c>
      <c r="K484" s="5">
        <v>6054946</v>
      </c>
      <c r="L484" s="5">
        <v>280584</v>
      </c>
      <c r="M484" s="5">
        <v>19</v>
      </c>
      <c r="N484" s="5">
        <v>1</v>
      </c>
      <c r="O484" s="5">
        <v>0.4</v>
      </c>
      <c r="P484" s="5"/>
    </row>
    <row r="485" spans="1:16" x14ac:dyDescent="0.25">
      <c r="A485" s="4" t="s">
        <v>21</v>
      </c>
      <c r="B485" s="4" t="s">
        <v>250</v>
      </c>
      <c r="C485" s="5">
        <v>36700</v>
      </c>
      <c r="D485" s="4" t="s">
        <v>33</v>
      </c>
      <c r="E485" s="4" t="s">
        <v>43</v>
      </c>
      <c r="F485" s="4" t="s">
        <v>139</v>
      </c>
      <c r="G485" s="4" t="s">
        <v>26</v>
      </c>
      <c r="H485" s="4" t="s">
        <v>18</v>
      </c>
      <c r="I485" s="4" t="s">
        <v>715</v>
      </c>
      <c r="J485" s="4" t="s">
        <v>715</v>
      </c>
      <c r="K485" s="5">
        <v>6073510</v>
      </c>
      <c r="L485" s="5">
        <v>291619</v>
      </c>
      <c r="M485" s="5">
        <v>19</v>
      </c>
      <c r="N485" s="5">
        <v>1</v>
      </c>
      <c r="O485" s="5">
        <v>0.4</v>
      </c>
      <c r="P485" s="5"/>
    </row>
    <row r="486" spans="1:16" x14ac:dyDescent="0.25">
      <c r="A486" s="4" t="s">
        <v>21</v>
      </c>
      <c r="B486" s="4" t="s">
        <v>250</v>
      </c>
      <c r="C486" s="5">
        <v>36702</v>
      </c>
      <c r="D486" s="4" t="s">
        <v>33</v>
      </c>
      <c r="E486" s="4" t="s">
        <v>167</v>
      </c>
      <c r="F486" s="4" t="s">
        <v>52</v>
      </c>
      <c r="G486" s="4" t="s">
        <v>26</v>
      </c>
      <c r="H486" s="4" t="s">
        <v>27</v>
      </c>
      <c r="I486" s="4" t="s">
        <v>715</v>
      </c>
      <c r="J486" s="4" t="s">
        <v>715</v>
      </c>
      <c r="K486" s="5">
        <v>6097495</v>
      </c>
      <c r="L486" s="5">
        <v>295880</v>
      </c>
      <c r="M486" s="5">
        <v>19</v>
      </c>
      <c r="N486" s="5">
        <v>1</v>
      </c>
      <c r="O486" s="5">
        <v>0.61</v>
      </c>
      <c r="P486" s="5"/>
    </row>
    <row r="487" spans="1:16" x14ac:dyDescent="0.25">
      <c r="A487" s="4" t="s">
        <v>21</v>
      </c>
      <c r="B487" s="4" t="s">
        <v>250</v>
      </c>
      <c r="C487" s="5">
        <v>36704</v>
      </c>
      <c r="D487" s="4" t="s">
        <v>33</v>
      </c>
      <c r="E487" s="4" t="s">
        <v>50</v>
      </c>
      <c r="F487" s="4" t="s">
        <v>53</v>
      </c>
      <c r="G487" s="4" t="s">
        <v>26</v>
      </c>
      <c r="H487" s="4" t="s">
        <v>18</v>
      </c>
      <c r="I487" s="4" t="s">
        <v>715</v>
      </c>
      <c r="J487" s="4" t="s">
        <v>715</v>
      </c>
      <c r="K487" s="5">
        <v>6127037</v>
      </c>
      <c r="L487" s="5">
        <v>321243</v>
      </c>
      <c r="M487" s="5">
        <v>19</v>
      </c>
      <c r="N487" s="5">
        <v>1</v>
      </c>
      <c r="O487" s="5">
        <v>0.81</v>
      </c>
      <c r="P487" s="5"/>
    </row>
    <row r="488" spans="1:16" x14ac:dyDescent="0.25">
      <c r="A488" s="4" t="s">
        <v>21</v>
      </c>
      <c r="B488" s="4" t="s">
        <v>250</v>
      </c>
      <c r="C488" s="5">
        <v>36707</v>
      </c>
      <c r="D488" s="4" t="s">
        <v>33</v>
      </c>
      <c r="E488" s="4" t="s">
        <v>50</v>
      </c>
      <c r="F488" s="4" t="s">
        <v>283</v>
      </c>
      <c r="G488" s="4" t="s">
        <v>26</v>
      </c>
      <c r="H488" s="4" t="s">
        <v>18</v>
      </c>
      <c r="I488" s="4" t="s">
        <v>715</v>
      </c>
      <c r="J488" s="4" t="s">
        <v>715</v>
      </c>
      <c r="K488" s="5">
        <v>6127120</v>
      </c>
      <c r="L488" s="5">
        <v>314658</v>
      </c>
      <c r="M488" s="5">
        <v>19</v>
      </c>
      <c r="N488" s="5">
        <v>1</v>
      </c>
      <c r="O488" s="5">
        <v>1.62</v>
      </c>
      <c r="P488" s="5"/>
    </row>
    <row r="489" spans="1:16" x14ac:dyDescent="0.25">
      <c r="A489" s="4" t="s">
        <v>21</v>
      </c>
      <c r="B489" s="4" t="s">
        <v>250</v>
      </c>
      <c r="C489" s="5">
        <v>36710</v>
      </c>
      <c r="D489" s="4" t="s">
        <v>33</v>
      </c>
      <c r="E489" s="4" t="s">
        <v>34</v>
      </c>
      <c r="F489" s="4" t="s">
        <v>251</v>
      </c>
      <c r="G489" s="4" t="s">
        <v>26</v>
      </c>
      <c r="H489" s="4" t="s">
        <v>18</v>
      </c>
      <c r="I489" s="4" t="s">
        <v>715</v>
      </c>
      <c r="J489" s="4" t="s">
        <v>715</v>
      </c>
      <c r="K489" s="5">
        <v>6117416</v>
      </c>
      <c r="L489" s="5">
        <v>300450</v>
      </c>
      <c r="M489" s="5">
        <v>19</v>
      </c>
      <c r="N489" s="5">
        <v>1</v>
      </c>
      <c r="O489" s="5">
        <v>1.2</v>
      </c>
      <c r="P489" s="5"/>
    </row>
    <row r="490" spans="1:16" x14ac:dyDescent="0.25">
      <c r="A490" s="4" t="s">
        <v>21</v>
      </c>
      <c r="B490" s="4" t="s">
        <v>250</v>
      </c>
      <c r="C490" s="5">
        <v>36812</v>
      </c>
      <c r="D490" s="4" t="s">
        <v>33</v>
      </c>
      <c r="E490" s="4" t="s">
        <v>66</v>
      </c>
      <c r="F490" s="4" t="s">
        <v>284</v>
      </c>
      <c r="G490" s="4" t="s">
        <v>26</v>
      </c>
      <c r="H490" s="4" t="s">
        <v>27</v>
      </c>
      <c r="I490" s="4" t="s">
        <v>715</v>
      </c>
      <c r="J490" s="4" t="s">
        <v>715</v>
      </c>
      <c r="K490" s="5">
        <v>6081973</v>
      </c>
      <c r="L490" s="5">
        <v>267622</v>
      </c>
      <c r="M490" s="5">
        <v>19</v>
      </c>
      <c r="N490" s="5">
        <v>3</v>
      </c>
      <c r="O490" s="5">
        <v>12.5</v>
      </c>
      <c r="P490" s="5"/>
    </row>
    <row r="491" spans="1:16" x14ac:dyDescent="0.25">
      <c r="A491" s="4" t="s">
        <v>21</v>
      </c>
      <c r="B491" s="4" t="s">
        <v>250</v>
      </c>
      <c r="C491" s="5">
        <v>36826</v>
      </c>
      <c r="D491" s="4" t="s">
        <v>33</v>
      </c>
      <c r="E491" s="4" t="s">
        <v>66</v>
      </c>
      <c r="F491" s="4" t="s">
        <v>285</v>
      </c>
      <c r="G491" s="4" t="s">
        <v>26</v>
      </c>
      <c r="H491" s="4" t="s">
        <v>27</v>
      </c>
      <c r="I491" s="4" t="s">
        <v>715</v>
      </c>
      <c r="J491" s="4" t="s">
        <v>715</v>
      </c>
      <c r="K491" s="5">
        <v>6082341</v>
      </c>
      <c r="L491" s="5">
        <v>267842</v>
      </c>
      <c r="M491" s="5">
        <v>19</v>
      </c>
      <c r="N491" s="5">
        <v>1</v>
      </c>
      <c r="O491" s="5">
        <v>5</v>
      </c>
      <c r="P491" s="5"/>
    </row>
    <row r="492" spans="1:16" x14ac:dyDescent="0.25">
      <c r="A492" s="4" t="s">
        <v>21</v>
      </c>
      <c r="B492" s="4" t="s">
        <v>250</v>
      </c>
      <c r="C492" s="5">
        <v>36828</v>
      </c>
      <c r="D492" s="4" t="s">
        <v>33</v>
      </c>
      <c r="E492" s="4" t="s">
        <v>34</v>
      </c>
      <c r="F492" s="4" t="s">
        <v>251</v>
      </c>
      <c r="G492" s="4" t="s">
        <v>26</v>
      </c>
      <c r="H492" s="4" t="s">
        <v>18</v>
      </c>
      <c r="I492" s="4" t="s">
        <v>715</v>
      </c>
      <c r="J492" s="4" t="s">
        <v>715</v>
      </c>
      <c r="K492" s="5">
        <v>6116538</v>
      </c>
      <c r="L492" s="5">
        <v>304283</v>
      </c>
      <c r="M492" s="5">
        <v>19</v>
      </c>
      <c r="N492" s="5">
        <v>1</v>
      </c>
      <c r="O492" s="5">
        <v>0.4</v>
      </c>
      <c r="P492" s="5"/>
    </row>
    <row r="493" spans="1:16" x14ac:dyDescent="0.25">
      <c r="A493" s="4" t="s">
        <v>21</v>
      </c>
      <c r="B493" s="4" t="s">
        <v>250</v>
      </c>
      <c r="C493" s="5">
        <v>36829</v>
      </c>
      <c r="D493" s="4" t="s">
        <v>33</v>
      </c>
      <c r="E493" s="4" t="s">
        <v>66</v>
      </c>
      <c r="F493" s="4" t="s">
        <v>284</v>
      </c>
      <c r="G493" s="4" t="s">
        <v>26</v>
      </c>
      <c r="H493" s="4" t="s">
        <v>27</v>
      </c>
      <c r="I493" s="4" t="s">
        <v>715</v>
      </c>
      <c r="J493" s="4" t="s">
        <v>715</v>
      </c>
      <c r="K493" s="5">
        <v>6081683</v>
      </c>
      <c r="L493" s="5">
        <v>267750</v>
      </c>
      <c r="M493" s="5">
        <v>19</v>
      </c>
      <c r="N493" s="5">
        <v>2</v>
      </c>
      <c r="O493" s="5">
        <v>16.5</v>
      </c>
      <c r="P493" s="5"/>
    </row>
    <row r="494" spans="1:16" x14ac:dyDescent="0.25">
      <c r="A494" s="4" t="s">
        <v>21</v>
      </c>
      <c r="B494" s="4" t="s">
        <v>250</v>
      </c>
      <c r="C494" s="5">
        <v>36836</v>
      </c>
      <c r="D494" s="4" t="s">
        <v>37</v>
      </c>
      <c r="E494" s="4" t="s">
        <v>73</v>
      </c>
      <c r="F494" s="4" t="s">
        <v>246</v>
      </c>
      <c r="G494" s="4" t="s">
        <v>26</v>
      </c>
      <c r="H494" s="4" t="s">
        <v>27</v>
      </c>
      <c r="I494" s="4" t="s">
        <v>715</v>
      </c>
      <c r="J494" s="4" t="s">
        <v>638</v>
      </c>
      <c r="K494" s="5">
        <v>6161106</v>
      </c>
      <c r="L494" s="5">
        <v>322837</v>
      </c>
      <c r="M494" s="5">
        <v>19</v>
      </c>
      <c r="N494" s="5">
        <v>1</v>
      </c>
      <c r="O494" s="5">
        <v>5</v>
      </c>
      <c r="P494" s="5"/>
    </row>
    <row r="495" spans="1:16" x14ac:dyDescent="0.25">
      <c r="A495" s="4" t="s">
        <v>21</v>
      </c>
      <c r="B495" s="4" t="s">
        <v>250</v>
      </c>
      <c r="C495" s="5">
        <v>36837</v>
      </c>
      <c r="D495" s="4" t="s">
        <v>37</v>
      </c>
      <c r="E495" s="4" t="s">
        <v>38</v>
      </c>
      <c r="F495" s="4" t="s">
        <v>170</v>
      </c>
      <c r="G495" s="4" t="s">
        <v>26</v>
      </c>
      <c r="H495" s="4" t="s">
        <v>27</v>
      </c>
      <c r="I495" s="4" t="s">
        <v>715</v>
      </c>
      <c r="J495" s="4" t="s">
        <v>715</v>
      </c>
      <c r="K495" s="5">
        <v>6165601</v>
      </c>
      <c r="L495" s="5">
        <v>319403</v>
      </c>
      <c r="M495" s="5">
        <v>19</v>
      </c>
      <c r="N495" s="5">
        <v>2</v>
      </c>
      <c r="O495" s="5">
        <v>30</v>
      </c>
      <c r="P495" s="5"/>
    </row>
    <row r="496" spans="1:16" x14ac:dyDescent="0.25">
      <c r="A496" s="4" t="s">
        <v>21</v>
      </c>
      <c r="B496" s="4" t="s">
        <v>250</v>
      </c>
      <c r="C496" s="5">
        <v>36838</v>
      </c>
      <c r="D496" s="4" t="s">
        <v>37</v>
      </c>
      <c r="E496" s="4" t="s">
        <v>38</v>
      </c>
      <c r="F496" s="4" t="s">
        <v>276</v>
      </c>
      <c r="G496" s="4" t="s">
        <v>26</v>
      </c>
      <c r="H496" s="4" t="s">
        <v>27</v>
      </c>
      <c r="I496" s="4" t="s">
        <v>715</v>
      </c>
      <c r="J496" s="4" t="s">
        <v>715</v>
      </c>
      <c r="K496" s="5">
        <v>6172798</v>
      </c>
      <c r="L496" s="5">
        <v>323398</v>
      </c>
      <c r="M496" s="5">
        <v>19</v>
      </c>
      <c r="N496" s="5">
        <v>2</v>
      </c>
      <c r="O496" s="5">
        <v>12</v>
      </c>
      <c r="P496" s="5"/>
    </row>
    <row r="497" spans="1:16" x14ac:dyDescent="0.25">
      <c r="A497" s="4" t="s">
        <v>21</v>
      </c>
      <c r="B497" s="4" t="s">
        <v>250</v>
      </c>
      <c r="C497" s="5">
        <v>36840</v>
      </c>
      <c r="D497" s="4" t="s">
        <v>33</v>
      </c>
      <c r="E497" s="4" t="s">
        <v>35</v>
      </c>
      <c r="F497" s="4" t="s">
        <v>286</v>
      </c>
      <c r="G497" s="4" t="s">
        <v>26</v>
      </c>
      <c r="H497" s="4" t="s">
        <v>27</v>
      </c>
      <c r="I497" s="4" t="s">
        <v>715</v>
      </c>
      <c r="J497" s="4" t="s">
        <v>715</v>
      </c>
      <c r="K497" s="5">
        <v>6135882</v>
      </c>
      <c r="L497" s="5">
        <v>313213</v>
      </c>
      <c r="M497" s="5">
        <v>19</v>
      </c>
      <c r="N497" s="5">
        <v>1</v>
      </c>
      <c r="O497" s="5">
        <v>14</v>
      </c>
      <c r="P497" s="5"/>
    </row>
    <row r="498" spans="1:16" x14ac:dyDescent="0.25">
      <c r="A498" s="4" t="s">
        <v>21</v>
      </c>
      <c r="B498" s="4" t="s">
        <v>250</v>
      </c>
      <c r="C498" s="5">
        <v>36841</v>
      </c>
      <c r="D498" s="4" t="s">
        <v>37</v>
      </c>
      <c r="E498" s="4" t="s">
        <v>169</v>
      </c>
      <c r="F498" s="4" t="s">
        <v>256</v>
      </c>
      <c r="G498" s="4" t="s">
        <v>26</v>
      </c>
      <c r="H498" s="4" t="s">
        <v>27</v>
      </c>
      <c r="I498" s="4" t="s">
        <v>715</v>
      </c>
      <c r="J498" s="4" t="s">
        <v>638</v>
      </c>
      <c r="K498" s="5">
        <v>6222552</v>
      </c>
      <c r="L498" s="5">
        <v>334356</v>
      </c>
      <c r="M498" s="5">
        <v>19</v>
      </c>
      <c r="N498" s="5">
        <v>1</v>
      </c>
      <c r="O498" s="5">
        <v>10</v>
      </c>
      <c r="P498" s="5"/>
    </row>
    <row r="499" spans="1:16" x14ac:dyDescent="0.25">
      <c r="A499" s="4" t="s">
        <v>21</v>
      </c>
      <c r="B499" s="4" t="s">
        <v>250</v>
      </c>
      <c r="C499" s="5">
        <v>36845</v>
      </c>
      <c r="D499" s="4" t="s">
        <v>37</v>
      </c>
      <c r="E499" s="4" t="s">
        <v>73</v>
      </c>
      <c r="F499" s="4" t="s">
        <v>287</v>
      </c>
      <c r="G499" s="4" t="s">
        <v>26</v>
      </c>
      <c r="H499" s="4" t="s">
        <v>27</v>
      </c>
      <c r="I499" s="4" t="s">
        <v>715</v>
      </c>
      <c r="J499" s="4" t="s">
        <v>638</v>
      </c>
      <c r="K499" s="5">
        <v>6160934</v>
      </c>
      <c r="L499" s="5">
        <v>323411</v>
      </c>
      <c r="M499" s="5">
        <v>19</v>
      </c>
      <c r="N499" s="5">
        <v>1</v>
      </c>
      <c r="O499" s="5">
        <v>10</v>
      </c>
      <c r="P499" s="5"/>
    </row>
    <row r="500" spans="1:16" x14ac:dyDescent="0.25">
      <c r="A500" s="4" t="s">
        <v>21</v>
      </c>
      <c r="B500" s="4" t="s">
        <v>250</v>
      </c>
      <c r="C500" s="5">
        <v>36929</v>
      </c>
      <c r="D500" s="4" t="s">
        <v>33</v>
      </c>
      <c r="E500" s="4" t="s">
        <v>66</v>
      </c>
      <c r="F500" s="4" t="s">
        <v>288</v>
      </c>
      <c r="G500" s="4" t="s">
        <v>26</v>
      </c>
      <c r="H500" s="4" t="s">
        <v>18</v>
      </c>
      <c r="I500" s="4" t="s">
        <v>715</v>
      </c>
      <c r="J500" s="4" t="s">
        <v>715</v>
      </c>
      <c r="K500" s="5">
        <v>6082577</v>
      </c>
      <c r="L500" s="5">
        <v>264142</v>
      </c>
      <c r="M500" s="5">
        <v>19</v>
      </c>
      <c r="N500" s="5">
        <v>1</v>
      </c>
      <c r="O500" s="5">
        <v>0.4</v>
      </c>
      <c r="P500" s="5"/>
    </row>
    <row r="501" spans="1:16" x14ac:dyDescent="0.25">
      <c r="A501" s="4" t="s">
        <v>21</v>
      </c>
      <c r="B501" s="4" t="s">
        <v>250</v>
      </c>
      <c r="C501" s="5">
        <v>36962</v>
      </c>
      <c r="D501" s="4" t="s">
        <v>37</v>
      </c>
      <c r="E501" s="4" t="s">
        <v>73</v>
      </c>
      <c r="F501" s="4" t="s">
        <v>287</v>
      </c>
      <c r="G501" s="4" t="s">
        <v>26</v>
      </c>
      <c r="H501" s="4" t="s">
        <v>27</v>
      </c>
      <c r="I501" s="4" t="s">
        <v>715</v>
      </c>
      <c r="J501" s="4" t="s">
        <v>638</v>
      </c>
      <c r="K501" s="5">
        <v>6161055</v>
      </c>
      <c r="L501" s="5">
        <v>323126</v>
      </c>
      <c r="M501" s="5">
        <v>19</v>
      </c>
      <c r="N501" s="5">
        <v>1</v>
      </c>
      <c r="O501" s="5">
        <v>10</v>
      </c>
      <c r="P501" s="5"/>
    </row>
    <row r="502" spans="1:16" x14ac:dyDescent="0.25">
      <c r="A502" s="4" t="s">
        <v>21</v>
      </c>
      <c r="B502" s="4" t="s">
        <v>250</v>
      </c>
      <c r="C502" s="5">
        <v>36963</v>
      </c>
      <c r="D502" s="4" t="s">
        <v>37</v>
      </c>
      <c r="E502" s="4" t="s">
        <v>38</v>
      </c>
      <c r="F502" s="4" t="s">
        <v>269</v>
      </c>
      <c r="G502" s="4" t="s">
        <v>26</v>
      </c>
      <c r="H502" s="4" t="s">
        <v>27</v>
      </c>
      <c r="I502" s="4" t="s">
        <v>715</v>
      </c>
      <c r="J502" s="4" t="s">
        <v>715</v>
      </c>
      <c r="K502" s="5">
        <v>6170022</v>
      </c>
      <c r="L502" s="5">
        <v>315465</v>
      </c>
      <c r="M502" s="5">
        <v>19</v>
      </c>
      <c r="N502" s="5">
        <v>3</v>
      </c>
      <c r="O502" s="5">
        <v>16</v>
      </c>
      <c r="P502" s="5"/>
    </row>
    <row r="503" spans="1:16" x14ac:dyDescent="0.25">
      <c r="A503" s="4" t="s">
        <v>21</v>
      </c>
      <c r="B503" s="4" t="s">
        <v>250</v>
      </c>
      <c r="C503" s="5">
        <v>36964</v>
      </c>
      <c r="D503" s="4" t="s">
        <v>37</v>
      </c>
      <c r="E503" s="4" t="s">
        <v>38</v>
      </c>
      <c r="F503" s="4" t="s">
        <v>289</v>
      </c>
      <c r="G503" s="4" t="s">
        <v>26</v>
      </c>
      <c r="H503" s="4" t="s">
        <v>27</v>
      </c>
      <c r="I503" s="4" t="s">
        <v>715</v>
      </c>
      <c r="J503" s="4" t="s">
        <v>638</v>
      </c>
      <c r="K503" s="5">
        <v>6169534</v>
      </c>
      <c r="L503" s="5">
        <v>323728</v>
      </c>
      <c r="M503" s="5">
        <v>19</v>
      </c>
      <c r="N503" s="5">
        <v>1</v>
      </c>
      <c r="O503" s="5">
        <v>5</v>
      </c>
      <c r="P503" s="5"/>
    </row>
    <row r="504" spans="1:16" x14ac:dyDescent="0.25">
      <c r="A504" s="4" t="s">
        <v>21</v>
      </c>
      <c r="B504" s="4" t="s">
        <v>250</v>
      </c>
      <c r="C504" s="5">
        <v>36965</v>
      </c>
      <c r="D504" s="4" t="s">
        <v>37</v>
      </c>
      <c r="E504" s="4" t="s">
        <v>38</v>
      </c>
      <c r="F504" s="4" t="s">
        <v>269</v>
      </c>
      <c r="G504" s="4" t="s">
        <v>26</v>
      </c>
      <c r="H504" s="4" t="s">
        <v>27</v>
      </c>
      <c r="I504" s="4" t="s">
        <v>715</v>
      </c>
      <c r="J504" s="4" t="s">
        <v>715</v>
      </c>
      <c r="K504" s="5">
        <v>6170818</v>
      </c>
      <c r="L504" s="5">
        <v>315657</v>
      </c>
      <c r="M504" s="5">
        <v>19</v>
      </c>
      <c r="N504" s="5">
        <v>2</v>
      </c>
      <c r="O504" s="5">
        <v>16.5</v>
      </c>
      <c r="P504" s="5"/>
    </row>
    <row r="505" spans="1:16" x14ac:dyDescent="0.25">
      <c r="A505" s="4" t="s">
        <v>21</v>
      </c>
      <c r="B505" s="4" t="s">
        <v>250</v>
      </c>
      <c r="C505" s="5">
        <v>36966</v>
      </c>
      <c r="D505" s="4" t="s">
        <v>37</v>
      </c>
      <c r="E505" s="4" t="s">
        <v>38</v>
      </c>
      <c r="F505" s="4" t="s">
        <v>289</v>
      </c>
      <c r="G505" s="4" t="s">
        <v>26</v>
      </c>
      <c r="H505" s="4" t="s">
        <v>27</v>
      </c>
      <c r="I505" s="4" t="s">
        <v>715</v>
      </c>
      <c r="J505" s="4" t="s">
        <v>715</v>
      </c>
      <c r="K505" s="5">
        <v>6172533</v>
      </c>
      <c r="L505" s="5">
        <v>323140</v>
      </c>
      <c r="M505" s="5">
        <v>19</v>
      </c>
      <c r="N505" s="5">
        <v>1</v>
      </c>
      <c r="O505" s="5">
        <v>23</v>
      </c>
      <c r="P505" s="5"/>
    </row>
    <row r="506" spans="1:16" x14ac:dyDescent="0.25">
      <c r="A506" s="4" t="s">
        <v>21</v>
      </c>
      <c r="B506" s="4" t="s">
        <v>250</v>
      </c>
      <c r="C506" s="5">
        <v>36992</v>
      </c>
      <c r="D506" s="4" t="s">
        <v>33</v>
      </c>
      <c r="E506" s="4" t="s">
        <v>43</v>
      </c>
      <c r="F506" s="4" t="s">
        <v>80</v>
      </c>
      <c r="G506" s="4" t="s">
        <v>26</v>
      </c>
      <c r="H506" s="4" t="s">
        <v>27</v>
      </c>
      <c r="I506" s="4" t="s">
        <v>715</v>
      </c>
      <c r="J506" s="4" t="s">
        <v>715</v>
      </c>
      <c r="K506" s="5">
        <v>6061645</v>
      </c>
      <c r="L506" s="5">
        <v>274495</v>
      </c>
      <c r="M506" s="5">
        <v>19</v>
      </c>
      <c r="N506" s="5">
        <v>5</v>
      </c>
      <c r="O506" s="5">
        <v>41.2</v>
      </c>
      <c r="P506" s="5"/>
    </row>
    <row r="507" spans="1:16" x14ac:dyDescent="0.25">
      <c r="A507" s="4" t="s">
        <v>21</v>
      </c>
      <c r="B507" s="4" t="s">
        <v>250</v>
      </c>
      <c r="C507" s="5">
        <v>36996</v>
      </c>
      <c r="D507" s="4" t="s">
        <v>37</v>
      </c>
      <c r="E507" s="4" t="s">
        <v>38</v>
      </c>
      <c r="F507" s="4" t="s">
        <v>290</v>
      </c>
      <c r="G507" s="4" t="s">
        <v>26</v>
      </c>
      <c r="H507" s="4" t="s">
        <v>27</v>
      </c>
      <c r="I507" s="4" t="s">
        <v>715</v>
      </c>
      <c r="J507" s="4" t="s">
        <v>638</v>
      </c>
      <c r="K507" s="5">
        <v>6169165</v>
      </c>
      <c r="L507" s="5">
        <v>319333</v>
      </c>
      <c r="M507" s="5">
        <v>19</v>
      </c>
      <c r="N507" s="5">
        <v>1</v>
      </c>
      <c r="O507" s="5">
        <v>7</v>
      </c>
      <c r="P507" s="5"/>
    </row>
    <row r="508" spans="1:16" x14ac:dyDescent="0.25">
      <c r="A508" s="4" t="s">
        <v>21</v>
      </c>
      <c r="B508" s="4" t="s">
        <v>250</v>
      </c>
      <c r="C508" s="5">
        <v>37009</v>
      </c>
      <c r="D508" s="4" t="s">
        <v>33</v>
      </c>
      <c r="E508" s="4" t="s">
        <v>146</v>
      </c>
      <c r="F508" s="4" t="s">
        <v>291</v>
      </c>
      <c r="G508" s="4" t="s">
        <v>26</v>
      </c>
      <c r="H508" s="4" t="s">
        <v>27</v>
      </c>
      <c r="I508" s="4" t="s">
        <v>715</v>
      </c>
      <c r="J508" s="4" t="s">
        <v>715</v>
      </c>
      <c r="K508" s="5">
        <v>6047810</v>
      </c>
      <c r="L508" s="5">
        <v>273524</v>
      </c>
      <c r="M508" s="5">
        <v>19</v>
      </c>
      <c r="N508" s="5">
        <v>1</v>
      </c>
      <c r="O508" s="5">
        <v>33.1</v>
      </c>
      <c r="P508" s="5"/>
    </row>
    <row r="509" spans="1:16" x14ac:dyDescent="0.25">
      <c r="A509" s="4" t="s">
        <v>21</v>
      </c>
      <c r="B509" s="4" t="s">
        <v>250</v>
      </c>
      <c r="C509" s="5">
        <v>37010</v>
      </c>
      <c r="D509" s="4" t="s">
        <v>33</v>
      </c>
      <c r="E509" s="4" t="s">
        <v>35</v>
      </c>
      <c r="F509" s="4" t="s">
        <v>140</v>
      </c>
      <c r="G509" s="4" t="s">
        <v>26</v>
      </c>
      <c r="H509" s="4" t="s">
        <v>27</v>
      </c>
      <c r="I509" s="4" t="s">
        <v>715</v>
      </c>
      <c r="J509" s="4" t="s">
        <v>638</v>
      </c>
      <c r="K509" s="5">
        <v>6132815</v>
      </c>
      <c r="L509" s="5">
        <v>313529</v>
      </c>
      <c r="M509" s="5">
        <v>19</v>
      </c>
      <c r="N509" s="5">
        <v>1</v>
      </c>
      <c r="O509" s="5">
        <v>10</v>
      </c>
      <c r="P509" s="5"/>
    </row>
    <row r="510" spans="1:16" x14ac:dyDescent="0.25">
      <c r="A510" s="4" t="s">
        <v>21</v>
      </c>
      <c r="B510" s="4" t="s">
        <v>250</v>
      </c>
      <c r="C510" s="5">
        <v>37011</v>
      </c>
      <c r="D510" s="4" t="s">
        <v>33</v>
      </c>
      <c r="E510" s="4" t="s">
        <v>118</v>
      </c>
      <c r="F510" s="4" t="s">
        <v>292</v>
      </c>
      <c r="G510" s="4" t="s">
        <v>26</v>
      </c>
      <c r="H510" s="4" t="s">
        <v>27</v>
      </c>
      <c r="I510" s="4" t="s">
        <v>715</v>
      </c>
      <c r="J510" s="4" t="s">
        <v>715</v>
      </c>
      <c r="K510" s="5">
        <v>6033114</v>
      </c>
      <c r="L510" s="5">
        <v>257747</v>
      </c>
      <c r="M510" s="5">
        <v>19</v>
      </c>
      <c r="N510" s="5">
        <v>3</v>
      </c>
      <c r="O510" s="5">
        <v>67.900000000000006</v>
      </c>
      <c r="P510" s="5"/>
    </row>
    <row r="511" spans="1:16" x14ac:dyDescent="0.25">
      <c r="A511" s="4" t="s">
        <v>21</v>
      </c>
      <c r="B511" s="4" t="s">
        <v>250</v>
      </c>
      <c r="C511" s="5">
        <v>37016</v>
      </c>
      <c r="D511" s="4" t="s">
        <v>33</v>
      </c>
      <c r="E511" s="4" t="s">
        <v>43</v>
      </c>
      <c r="F511" s="4" t="s">
        <v>102</v>
      </c>
      <c r="G511" s="4" t="s">
        <v>26</v>
      </c>
      <c r="H511" s="4" t="s">
        <v>27</v>
      </c>
      <c r="I511" s="4" t="s">
        <v>715</v>
      </c>
      <c r="J511" s="4" t="s">
        <v>715</v>
      </c>
      <c r="K511" s="5">
        <v>6061649</v>
      </c>
      <c r="L511" s="5">
        <v>279214</v>
      </c>
      <c r="M511" s="5">
        <v>19</v>
      </c>
      <c r="N511" s="5">
        <v>2</v>
      </c>
      <c r="O511" s="5">
        <v>10.3</v>
      </c>
      <c r="P511" s="5"/>
    </row>
    <row r="512" spans="1:16" x14ac:dyDescent="0.25">
      <c r="A512" s="4" t="s">
        <v>21</v>
      </c>
      <c r="B512" s="4" t="s">
        <v>250</v>
      </c>
      <c r="C512" s="5">
        <v>37026</v>
      </c>
      <c r="D512" s="4" t="s">
        <v>33</v>
      </c>
      <c r="E512" s="4" t="s">
        <v>66</v>
      </c>
      <c r="F512" s="4" t="s">
        <v>284</v>
      </c>
      <c r="G512" s="4" t="s">
        <v>26</v>
      </c>
      <c r="H512" s="4" t="s">
        <v>27</v>
      </c>
      <c r="I512" s="4" t="s">
        <v>715</v>
      </c>
      <c r="J512" s="4" t="s">
        <v>638</v>
      </c>
      <c r="K512" s="5">
        <v>6081904</v>
      </c>
      <c r="L512" s="5">
        <v>265820</v>
      </c>
      <c r="M512" s="5">
        <v>19</v>
      </c>
      <c r="N512" s="5">
        <v>2</v>
      </c>
      <c r="O512" s="5">
        <v>28</v>
      </c>
      <c r="P512" s="5"/>
    </row>
    <row r="513" spans="1:16" x14ac:dyDescent="0.25">
      <c r="A513" s="4" t="s">
        <v>21</v>
      </c>
      <c r="B513" s="4" t="s">
        <v>250</v>
      </c>
      <c r="C513" s="5">
        <v>37031</v>
      </c>
      <c r="D513" s="4" t="s">
        <v>33</v>
      </c>
      <c r="E513" s="4" t="s">
        <v>66</v>
      </c>
      <c r="F513" s="4" t="s">
        <v>288</v>
      </c>
      <c r="G513" s="4" t="s">
        <v>26</v>
      </c>
      <c r="H513" s="4" t="s">
        <v>27</v>
      </c>
      <c r="I513" s="4" t="s">
        <v>715</v>
      </c>
      <c r="J513" s="4" t="s">
        <v>638</v>
      </c>
      <c r="K513" s="5">
        <v>6082759</v>
      </c>
      <c r="L513" s="5">
        <v>265583</v>
      </c>
      <c r="M513" s="5">
        <v>19</v>
      </c>
      <c r="N513" s="5">
        <v>1</v>
      </c>
      <c r="O513" s="5">
        <v>4</v>
      </c>
      <c r="P513" s="5"/>
    </row>
    <row r="514" spans="1:16" x14ac:dyDescent="0.25">
      <c r="A514" s="4" t="s">
        <v>21</v>
      </c>
      <c r="B514" s="4" t="s">
        <v>250</v>
      </c>
      <c r="C514" s="5">
        <v>37040</v>
      </c>
      <c r="D514" s="4" t="s">
        <v>33</v>
      </c>
      <c r="E514" s="4" t="s">
        <v>66</v>
      </c>
      <c r="F514" s="4" t="s">
        <v>284</v>
      </c>
      <c r="G514" s="4" t="s">
        <v>26</v>
      </c>
      <c r="H514" s="4" t="s">
        <v>27</v>
      </c>
      <c r="I514" s="4" t="s">
        <v>715</v>
      </c>
      <c r="J514" s="4" t="s">
        <v>638</v>
      </c>
      <c r="K514" s="5">
        <v>6082604</v>
      </c>
      <c r="L514" s="5">
        <v>268143</v>
      </c>
      <c r="M514" s="5">
        <v>19</v>
      </c>
      <c r="N514" s="5">
        <v>4</v>
      </c>
      <c r="O514" s="5">
        <v>10</v>
      </c>
      <c r="P514" s="5"/>
    </row>
    <row r="515" spans="1:16" x14ac:dyDescent="0.25">
      <c r="A515" s="4" t="s">
        <v>21</v>
      </c>
      <c r="B515" s="4" t="s">
        <v>250</v>
      </c>
      <c r="C515" s="5">
        <v>37047</v>
      </c>
      <c r="D515" s="4" t="s">
        <v>33</v>
      </c>
      <c r="E515" s="4" t="s">
        <v>66</v>
      </c>
      <c r="F515" s="4" t="s">
        <v>284</v>
      </c>
      <c r="G515" s="4" t="s">
        <v>26</v>
      </c>
      <c r="H515" s="4" t="s">
        <v>27</v>
      </c>
      <c r="I515" s="4" t="s">
        <v>715</v>
      </c>
      <c r="J515" s="4" t="s">
        <v>638</v>
      </c>
      <c r="K515" s="5">
        <v>6081608</v>
      </c>
      <c r="L515" s="5">
        <v>265705</v>
      </c>
      <c r="M515" s="5">
        <v>19</v>
      </c>
      <c r="N515" s="5">
        <v>2</v>
      </c>
      <c r="O515" s="5">
        <v>21</v>
      </c>
      <c r="P515" s="5"/>
    </row>
    <row r="516" spans="1:16" x14ac:dyDescent="0.25">
      <c r="A516" s="4" t="s">
        <v>21</v>
      </c>
      <c r="B516" s="4" t="s">
        <v>250</v>
      </c>
      <c r="C516" s="5">
        <v>37112</v>
      </c>
      <c r="D516" s="4" t="s">
        <v>33</v>
      </c>
      <c r="E516" s="4" t="s">
        <v>122</v>
      </c>
      <c r="F516" s="4" t="s">
        <v>122</v>
      </c>
      <c r="G516" s="4" t="s">
        <v>26</v>
      </c>
      <c r="H516" s="4" t="s">
        <v>27</v>
      </c>
      <c r="I516" s="4" t="s">
        <v>715</v>
      </c>
      <c r="J516" s="4" t="s">
        <v>715</v>
      </c>
      <c r="K516" s="5">
        <v>6112303</v>
      </c>
      <c r="L516" s="5">
        <v>291123</v>
      </c>
      <c r="M516" s="5">
        <v>19</v>
      </c>
      <c r="N516" s="5">
        <v>1</v>
      </c>
      <c r="O516" s="5">
        <v>3</v>
      </c>
      <c r="P516" s="5"/>
    </row>
    <row r="517" spans="1:16" x14ac:dyDescent="0.25">
      <c r="A517" s="4" t="s">
        <v>21</v>
      </c>
      <c r="B517" s="4" t="s">
        <v>250</v>
      </c>
      <c r="C517" s="5">
        <v>37122</v>
      </c>
      <c r="D517" s="4" t="s">
        <v>37</v>
      </c>
      <c r="E517" s="4" t="s">
        <v>151</v>
      </c>
      <c r="F517" s="4" t="s">
        <v>152</v>
      </c>
      <c r="G517" s="4" t="s">
        <v>26</v>
      </c>
      <c r="H517" s="4" t="s">
        <v>27</v>
      </c>
      <c r="I517" s="4" t="s">
        <v>715</v>
      </c>
      <c r="J517" s="4" t="s">
        <v>715</v>
      </c>
      <c r="K517" s="5">
        <v>6237534</v>
      </c>
      <c r="L517" s="5">
        <v>350400</v>
      </c>
      <c r="M517" s="5">
        <v>19</v>
      </c>
      <c r="N517" s="5">
        <v>4</v>
      </c>
      <c r="O517" s="5">
        <v>26.5</v>
      </c>
      <c r="P517" s="5"/>
    </row>
    <row r="518" spans="1:16" x14ac:dyDescent="0.25">
      <c r="A518" s="4" t="s">
        <v>21</v>
      </c>
      <c r="B518" s="4" t="s">
        <v>250</v>
      </c>
      <c r="C518" s="5">
        <v>37127</v>
      </c>
      <c r="D518" s="4" t="s">
        <v>33</v>
      </c>
      <c r="E518" s="4" t="s">
        <v>43</v>
      </c>
      <c r="F518" s="4" t="s">
        <v>80</v>
      </c>
      <c r="G518" s="4" t="s">
        <v>26</v>
      </c>
      <c r="H518" s="4" t="s">
        <v>27</v>
      </c>
      <c r="I518" s="4" t="s">
        <v>715</v>
      </c>
      <c r="J518" s="4" t="s">
        <v>715</v>
      </c>
      <c r="K518" s="5">
        <v>6061340</v>
      </c>
      <c r="L518" s="5">
        <v>274806</v>
      </c>
      <c r="M518" s="5">
        <v>19</v>
      </c>
      <c r="N518" s="5">
        <v>6</v>
      </c>
      <c r="O518" s="5">
        <v>35.9</v>
      </c>
      <c r="P518" s="5"/>
    </row>
    <row r="519" spans="1:16" x14ac:dyDescent="0.25">
      <c r="A519" s="4" t="s">
        <v>21</v>
      </c>
      <c r="B519" s="4" t="s">
        <v>250</v>
      </c>
      <c r="C519" s="5">
        <v>37131</v>
      </c>
      <c r="D519" s="4" t="s">
        <v>33</v>
      </c>
      <c r="E519" s="4" t="s">
        <v>43</v>
      </c>
      <c r="F519" s="4" t="s">
        <v>168</v>
      </c>
      <c r="G519" s="4" t="s">
        <v>26</v>
      </c>
      <c r="H519" s="4" t="s">
        <v>27</v>
      </c>
      <c r="I519" s="4" t="s">
        <v>715</v>
      </c>
      <c r="J519" s="4" t="s">
        <v>638</v>
      </c>
      <c r="K519" s="5">
        <v>6070177</v>
      </c>
      <c r="L519" s="5">
        <v>277585</v>
      </c>
      <c r="M519" s="5">
        <v>19</v>
      </c>
      <c r="N519" s="5">
        <v>1</v>
      </c>
      <c r="O519" s="5">
        <v>6.3</v>
      </c>
      <c r="P519" s="5"/>
    </row>
    <row r="520" spans="1:16" x14ac:dyDescent="0.25">
      <c r="A520" s="4" t="s">
        <v>21</v>
      </c>
      <c r="B520" s="4" t="s">
        <v>250</v>
      </c>
      <c r="C520" s="5">
        <v>37135</v>
      </c>
      <c r="D520" s="4" t="s">
        <v>37</v>
      </c>
      <c r="E520" s="4" t="s">
        <v>38</v>
      </c>
      <c r="F520" s="4" t="s">
        <v>38</v>
      </c>
      <c r="G520" s="4" t="s">
        <v>26</v>
      </c>
      <c r="H520" s="4" t="s">
        <v>27</v>
      </c>
      <c r="I520" s="4" t="s">
        <v>715</v>
      </c>
      <c r="J520" s="4" t="s">
        <v>715</v>
      </c>
      <c r="K520" s="5">
        <v>6170668</v>
      </c>
      <c r="L520" s="5">
        <v>319791</v>
      </c>
      <c r="M520" s="5">
        <v>19</v>
      </c>
      <c r="N520" s="5">
        <v>6</v>
      </c>
      <c r="O520" s="5">
        <v>66</v>
      </c>
      <c r="P520" s="5"/>
    </row>
    <row r="521" spans="1:16" x14ac:dyDescent="0.25">
      <c r="A521" s="4" t="s">
        <v>21</v>
      </c>
      <c r="B521" s="4" t="s">
        <v>250</v>
      </c>
      <c r="C521" s="5">
        <v>37136</v>
      </c>
      <c r="D521" s="4" t="s">
        <v>33</v>
      </c>
      <c r="E521" s="4" t="s">
        <v>43</v>
      </c>
      <c r="F521" s="4" t="s">
        <v>293</v>
      </c>
      <c r="G521" s="4" t="s">
        <v>26</v>
      </c>
      <c r="H521" s="4" t="s">
        <v>27</v>
      </c>
      <c r="I521" s="4" t="s">
        <v>715</v>
      </c>
      <c r="J521" s="4" t="s">
        <v>715</v>
      </c>
      <c r="K521" s="5">
        <v>6061787</v>
      </c>
      <c r="L521" s="5">
        <v>281802</v>
      </c>
      <c r="M521" s="5">
        <v>19</v>
      </c>
      <c r="N521" s="5">
        <v>3</v>
      </c>
      <c r="O521" s="5">
        <v>14</v>
      </c>
      <c r="P521" s="5"/>
    </row>
    <row r="522" spans="1:16" x14ac:dyDescent="0.25">
      <c r="A522" s="4" t="s">
        <v>21</v>
      </c>
      <c r="B522" s="4" t="s">
        <v>250</v>
      </c>
      <c r="C522" s="5">
        <v>37137</v>
      </c>
      <c r="D522" s="4" t="s">
        <v>33</v>
      </c>
      <c r="E522" s="4" t="s">
        <v>43</v>
      </c>
      <c r="F522" s="4" t="s">
        <v>80</v>
      </c>
      <c r="G522" s="4" t="s">
        <v>26</v>
      </c>
      <c r="H522" s="4" t="s">
        <v>27</v>
      </c>
      <c r="I522" s="4" t="s">
        <v>715</v>
      </c>
      <c r="J522" s="4" t="s">
        <v>715</v>
      </c>
      <c r="K522" s="5">
        <v>6061977</v>
      </c>
      <c r="L522" s="5">
        <v>274035</v>
      </c>
      <c r="M522" s="5">
        <v>19</v>
      </c>
      <c r="N522" s="5">
        <v>7</v>
      </c>
      <c r="O522" s="5">
        <v>57.4</v>
      </c>
      <c r="P522" s="5"/>
    </row>
    <row r="523" spans="1:16" x14ac:dyDescent="0.25">
      <c r="A523" s="4" t="s">
        <v>21</v>
      </c>
      <c r="B523" s="4" t="s">
        <v>250</v>
      </c>
      <c r="C523" s="5">
        <v>37138</v>
      </c>
      <c r="D523" s="4" t="s">
        <v>33</v>
      </c>
      <c r="E523" s="4" t="s">
        <v>47</v>
      </c>
      <c r="F523" s="4" t="s">
        <v>52</v>
      </c>
      <c r="G523" s="4" t="s">
        <v>26</v>
      </c>
      <c r="H523" s="4" t="s">
        <v>27</v>
      </c>
      <c r="I523" s="4" t="s">
        <v>715</v>
      </c>
      <c r="J523" s="4" t="s">
        <v>715</v>
      </c>
      <c r="K523" s="5">
        <v>6079263</v>
      </c>
      <c r="L523" s="5">
        <v>285008</v>
      </c>
      <c r="M523" s="5">
        <v>19</v>
      </c>
      <c r="N523" s="5">
        <v>1</v>
      </c>
      <c r="O523" s="5">
        <v>13</v>
      </c>
      <c r="P523" s="5"/>
    </row>
    <row r="524" spans="1:16" x14ac:dyDescent="0.25">
      <c r="A524" s="4" t="s">
        <v>21</v>
      </c>
      <c r="B524" s="4" t="s">
        <v>250</v>
      </c>
      <c r="C524" s="5">
        <v>37139</v>
      </c>
      <c r="D524" s="4" t="s">
        <v>33</v>
      </c>
      <c r="E524" s="4" t="s">
        <v>247</v>
      </c>
      <c r="F524" s="4" t="s">
        <v>52</v>
      </c>
      <c r="G524" s="4" t="s">
        <v>26</v>
      </c>
      <c r="H524" s="4" t="s">
        <v>27</v>
      </c>
      <c r="I524" s="4" t="s">
        <v>715</v>
      </c>
      <c r="J524" s="4" t="s">
        <v>715</v>
      </c>
      <c r="K524" s="5">
        <v>6117489</v>
      </c>
      <c r="L524" s="5">
        <v>290389</v>
      </c>
      <c r="M524" s="5">
        <v>19</v>
      </c>
      <c r="N524" s="5">
        <v>1</v>
      </c>
      <c r="O524" s="5">
        <v>10</v>
      </c>
      <c r="P524" s="5"/>
    </row>
    <row r="525" spans="1:16" x14ac:dyDescent="0.25">
      <c r="A525" s="4" t="s">
        <v>21</v>
      </c>
      <c r="B525" s="4" t="s">
        <v>250</v>
      </c>
      <c r="C525" s="5">
        <v>37140</v>
      </c>
      <c r="D525" s="4" t="s">
        <v>33</v>
      </c>
      <c r="E525" s="4" t="s">
        <v>45</v>
      </c>
      <c r="F525" s="4" t="s">
        <v>294</v>
      </c>
      <c r="G525" s="4" t="s">
        <v>26</v>
      </c>
      <c r="H525" s="4" t="s">
        <v>27</v>
      </c>
      <c r="I525" s="4" t="s">
        <v>715</v>
      </c>
      <c r="J525" s="4" t="s">
        <v>638</v>
      </c>
      <c r="K525" s="5">
        <v>6084722</v>
      </c>
      <c r="L525" s="5">
        <v>265253</v>
      </c>
      <c r="M525" s="5">
        <v>19</v>
      </c>
      <c r="N525" s="5">
        <v>3</v>
      </c>
      <c r="O525" s="5">
        <v>20</v>
      </c>
      <c r="P525" s="5"/>
    </row>
    <row r="526" spans="1:16" x14ac:dyDescent="0.25">
      <c r="A526" s="4" t="s">
        <v>21</v>
      </c>
      <c r="B526" s="4" t="s">
        <v>250</v>
      </c>
      <c r="C526" s="5">
        <v>37141</v>
      </c>
      <c r="D526" s="4" t="s">
        <v>33</v>
      </c>
      <c r="E526" s="4" t="s">
        <v>47</v>
      </c>
      <c r="F526" s="4" t="s">
        <v>48</v>
      </c>
      <c r="G526" s="4" t="s">
        <v>26</v>
      </c>
      <c r="H526" s="4" t="s">
        <v>27</v>
      </c>
      <c r="I526" s="4" t="s">
        <v>715</v>
      </c>
      <c r="J526" s="4" t="s">
        <v>638</v>
      </c>
      <c r="K526" s="5">
        <v>6080818</v>
      </c>
      <c r="L526" s="5">
        <v>278632</v>
      </c>
      <c r="M526" s="5">
        <v>19</v>
      </c>
      <c r="N526" s="5">
        <v>1</v>
      </c>
      <c r="O526" s="5">
        <v>6.5</v>
      </c>
      <c r="P526" s="5"/>
    </row>
    <row r="527" spans="1:16" x14ac:dyDescent="0.25">
      <c r="A527" s="4" t="s">
        <v>21</v>
      </c>
      <c r="B527" s="4" t="s">
        <v>250</v>
      </c>
      <c r="C527" s="5">
        <v>37142</v>
      </c>
      <c r="D527" s="4" t="s">
        <v>33</v>
      </c>
      <c r="E527" s="4" t="s">
        <v>45</v>
      </c>
      <c r="F527" s="4" t="s">
        <v>294</v>
      </c>
      <c r="G527" s="4" t="s">
        <v>26</v>
      </c>
      <c r="H527" s="4" t="s">
        <v>27</v>
      </c>
      <c r="I527" s="4" t="s">
        <v>715</v>
      </c>
      <c r="J527" s="4" t="s">
        <v>715</v>
      </c>
      <c r="K527" s="5">
        <v>6084312</v>
      </c>
      <c r="L527" s="5">
        <v>264352</v>
      </c>
      <c r="M527" s="5">
        <v>19</v>
      </c>
      <c r="N527" s="5">
        <v>3</v>
      </c>
      <c r="O527" s="5">
        <v>41</v>
      </c>
      <c r="P527" s="5"/>
    </row>
    <row r="528" spans="1:16" x14ac:dyDescent="0.25">
      <c r="A528" s="4" t="s">
        <v>21</v>
      </c>
      <c r="B528" s="4" t="s">
        <v>250</v>
      </c>
      <c r="C528" s="5">
        <v>37172</v>
      </c>
      <c r="D528" s="4" t="s">
        <v>37</v>
      </c>
      <c r="E528" s="4" t="s">
        <v>73</v>
      </c>
      <c r="F528" s="4" t="s">
        <v>39</v>
      </c>
      <c r="G528" s="4" t="s">
        <v>26</v>
      </c>
      <c r="H528" s="4" t="s">
        <v>27</v>
      </c>
      <c r="I528" s="4" t="s">
        <v>715</v>
      </c>
      <c r="J528" s="4" t="s">
        <v>638</v>
      </c>
      <c r="K528" s="5">
        <v>6164455</v>
      </c>
      <c r="L528" s="5">
        <v>325739</v>
      </c>
      <c r="M528" s="5">
        <v>19</v>
      </c>
      <c r="N528" s="5">
        <v>1</v>
      </c>
      <c r="O528" s="5">
        <v>10</v>
      </c>
      <c r="P528" s="5"/>
    </row>
    <row r="529" spans="1:16" x14ac:dyDescent="0.25">
      <c r="A529" s="4" t="s">
        <v>21</v>
      </c>
      <c r="B529" s="4" t="s">
        <v>250</v>
      </c>
      <c r="C529" s="5">
        <v>37173</v>
      </c>
      <c r="D529" s="4" t="s">
        <v>37</v>
      </c>
      <c r="E529" s="4" t="s">
        <v>38</v>
      </c>
      <c r="F529" s="4" t="s">
        <v>38</v>
      </c>
      <c r="G529" s="4" t="s">
        <v>26</v>
      </c>
      <c r="H529" s="4" t="s">
        <v>27</v>
      </c>
      <c r="I529" s="4" t="s">
        <v>715</v>
      </c>
      <c r="J529" s="4" t="s">
        <v>715</v>
      </c>
      <c r="K529" s="5">
        <v>6171882</v>
      </c>
      <c r="L529" s="5">
        <v>318160</v>
      </c>
      <c r="M529" s="5">
        <v>19</v>
      </c>
      <c r="N529" s="5">
        <v>1</v>
      </c>
      <c r="O529" s="5">
        <v>11</v>
      </c>
      <c r="P529" s="5"/>
    </row>
    <row r="530" spans="1:16" x14ac:dyDescent="0.25">
      <c r="A530" s="4" t="s">
        <v>21</v>
      </c>
      <c r="B530" s="4" t="s">
        <v>250</v>
      </c>
      <c r="C530" s="5">
        <v>37174</v>
      </c>
      <c r="D530" s="4" t="s">
        <v>37</v>
      </c>
      <c r="E530" s="4" t="s">
        <v>169</v>
      </c>
      <c r="F530" s="4" t="s">
        <v>256</v>
      </c>
      <c r="G530" s="4" t="s">
        <v>26</v>
      </c>
      <c r="H530" s="4" t="s">
        <v>27</v>
      </c>
      <c r="I530" s="4" t="s">
        <v>715</v>
      </c>
      <c r="J530" s="4" t="s">
        <v>638</v>
      </c>
      <c r="K530" s="5">
        <v>6222614</v>
      </c>
      <c r="L530" s="5">
        <v>333824</v>
      </c>
      <c r="M530" s="5">
        <v>19</v>
      </c>
      <c r="N530" s="5">
        <v>1</v>
      </c>
      <c r="O530" s="5">
        <v>10</v>
      </c>
      <c r="P530" s="5"/>
    </row>
    <row r="531" spans="1:16" x14ac:dyDescent="0.25">
      <c r="A531" s="4" t="s">
        <v>21</v>
      </c>
      <c r="B531" s="4" t="s">
        <v>250</v>
      </c>
      <c r="C531" s="5">
        <v>37175</v>
      </c>
      <c r="D531" s="4" t="s">
        <v>37</v>
      </c>
      <c r="E531" s="4" t="s">
        <v>38</v>
      </c>
      <c r="F531" s="4" t="s">
        <v>38</v>
      </c>
      <c r="G531" s="4" t="s">
        <v>26</v>
      </c>
      <c r="H531" s="4" t="s">
        <v>27</v>
      </c>
      <c r="I531" s="4" t="s">
        <v>715</v>
      </c>
      <c r="J531" s="4" t="s">
        <v>715</v>
      </c>
      <c r="K531" s="5">
        <v>6169420</v>
      </c>
      <c r="L531" s="5">
        <v>322044</v>
      </c>
      <c r="M531" s="5">
        <v>19</v>
      </c>
      <c r="N531" s="5">
        <v>1</v>
      </c>
      <c r="O531" s="5">
        <v>15</v>
      </c>
      <c r="P531" s="5"/>
    </row>
    <row r="532" spans="1:16" x14ac:dyDescent="0.25">
      <c r="A532" s="4" t="s">
        <v>21</v>
      </c>
      <c r="B532" s="4" t="s">
        <v>250</v>
      </c>
      <c r="C532" s="5">
        <v>37177</v>
      </c>
      <c r="D532" s="4" t="s">
        <v>33</v>
      </c>
      <c r="E532" s="4" t="s">
        <v>122</v>
      </c>
      <c r="F532" s="4" t="s">
        <v>122</v>
      </c>
      <c r="G532" s="4" t="s">
        <v>26</v>
      </c>
      <c r="H532" s="4" t="s">
        <v>27</v>
      </c>
      <c r="I532" s="4" t="s">
        <v>715</v>
      </c>
      <c r="J532" s="4" t="s">
        <v>638</v>
      </c>
      <c r="K532" s="5">
        <v>6114501</v>
      </c>
      <c r="L532" s="5">
        <v>291598</v>
      </c>
      <c r="M532" s="5">
        <v>19</v>
      </c>
      <c r="N532" s="5">
        <v>3</v>
      </c>
      <c r="O532" s="5">
        <v>23</v>
      </c>
      <c r="P532" s="5"/>
    </row>
    <row r="533" spans="1:16" x14ac:dyDescent="0.25">
      <c r="A533" s="4" t="s">
        <v>21</v>
      </c>
      <c r="B533" s="4" t="s">
        <v>250</v>
      </c>
      <c r="C533" s="5">
        <v>37179</v>
      </c>
      <c r="D533" s="4" t="s">
        <v>37</v>
      </c>
      <c r="E533" s="4" t="s">
        <v>295</v>
      </c>
      <c r="F533" s="4" t="s">
        <v>295</v>
      </c>
      <c r="G533" s="4" t="s">
        <v>26</v>
      </c>
      <c r="H533" s="4" t="s">
        <v>27</v>
      </c>
      <c r="I533" s="4" t="s">
        <v>715</v>
      </c>
      <c r="J533" s="4" t="s">
        <v>715</v>
      </c>
      <c r="K533" s="5">
        <v>6226242</v>
      </c>
      <c r="L533" s="5">
        <v>348771</v>
      </c>
      <c r="M533" s="5">
        <v>19</v>
      </c>
      <c r="N533" s="5">
        <v>2</v>
      </c>
      <c r="O533" s="5">
        <v>18</v>
      </c>
      <c r="P533" s="5"/>
    </row>
    <row r="534" spans="1:16" x14ac:dyDescent="0.25">
      <c r="A534" s="4" t="s">
        <v>21</v>
      </c>
      <c r="B534" s="4" t="s">
        <v>250</v>
      </c>
      <c r="C534" s="5">
        <v>37181</v>
      </c>
      <c r="D534" s="4" t="s">
        <v>33</v>
      </c>
      <c r="E534" s="4" t="s">
        <v>122</v>
      </c>
      <c r="F534" s="4" t="s">
        <v>296</v>
      </c>
      <c r="G534" s="4" t="s">
        <v>26</v>
      </c>
      <c r="H534" s="4" t="s">
        <v>27</v>
      </c>
      <c r="I534" s="4" t="s">
        <v>715</v>
      </c>
      <c r="J534" s="4" t="s">
        <v>638</v>
      </c>
      <c r="K534" s="5">
        <v>6115305</v>
      </c>
      <c r="L534" s="5">
        <v>292863</v>
      </c>
      <c r="M534" s="5">
        <v>19</v>
      </c>
      <c r="N534" s="5">
        <v>1</v>
      </c>
      <c r="O534" s="5">
        <v>30.8</v>
      </c>
      <c r="P534" s="5"/>
    </row>
    <row r="535" spans="1:16" x14ac:dyDescent="0.25">
      <c r="A535" s="4" t="s">
        <v>21</v>
      </c>
      <c r="B535" s="4" t="s">
        <v>250</v>
      </c>
      <c r="C535" s="5">
        <v>37219</v>
      </c>
      <c r="D535" s="4" t="s">
        <v>33</v>
      </c>
      <c r="E535" s="4" t="s">
        <v>122</v>
      </c>
      <c r="F535" s="4" t="s">
        <v>297</v>
      </c>
      <c r="G535" s="4" t="s">
        <v>26</v>
      </c>
      <c r="H535" s="4" t="s">
        <v>27</v>
      </c>
      <c r="I535" s="4" t="s">
        <v>715</v>
      </c>
      <c r="J535" s="4" t="s">
        <v>715</v>
      </c>
      <c r="K535" s="5">
        <v>6107595</v>
      </c>
      <c r="L535" s="5">
        <v>298786</v>
      </c>
      <c r="M535" s="5">
        <v>19</v>
      </c>
      <c r="N535" s="5">
        <v>1</v>
      </c>
      <c r="O535" s="5">
        <v>12</v>
      </c>
      <c r="P535" s="5"/>
    </row>
    <row r="536" spans="1:16" x14ac:dyDescent="0.25">
      <c r="A536" s="4" t="s">
        <v>21</v>
      </c>
      <c r="B536" s="4" t="s">
        <v>250</v>
      </c>
      <c r="C536" s="5">
        <v>37243</v>
      </c>
      <c r="D536" s="4" t="s">
        <v>33</v>
      </c>
      <c r="E536" s="4" t="s">
        <v>47</v>
      </c>
      <c r="F536" s="4" t="s">
        <v>47</v>
      </c>
      <c r="G536" s="4" t="s">
        <v>26</v>
      </c>
      <c r="H536" s="4" t="s">
        <v>27</v>
      </c>
      <c r="I536" s="4" t="s">
        <v>715</v>
      </c>
      <c r="J536" s="4" t="s">
        <v>715</v>
      </c>
      <c r="K536" s="5">
        <v>6080956</v>
      </c>
      <c r="L536" s="5">
        <v>278058</v>
      </c>
      <c r="M536" s="5">
        <v>19</v>
      </c>
      <c r="N536" s="5">
        <v>1</v>
      </c>
      <c r="O536" s="5">
        <v>15.5</v>
      </c>
      <c r="P536" s="5"/>
    </row>
    <row r="537" spans="1:16" x14ac:dyDescent="0.25">
      <c r="A537" s="4" t="s">
        <v>21</v>
      </c>
      <c r="B537" s="4" t="s">
        <v>250</v>
      </c>
      <c r="C537" s="5">
        <v>37246</v>
      </c>
      <c r="D537" s="4" t="s">
        <v>15</v>
      </c>
      <c r="E537" s="4" t="s">
        <v>258</v>
      </c>
      <c r="F537" s="4" t="s">
        <v>298</v>
      </c>
      <c r="G537" s="4" t="s">
        <v>26</v>
      </c>
      <c r="H537" s="4" t="s">
        <v>18</v>
      </c>
      <c r="I537" s="4" t="s">
        <v>715</v>
      </c>
      <c r="J537" s="4" t="s">
        <v>715</v>
      </c>
      <c r="K537" s="5">
        <v>6368284</v>
      </c>
      <c r="L537" s="5">
        <v>315559</v>
      </c>
      <c r="M537" s="5">
        <v>19</v>
      </c>
      <c r="N537" s="5">
        <v>1</v>
      </c>
      <c r="O537" s="5">
        <v>1.2</v>
      </c>
      <c r="P537" s="5"/>
    </row>
    <row r="538" spans="1:16" x14ac:dyDescent="0.25">
      <c r="A538" s="4" t="s">
        <v>21</v>
      </c>
      <c r="B538" s="4" t="s">
        <v>250</v>
      </c>
      <c r="C538" s="5">
        <v>37262</v>
      </c>
      <c r="D538" s="4" t="s">
        <v>15</v>
      </c>
      <c r="E538" s="4" t="s">
        <v>258</v>
      </c>
      <c r="F538" s="4" t="s">
        <v>273</v>
      </c>
      <c r="G538" s="4" t="s">
        <v>26</v>
      </c>
      <c r="H538" s="4" t="s">
        <v>18</v>
      </c>
      <c r="I538" s="4" t="s">
        <v>715</v>
      </c>
      <c r="J538" s="4" t="s">
        <v>715</v>
      </c>
      <c r="K538" s="5">
        <v>6363056</v>
      </c>
      <c r="L538" s="5">
        <v>317963</v>
      </c>
      <c r="M538" s="5">
        <v>19</v>
      </c>
      <c r="N538" s="5">
        <v>1</v>
      </c>
      <c r="O538" s="5">
        <v>0.4</v>
      </c>
      <c r="P538" s="5"/>
    </row>
    <row r="539" spans="1:16" x14ac:dyDescent="0.25">
      <c r="A539" s="4" t="s">
        <v>21</v>
      </c>
      <c r="B539" s="4" t="s">
        <v>250</v>
      </c>
      <c r="C539" s="5">
        <v>37300</v>
      </c>
      <c r="D539" s="4" t="s">
        <v>33</v>
      </c>
      <c r="E539" s="4" t="s">
        <v>43</v>
      </c>
      <c r="F539" s="4" t="s">
        <v>299</v>
      </c>
      <c r="G539" s="4" t="s">
        <v>26</v>
      </c>
      <c r="H539" s="4" t="s">
        <v>18</v>
      </c>
      <c r="I539" s="4" t="s">
        <v>715</v>
      </c>
      <c r="J539" s="4" t="s">
        <v>715</v>
      </c>
      <c r="K539" s="5">
        <v>6072462</v>
      </c>
      <c r="L539" s="5">
        <v>292305</v>
      </c>
      <c r="M539" s="5">
        <v>19</v>
      </c>
      <c r="N539" s="5">
        <v>1</v>
      </c>
      <c r="O539" s="5">
        <v>3.4</v>
      </c>
      <c r="P539" s="5"/>
    </row>
    <row r="540" spans="1:16" x14ac:dyDescent="0.25">
      <c r="A540" s="4" t="s">
        <v>21</v>
      </c>
      <c r="B540" s="4" t="s">
        <v>250</v>
      </c>
      <c r="C540" s="5">
        <v>37303</v>
      </c>
      <c r="D540" s="4" t="s">
        <v>33</v>
      </c>
      <c r="E540" s="4" t="s">
        <v>43</v>
      </c>
      <c r="F540" s="4" t="s">
        <v>132</v>
      </c>
      <c r="G540" s="4" t="s">
        <v>26</v>
      </c>
      <c r="H540" s="4" t="s">
        <v>18</v>
      </c>
      <c r="I540" s="4" t="s">
        <v>715</v>
      </c>
      <c r="J540" s="4" t="s">
        <v>715</v>
      </c>
      <c r="K540" s="5">
        <v>6062369</v>
      </c>
      <c r="L540" s="5">
        <v>290122</v>
      </c>
      <c r="M540" s="5">
        <v>19</v>
      </c>
      <c r="N540" s="5">
        <v>1</v>
      </c>
      <c r="O540" s="5">
        <v>0.4</v>
      </c>
      <c r="P540" s="5"/>
    </row>
    <row r="541" spans="1:16" x14ac:dyDescent="0.25">
      <c r="A541" s="4" t="s">
        <v>21</v>
      </c>
      <c r="B541" s="4" t="s">
        <v>250</v>
      </c>
      <c r="C541" s="5">
        <v>37304</v>
      </c>
      <c r="D541" s="4" t="s">
        <v>33</v>
      </c>
      <c r="E541" s="4" t="s">
        <v>43</v>
      </c>
      <c r="F541" s="4" t="s">
        <v>132</v>
      </c>
      <c r="G541" s="4" t="s">
        <v>26</v>
      </c>
      <c r="H541" s="4" t="s">
        <v>18</v>
      </c>
      <c r="I541" s="4" t="s">
        <v>715</v>
      </c>
      <c r="J541" s="4" t="s">
        <v>715</v>
      </c>
      <c r="K541" s="5">
        <v>6062817</v>
      </c>
      <c r="L541" s="5">
        <v>290477</v>
      </c>
      <c r="M541" s="5">
        <v>19</v>
      </c>
      <c r="N541" s="5">
        <v>1</v>
      </c>
      <c r="O541" s="5">
        <v>1.6</v>
      </c>
      <c r="P541" s="5"/>
    </row>
    <row r="542" spans="1:16" x14ac:dyDescent="0.25">
      <c r="A542" s="4" t="s">
        <v>21</v>
      </c>
      <c r="B542" s="4" t="s">
        <v>250</v>
      </c>
      <c r="C542" s="5">
        <v>37305</v>
      </c>
      <c r="D542" s="4" t="s">
        <v>33</v>
      </c>
      <c r="E542" s="4" t="s">
        <v>43</v>
      </c>
      <c r="F542" s="4" t="s">
        <v>132</v>
      </c>
      <c r="G542" s="4" t="s">
        <v>26</v>
      </c>
      <c r="H542" s="4" t="s">
        <v>18</v>
      </c>
      <c r="I542" s="4" t="s">
        <v>715</v>
      </c>
      <c r="J542" s="4" t="s">
        <v>715</v>
      </c>
      <c r="K542" s="5">
        <v>6062817</v>
      </c>
      <c r="L542" s="5">
        <v>290477</v>
      </c>
      <c r="M542" s="5">
        <v>19</v>
      </c>
      <c r="N542" s="5">
        <v>1</v>
      </c>
      <c r="O542" s="5">
        <v>0.4</v>
      </c>
      <c r="P542" s="5"/>
    </row>
    <row r="543" spans="1:16" x14ac:dyDescent="0.25">
      <c r="A543" s="4" t="s">
        <v>21</v>
      </c>
      <c r="B543" s="4" t="s">
        <v>250</v>
      </c>
      <c r="C543" s="5">
        <v>37306</v>
      </c>
      <c r="D543" s="4" t="s">
        <v>33</v>
      </c>
      <c r="E543" s="4" t="s">
        <v>66</v>
      </c>
      <c r="F543" s="4" t="s">
        <v>288</v>
      </c>
      <c r="G543" s="4" t="s">
        <v>26</v>
      </c>
      <c r="H543" s="4" t="s">
        <v>18</v>
      </c>
      <c r="I543" s="4" t="s">
        <v>715</v>
      </c>
      <c r="J543" s="4" t="s">
        <v>715</v>
      </c>
      <c r="K543" s="5">
        <v>6082308</v>
      </c>
      <c r="L543" s="5">
        <v>262651</v>
      </c>
      <c r="M543" s="5">
        <v>19</v>
      </c>
      <c r="N543" s="5">
        <v>3</v>
      </c>
      <c r="O543" s="5">
        <v>19</v>
      </c>
      <c r="P543" s="5"/>
    </row>
    <row r="544" spans="1:16" x14ac:dyDescent="0.25">
      <c r="A544" s="4" t="s">
        <v>21</v>
      </c>
      <c r="B544" s="4" t="s">
        <v>250</v>
      </c>
      <c r="C544" s="5">
        <v>37308</v>
      </c>
      <c r="D544" s="4" t="s">
        <v>33</v>
      </c>
      <c r="E544" s="4" t="s">
        <v>45</v>
      </c>
      <c r="F544" s="4" t="s">
        <v>261</v>
      </c>
      <c r="G544" s="4" t="s">
        <v>26</v>
      </c>
      <c r="H544" s="4" t="s">
        <v>18</v>
      </c>
      <c r="I544" s="4" t="s">
        <v>715</v>
      </c>
      <c r="J544" s="4" t="s">
        <v>715</v>
      </c>
      <c r="K544" s="5">
        <v>6090088</v>
      </c>
      <c r="L544" s="5">
        <v>279440</v>
      </c>
      <c r="M544" s="5">
        <v>19</v>
      </c>
      <c r="N544" s="5">
        <v>1</v>
      </c>
      <c r="O544" s="5">
        <v>1.21</v>
      </c>
      <c r="P544" s="5"/>
    </row>
    <row r="545" spans="1:16" x14ac:dyDescent="0.25">
      <c r="A545" s="4" t="s">
        <v>21</v>
      </c>
      <c r="B545" s="4" t="s">
        <v>250</v>
      </c>
      <c r="C545" s="5">
        <v>37309</v>
      </c>
      <c r="D545" s="4" t="s">
        <v>33</v>
      </c>
      <c r="E545" s="4" t="s">
        <v>45</v>
      </c>
      <c r="F545" s="4" t="s">
        <v>261</v>
      </c>
      <c r="G545" s="4" t="s">
        <v>26</v>
      </c>
      <c r="H545" s="4" t="s">
        <v>18</v>
      </c>
      <c r="I545" s="4" t="s">
        <v>715</v>
      </c>
      <c r="J545" s="4" t="s">
        <v>715</v>
      </c>
      <c r="K545" s="5">
        <v>6090652</v>
      </c>
      <c r="L545" s="5">
        <v>279673</v>
      </c>
      <c r="M545" s="5">
        <v>19</v>
      </c>
      <c r="N545" s="5">
        <v>1</v>
      </c>
      <c r="O545" s="5">
        <v>0.4</v>
      </c>
      <c r="P545" s="5"/>
    </row>
    <row r="546" spans="1:16" x14ac:dyDescent="0.25">
      <c r="A546" s="4" t="s">
        <v>21</v>
      </c>
      <c r="B546" s="4" t="s">
        <v>250</v>
      </c>
      <c r="C546" s="5">
        <v>37311</v>
      </c>
      <c r="D546" s="4" t="s">
        <v>33</v>
      </c>
      <c r="E546" s="4" t="s">
        <v>167</v>
      </c>
      <c r="F546" s="4" t="s">
        <v>300</v>
      </c>
      <c r="G546" s="4" t="s">
        <v>26</v>
      </c>
      <c r="H546" s="4" t="s">
        <v>18</v>
      </c>
      <c r="I546" s="4" t="s">
        <v>715</v>
      </c>
      <c r="J546" s="4" t="s">
        <v>715</v>
      </c>
      <c r="K546" s="5">
        <v>6094020</v>
      </c>
      <c r="L546" s="5">
        <v>295549</v>
      </c>
      <c r="M546" s="5">
        <v>19</v>
      </c>
      <c r="N546" s="5">
        <v>1</v>
      </c>
      <c r="O546" s="5">
        <v>0.4</v>
      </c>
      <c r="P546" s="5"/>
    </row>
    <row r="547" spans="1:16" x14ac:dyDescent="0.25">
      <c r="A547" s="4" t="s">
        <v>21</v>
      </c>
      <c r="B547" s="4" t="s">
        <v>250</v>
      </c>
      <c r="C547" s="5">
        <v>37313</v>
      </c>
      <c r="D547" s="4" t="s">
        <v>33</v>
      </c>
      <c r="E547" s="4" t="s">
        <v>35</v>
      </c>
      <c r="F547" s="4" t="s">
        <v>140</v>
      </c>
      <c r="G547" s="4" t="s">
        <v>26</v>
      </c>
      <c r="H547" s="4" t="s">
        <v>18</v>
      </c>
      <c r="I547" s="4" t="s">
        <v>715</v>
      </c>
      <c r="J547" s="4" t="s">
        <v>715</v>
      </c>
      <c r="K547" s="5">
        <v>6129438</v>
      </c>
      <c r="L547" s="5">
        <v>321586</v>
      </c>
      <c r="M547" s="5">
        <v>19</v>
      </c>
      <c r="N547" s="5">
        <v>1</v>
      </c>
      <c r="O547" s="5">
        <v>0.4</v>
      </c>
      <c r="P547" s="5"/>
    </row>
    <row r="548" spans="1:16" x14ac:dyDescent="0.25">
      <c r="A548" s="4" t="s">
        <v>21</v>
      </c>
      <c r="B548" s="4" t="s">
        <v>250</v>
      </c>
      <c r="C548" s="5">
        <v>37314</v>
      </c>
      <c r="D548" s="4" t="s">
        <v>33</v>
      </c>
      <c r="E548" s="4" t="s">
        <v>35</v>
      </c>
      <c r="F548" s="4" t="s">
        <v>140</v>
      </c>
      <c r="G548" s="4" t="s">
        <v>26</v>
      </c>
      <c r="H548" s="4" t="s">
        <v>18</v>
      </c>
      <c r="I548" s="4" t="s">
        <v>715</v>
      </c>
      <c r="J548" s="4" t="s">
        <v>715</v>
      </c>
      <c r="K548" s="5">
        <v>6138596</v>
      </c>
      <c r="L548" s="5">
        <v>307372</v>
      </c>
      <c r="M548" s="5">
        <v>19</v>
      </c>
      <c r="N548" s="5">
        <v>1</v>
      </c>
      <c r="O548" s="5">
        <v>0.4</v>
      </c>
      <c r="P548" s="5"/>
    </row>
    <row r="549" spans="1:16" x14ac:dyDescent="0.25">
      <c r="A549" s="4" t="s">
        <v>21</v>
      </c>
      <c r="B549" s="4" t="s">
        <v>250</v>
      </c>
      <c r="C549" s="5">
        <v>37315</v>
      </c>
      <c r="D549" s="4" t="s">
        <v>33</v>
      </c>
      <c r="E549" s="4" t="s">
        <v>50</v>
      </c>
      <c r="F549" s="4" t="s">
        <v>301</v>
      </c>
      <c r="G549" s="4" t="s">
        <v>26</v>
      </c>
      <c r="H549" s="4" t="s">
        <v>18</v>
      </c>
      <c r="I549" s="4" t="s">
        <v>715</v>
      </c>
      <c r="J549" s="4" t="s">
        <v>715</v>
      </c>
      <c r="K549" s="5">
        <v>6131587</v>
      </c>
      <c r="L549" s="5">
        <v>308993</v>
      </c>
      <c r="M549" s="5">
        <v>19</v>
      </c>
      <c r="N549" s="5">
        <v>1</v>
      </c>
      <c r="O549" s="5">
        <v>0.8</v>
      </c>
      <c r="P549" s="5"/>
    </row>
    <row r="550" spans="1:16" x14ac:dyDescent="0.25">
      <c r="A550" s="4" t="s">
        <v>21</v>
      </c>
      <c r="B550" s="4" t="s">
        <v>250</v>
      </c>
      <c r="C550" s="5">
        <v>37316</v>
      </c>
      <c r="D550" s="4" t="s">
        <v>33</v>
      </c>
      <c r="E550" s="4" t="s">
        <v>50</v>
      </c>
      <c r="F550" s="4" t="s">
        <v>302</v>
      </c>
      <c r="G550" s="4" t="s">
        <v>26</v>
      </c>
      <c r="H550" s="4" t="s">
        <v>18</v>
      </c>
      <c r="I550" s="4" t="s">
        <v>715</v>
      </c>
      <c r="J550" s="4" t="s">
        <v>715</v>
      </c>
      <c r="K550" s="5">
        <v>6130738</v>
      </c>
      <c r="L550" s="5">
        <v>308602</v>
      </c>
      <c r="M550" s="5">
        <v>19</v>
      </c>
      <c r="N550" s="5">
        <v>1</v>
      </c>
      <c r="O550" s="5">
        <v>1.2</v>
      </c>
      <c r="P550" s="5"/>
    </row>
    <row r="551" spans="1:16" x14ac:dyDescent="0.25">
      <c r="A551" s="4" t="s">
        <v>21</v>
      </c>
      <c r="B551" s="4" t="s">
        <v>250</v>
      </c>
      <c r="C551" s="5">
        <v>37318</v>
      </c>
      <c r="D551" s="4" t="s">
        <v>33</v>
      </c>
      <c r="E551" s="4" t="s">
        <v>50</v>
      </c>
      <c r="F551" s="4" t="s">
        <v>301</v>
      </c>
      <c r="G551" s="4" t="s">
        <v>26</v>
      </c>
      <c r="H551" s="4" t="s">
        <v>18</v>
      </c>
      <c r="I551" s="4" t="s">
        <v>715</v>
      </c>
      <c r="J551" s="4" t="s">
        <v>715</v>
      </c>
      <c r="K551" s="5">
        <v>6129794</v>
      </c>
      <c r="L551" s="5">
        <v>309698</v>
      </c>
      <c r="M551" s="5">
        <v>19</v>
      </c>
      <c r="N551" s="5">
        <v>1</v>
      </c>
      <c r="O551" s="5">
        <v>4.05</v>
      </c>
      <c r="P551" s="5"/>
    </row>
    <row r="552" spans="1:16" x14ac:dyDescent="0.25">
      <c r="A552" s="4" t="s">
        <v>21</v>
      </c>
      <c r="B552" s="4" t="s">
        <v>250</v>
      </c>
      <c r="C552" s="5">
        <v>37319</v>
      </c>
      <c r="D552" s="4" t="s">
        <v>33</v>
      </c>
      <c r="E552" s="4" t="s">
        <v>50</v>
      </c>
      <c r="F552" s="4" t="s">
        <v>53</v>
      </c>
      <c r="G552" s="4" t="s">
        <v>26</v>
      </c>
      <c r="H552" s="4" t="s">
        <v>18</v>
      </c>
      <c r="I552" s="4" t="s">
        <v>715</v>
      </c>
      <c r="J552" s="4" t="s">
        <v>715</v>
      </c>
      <c r="K552" s="5">
        <v>6125045</v>
      </c>
      <c r="L552" s="5">
        <v>322289</v>
      </c>
      <c r="M552" s="5">
        <v>19</v>
      </c>
      <c r="N552" s="5">
        <v>1</v>
      </c>
      <c r="O552" s="5">
        <v>0.8</v>
      </c>
      <c r="P552" s="5"/>
    </row>
    <row r="553" spans="1:16" x14ac:dyDescent="0.25">
      <c r="A553" s="4" t="s">
        <v>21</v>
      </c>
      <c r="B553" s="4" t="s">
        <v>250</v>
      </c>
      <c r="C553" s="5">
        <v>37385</v>
      </c>
      <c r="D553" s="4" t="s">
        <v>33</v>
      </c>
      <c r="E553" s="4" t="s">
        <v>45</v>
      </c>
      <c r="F553" s="4" t="s">
        <v>45</v>
      </c>
      <c r="G553" s="4" t="s">
        <v>26</v>
      </c>
      <c r="H553" s="4" t="s">
        <v>27</v>
      </c>
      <c r="I553" s="4" t="s">
        <v>715</v>
      </c>
      <c r="J553" s="4" t="s">
        <v>715</v>
      </c>
      <c r="K553" s="5">
        <v>6088825</v>
      </c>
      <c r="L553" s="5">
        <v>271387</v>
      </c>
      <c r="M553" s="5">
        <v>19</v>
      </c>
      <c r="N553" s="5">
        <v>2</v>
      </c>
      <c r="O553" s="5">
        <v>18</v>
      </c>
      <c r="P553" s="5"/>
    </row>
    <row r="554" spans="1:16" x14ac:dyDescent="0.25">
      <c r="A554" s="4" t="s">
        <v>21</v>
      </c>
      <c r="B554" s="4" t="s">
        <v>250</v>
      </c>
      <c r="C554" s="5">
        <v>37521</v>
      </c>
      <c r="D554" s="4" t="s">
        <v>33</v>
      </c>
      <c r="E554" s="4" t="s">
        <v>147</v>
      </c>
      <c r="F554" s="4" t="s">
        <v>147</v>
      </c>
      <c r="G554" s="4" t="s">
        <v>26</v>
      </c>
      <c r="H554" s="4" t="s">
        <v>27</v>
      </c>
      <c r="I554" s="4" t="s">
        <v>715</v>
      </c>
      <c r="J554" s="4" t="s">
        <v>715</v>
      </c>
      <c r="K554" s="5">
        <v>6046388</v>
      </c>
      <c r="L554" s="5">
        <v>255402</v>
      </c>
      <c r="M554" s="5">
        <v>19</v>
      </c>
      <c r="N554" s="5">
        <v>6</v>
      </c>
      <c r="O554" s="5">
        <v>85.5</v>
      </c>
      <c r="P554" s="5"/>
    </row>
    <row r="555" spans="1:16" x14ac:dyDescent="0.25">
      <c r="A555" s="4" t="s">
        <v>21</v>
      </c>
      <c r="B555" s="4" t="s">
        <v>250</v>
      </c>
      <c r="C555" s="5">
        <v>37571</v>
      </c>
      <c r="D555" s="4" t="s">
        <v>37</v>
      </c>
      <c r="E555" s="4" t="s">
        <v>38</v>
      </c>
      <c r="F555" s="4" t="s">
        <v>289</v>
      </c>
      <c r="G555" s="4" t="s">
        <v>26</v>
      </c>
      <c r="H555" s="4" t="s">
        <v>27</v>
      </c>
      <c r="I555" s="4" t="s">
        <v>715</v>
      </c>
      <c r="J555" s="4" t="s">
        <v>638</v>
      </c>
      <c r="K555" s="5">
        <v>6166888</v>
      </c>
      <c r="L555" s="5">
        <v>325319</v>
      </c>
      <c r="M555" s="5">
        <v>19</v>
      </c>
      <c r="N555" s="5">
        <v>6</v>
      </c>
      <c r="O555" s="5">
        <v>52</v>
      </c>
      <c r="P555" s="5"/>
    </row>
    <row r="556" spans="1:16" x14ac:dyDescent="0.25">
      <c r="A556" s="4" t="s">
        <v>21</v>
      </c>
      <c r="B556" s="4" t="s">
        <v>250</v>
      </c>
      <c r="C556" s="5">
        <v>37625</v>
      </c>
      <c r="D556" s="4" t="s">
        <v>33</v>
      </c>
      <c r="E556" s="4" t="s">
        <v>45</v>
      </c>
      <c r="F556" s="4" t="s">
        <v>303</v>
      </c>
      <c r="G556" s="4" t="s">
        <v>26</v>
      </c>
      <c r="H556" s="4" t="s">
        <v>27</v>
      </c>
      <c r="I556" s="4" t="s">
        <v>715</v>
      </c>
      <c r="J556" s="4" t="s">
        <v>715</v>
      </c>
      <c r="K556" s="5">
        <v>6088391</v>
      </c>
      <c r="L556" s="5">
        <v>271863</v>
      </c>
      <c r="M556" s="5">
        <v>19</v>
      </c>
      <c r="N556" s="5">
        <v>3</v>
      </c>
      <c r="O556" s="5">
        <v>137</v>
      </c>
      <c r="P556" s="5"/>
    </row>
    <row r="557" spans="1:16" x14ac:dyDescent="0.25">
      <c r="A557" s="4" t="s">
        <v>21</v>
      </c>
      <c r="B557" s="4" t="s">
        <v>250</v>
      </c>
      <c r="C557" s="5">
        <v>37631</v>
      </c>
      <c r="D557" s="4" t="s">
        <v>37</v>
      </c>
      <c r="E557" s="4" t="s">
        <v>38</v>
      </c>
      <c r="F557" s="4" t="s">
        <v>39</v>
      </c>
      <c r="G557" s="4" t="s">
        <v>26</v>
      </c>
      <c r="H557" s="4" t="s">
        <v>27</v>
      </c>
      <c r="I557" s="4" t="s">
        <v>715</v>
      </c>
      <c r="J557" s="4" t="s">
        <v>638</v>
      </c>
      <c r="K557" s="5">
        <v>6164194</v>
      </c>
      <c r="L557" s="5">
        <v>325052</v>
      </c>
      <c r="M557" s="5">
        <v>19</v>
      </c>
      <c r="N557" s="5">
        <v>1</v>
      </c>
      <c r="O557" s="5">
        <v>20</v>
      </c>
      <c r="P557" s="5"/>
    </row>
    <row r="558" spans="1:16" x14ac:dyDescent="0.25">
      <c r="A558" s="4" t="s">
        <v>21</v>
      </c>
      <c r="B558" s="4" t="s">
        <v>250</v>
      </c>
      <c r="C558" s="5">
        <v>37633</v>
      </c>
      <c r="D558" s="4" t="s">
        <v>37</v>
      </c>
      <c r="E558" s="4" t="s">
        <v>38</v>
      </c>
      <c r="F558" s="4" t="s">
        <v>289</v>
      </c>
      <c r="G558" s="4" t="s">
        <v>26</v>
      </c>
      <c r="H558" s="4" t="s">
        <v>27</v>
      </c>
      <c r="I558" s="4" t="s">
        <v>715</v>
      </c>
      <c r="J558" s="4" t="s">
        <v>638</v>
      </c>
      <c r="K558" s="5">
        <v>6169567</v>
      </c>
      <c r="L558" s="5">
        <v>323334</v>
      </c>
      <c r="M558" s="5">
        <v>19</v>
      </c>
      <c r="N558" s="5">
        <v>1</v>
      </c>
      <c r="O558" s="5">
        <v>12</v>
      </c>
      <c r="P558" s="5"/>
    </row>
    <row r="559" spans="1:16" x14ac:dyDescent="0.25">
      <c r="A559" s="4" t="s">
        <v>21</v>
      </c>
      <c r="B559" s="4" t="s">
        <v>250</v>
      </c>
      <c r="C559" s="5">
        <v>37634</v>
      </c>
      <c r="D559" s="4" t="s">
        <v>37</v>
      </c>
      <c r="E559" s="4" t="s">
        <v>304</v>
      </c>
      <c r="F559" s="4" t="s">
        <v>305</v>
      </c>
      <c r="G559" s="4" t="s">
        <v>26</v>
      </c>
      <c r="H559" s="4" t="s">
        <v>27</v>
      </c>
      <c r="I559" s="4" t="s">
        <v>715</v>
      </c>
      <c r="J559" s="4" t="s">
        <v>638</v>
      </c>
      <c r="K559" s="5">
        <v>6180528</v>
      </c>
      <c r="L559" s="5">
        <v>325504</v>
      </c>
      <c r="M559" s="5">
        <v>19</v>
      </c>
      <c r="N559" s="5">
        <v>8</v>
      </c>
      <c r="O559" s="5">
        <v>31.5</v>
      </c>
      <c r="P559" s="5"/>
    </row>
    <row r="560" spans="1:16" x14ac:dyDescent="0.25">
      <c r="A560" s="4" t="s">
        <v>21</v>
      </c>
      <c r="B560" s="4" t="s">
        <v>250</v>
      </c>
      <c r="C560" s="5">
        <v>37635</v>
      </c>
      <c r="D560" s="4" t="s">
        <v>33</v>
      </c>
      <c r="E560" s="4" t="s">
        <v>122</v>
      </c>
      <c r="F560" s="4" t="s">
        <v>306</v>
      </c>
      <c r="G560" s="4" t="s">
        <v>26</v>
      </c>
      <c r="H560" s="4" t="s">
        <v>27</v>
      </c>
      <c r="I560" s="4" t="s">
        <v>715</v>
      </c>
      <c r="J560" s="4" t="s">
        <v>715</v>
      </c>
      <c r="K560" s="5">
        <v>6116240</v>
      </c>
      <c r="L560" s="5">
        <v>291152</v>
      </c>
      <c r="M560" s="5">
        <v>19</v>
      </c>
      <c r="N560" s="5">
        <v>1</v>
      </c>
      <c r="O560" s="5">
        <v>39</v>
      </c>
      <c r="P560" s="5"/>
    </row>
    <row r="561" spans="1:16" x14ac:dyDescent="0.25">
      <c r="A561" s="4" t="s">
        <v>21</v>
      </c>
      <c r="B561" s="4" t="s">
        <v>250</v>
      </c>
      <c r="C561" s="5">
        <v>37641</v>
      </c>
      <c r="D561" s="4" t="s">
        <v>33</v>
      </c>
      <c r="E561" s="4" t="s">
        <v>47</v>
      </c>
      <c r="F561" s="4" t="s">
        <v>307</v>
      </c>
      <c r="G561" s="4" t="s">
        <v>26</v>
      </c>
      <c r="H561" s="4" t="s">
        <v>27</v>
      </c>
      <c r="I561" s="4" t="s">
        <v>715</v>
      </c>
      <c r="J561" s="4" t="s">
        <v>715</v>
      </c>
      <c r="K561" s="5">
        <v>6080388</v>
      </c>
      <c r="L561" s="5">
        <v>283045</v>
      </c>
      <c r="M561" s="5">
        <v>19</v>
      </c>
      <c r="N561" s="5">
        <v>1</v>
      </c>
      <c r="O561" s="5">
        <v>21.5</v>
      </c>
      <c r="P561" s="5"/>
    </row>
    <row r="562" spans="1:16" x14ac:dyDescent="0.25">
      <c r="A562" s="4" t="s">
        <v>21</v>
      </c>
      <c r="B562" s="4" t="s">
        <v>250</v>
      </c>
      <c r="C562" s="5">
        <v>37648</v>
      </c>
      <c r="D562" s="4" t="s">
        <v>33</v>
      </c>
      <c r="E562" s="4" t="s">
        <v>47</v>
      </c>
      <c r="F562" s="4" t="s">
        <v>307</v>
      </c>
      <c r="G562" s="4" t="s">
        <v>26</v>
      </c>
      <c r="H562" s="4" t="s">
        <v>27</v>
      </c>
      <c r="I562" s="4" t="s">
        <v>715</v>
      </c>
      <c r="J562" s="4" t="s">
        <v>715</v>
      </c>
      <c r="K562" s="5">
        <v>6080464</v>
      </c>
      <c r="L562" s="5">
        <v>284898</v>
      </c>
      <c r="M562" s="5">
        <v>19</v>
      </c>
      <c r="N562" s="5">
        <v>2</v>
      </c>
      <c r="O562" s="5">
        <v>12</v>
      </c>
      <c r="P562" s="5"/>
    </row>
    <row r="563" spans="1:16" x14ac:dyDescent="0.25">
      <c r="A563" s="4" t="s">
        <v>21</v>
      </c>
      <c r="B563" s="4" t="s">
        <v>250</v>
      </c>
      <c r="C563" s="5">
        <v>37650</v>
      </c>
      <c r="D563" s="4" t="s">
        <v>33</v>
      </c>
      <c r="E563" s="4" t="s">
        <v>43</v>
      </c>
      <c r="F563" s="4" t="s">
        <v>80</v>
      </c>
      <c r="G563" s="4" t="s">
        <v>26</v>
      </c>
      <c r="H563" s="4" t="s">
        <v>27</v>
      </c>
      <c r="I563" s="4" t="s">
        <v>715</v>
      </c>
      <c r="J563" s="4" t="s">
        <v>715</v>
      </c>
      <c r="K563" s="5">
        <v>6060940</v>
      </c>
      <c r="L563" s="5">
        <v>274434</v>
      </c>
      <c r="M563" s="5">
        <v>19</v>
      </c>
      <c r="N563" s="5">
        <v>4</v>
      </c>
      <c r="O563" s="5">
        <v>26.6</v>
      </c>
      <c r="P563" s="5"/>
    </row>
    <row r="564" spans="1:16" x14ac:dyDescent="0.25">
      <c r="A564" s="4" t="s">
        <v>21</v>
      </c>
      <c r="B564" s="4" t="s">
        <v>250</v>
      </c>
      <c r="C564" s="5">
        <v>37654</v>
      </c>
      <c r="D564" s="4" t="s">
        <v>33</v>
      </c>
      <c r="E564" s="4" t="s">
        <v>45</v>
      </c>
      <c r="F564" s="4" t="s">
        <v>45</v>
      </c>
      <c r="G564" s="4" t="s">
        <v>26</v>
      </c>
      <c r="H564" s="4" t="s">
        <v>27</v>
      </c>
      <c r="I564" s="4" t="s">
        <v>715</v>
      </c>
      <c r="J564" s="4" t="s">
        <v>638</v>
      </c>
      <c r="K564" s="5">
        <v>6090530</v>
      </c>
      <c r="L564" s="5">
        <v>276191</v>
      </c>
      <c r="M564" s="5">
        <v>19</v>
      </c>
      <c r="N564" s="5">
        <v>1</v>
      </c>
      <c r="O564" s="5">
        <v>2</v>
      </c>
      <c r="P564" s="5"/>
    </row>
    <row r="565" spans="1:16" x14ac:dyDescent="0.25">
      <c r="A565" s="4" t="s">
        <v>21</v>
      </c>
      <c r="B565" s="4" t="s">
        <v>250</v>
      </c>
      <c r="C565" s="5">
        <v>37656</v>
      </c>
      <c r="D565" s="4" t="s">
        <v>33</v>
      </c>
      <c r="E565" s="4" t="s">
        <v>45</v>
      </c>
      <c r="F565" s="4" t="s">
        <v>45</v>
      </c>
      <c r="G565" s="4" t="s">
        <v>26</v>
      </c>
      <c r="H565" s="4" t="s">
        <v>27</v>
      </c>
      <c r="I565" s="4" t="s">
        <v>715</v>
      </c>
      <c r="J565" s="4" t="s">
        <v>638</v>
      </c>
      <c r="K565" s="11">
        <v>6089657</v>
      </c>
      <c r="L565" s="11">
        <v>276707</v>
      </c>
      <c r="M565" s="12">
        <v>19</v>
      </c>
      <c r="N565" s="5">
        <v>1</v>
      </c>
      <c r="O565" s="5">
        <v>9</v>
      </c>
      <c r="P565" s="5" t="s">
        <v>650</v>
      </c>
    </row>
    <row r="566" spans="1:16" x14ac:dyDescent="0.25">
      <c r="A566" s="4" t="s">
        <v>21</v>
      </c>
      <c r="B566" s="4" t="s">
        <v>250</v>
      </c>
      <c r="C566" s="5">
        <v>37698</v>
      </c>
      <c r="D566" s="4" t="s">
        <v>33</v>
      </c>
      <c r="E566" s="4" t="s">
        <v>35</v>
      </c>
      <c r="F566" s="4" t="s">
        <v>35</v>
      </c>
      <c r="G566" s="4" t="s">
        <v>26</v>
      </c>
      <c r="H566" s="4" t="s">
        <v>27</v>
      </c>
      <c r="I566" s="4" t="s">
        <v>715</v>
      </c>
      <c r="J566" s="4" t="s">
        <v>715</v>
      </c>
      <c r="K566" s="5">
        <v>6141521</v>
      </c>
      <c r="L566" s="5">
        <v>295556</v>
      </c>
      <c r="M566" s="5">
        <v>19</v>
      </c>
      <c r="N566" s="5">
        <v>2</v>
      </c>
      <c r="O566" s="5">
        <v>24</v>
      </c>
      <c r="P566" s="5"/>
    </row>
    <row r="567" spans="1:16" x14ac:dyDescent="0.25">
      <c r="A567" s="4" t="s">
        <v>21</v>
      </c>
      <c r="B567" s="4" t="s">
        <v>250</v>
      </c>
      <c r="C567" s="5">
        <v>37700</v>
      </c>
      <c r="D567" s="4" t="s">
        <v>37</v>
      </c>
      <c r="E567" s="4" t="s">
        <v>73</v>
      </c>
      <c r="F567" s="4" t="s">
        <v>73</v>
      </c>
      <c r="G567" s="4" t="s">
        <v>26</v>
      </c>
      <c r="H567" s="4" t="s">
        <v>27</v>
      </c>
      <c r="I567" s="4" t="s">
        <v>715</v>
      </c>
      <c r="J567" s="4" t="s">
        <v>638</v>
      </c>
      <c r="K567" s="5">
        <v>6156580</v>
      </c>
      <c r="L567" s="5">
        <v>314910</v>
      </c>
      <c r="M567" s="5">
        <v>19</v>
      </c>
      <c r="N567" s="5">
        <v>1</v>
      </c>
      <c r="O567" s="5">
        <v>6</v>
      </c>
      <c r="P567" s="5"/>
    </row>
    <row r="568" spans="1:16" x14ac:dyDescent="0.25">
      <c r="A568" s="4" t="s">
        <v>21</v>
      </c>
      <c r="B568" s="4" t="s">
        <v>250</v>
      </c>
      <c r="C568" s="5">
        <v>37704</v>
      </c>
      <c r="D568" s="4" t="s">
        <v>33</v>
      </c>
      <c r="E568" s="4" t="s">
        <v>45</v>
      </c>
      <c r="F568" s="4" t="s">
        <v>261</v>
      </c>
      <c r="G568" s="4" t="s">
        <v>26</v>
      </c>
      <c r="H568" s="4" t="s">
        <v>18</v>
      </c>
      <c r="I568" s="4" t="s">
        <v>715</v>
      </c>
      <c r="J568" s="4" t="s">
        <v>715</v>
      </c>
      <c r="K568" s="5">
        <v>6090088</v>
      </c>
      <c r="L568" s="5">
        <v>279440</v>
      </c>
      <c r="M568" s="5">
        <v>19</v>
      </c>
      <c r="N568" s="5">
        <v>1</v>
      </c>
      <c r="O568" s="5">
        <v>0.4</v>
      </c>
      <c r="P568" s="5"/>
    </row>
    <row r="569" spans="1:16" x14ac:dyDescent="0.25">
      <c r="A569" s="4" t="s">
        <v>21</v>
      </c>
      <c r="B569" s="4" t="s">
        <v>250</v>
      </c>
      <c r="C569" s="5">
        <v>37705</v>
      </c>
      <c r="D569" s="4" t="s">
        <v>33</v>
      </c>
      <c r="E569" s="4" t="s">
        <v>35</v>
      </c>
      <c r="F569" s="4" t="s">
        <v>308</v>
      </c>
      <c r="G569" s="4" t="s">
        <v>26</v>
      </c>
      <c r="H569" s="4" t="s">
        <v>27</v>
      </c>
      <c r="I569" s="4" t="s">
        <v>715</v>
      </c>
      <c r="J569" s="4" t="s">
        <v>715</v>
      </c>
      <c r="K569" s="5">
        <v>6136014</v>
      </c>
      <c r="L569" s="5">
        <v>310604</v>
      </c>
      <c r="M569" s="5">
        <v>19</v>
      </c>
      <c r="N569" s="5">
        <v>2</v>
      </c>
      <c r="O569" s="5">
        <v>32</v>
      </c>
      <c r="P569" s="5"/>
    </row>
    <row r="570" spans="1:16" x14ac:dyDescent="0.25">
      <c r="A570" s="4" t="s">
        <v>21</v>
      </c>
      <c r="B570" s="4" t="s">
        <v>250</v>
      </c>
      <c r="C570" s="5">
        <v>37711</v>
      </c>
      <c r="D570" s="4" t="s">
        <v>33</v>
      </c>
      <c r="E570" s="4" t="s">
        <v>35</v>
      </c>
      <c r="F570" s="4" t="s">
        <v>140</v>
      </c>
      <c r="G570" s="4" t="s">
        <v>26</v>
      </c>
      <c r="H570" s="4" t="s">
        <v>27</v>
      </c>
      <c r="I570" s="4" t="s">
        <v>715</v>
      </c>
      <c r="J570" s="4" t="s">
        <v>638</v>
      </c>
      <c r="K570" s="5">
        <v>6139436</v>
      </c>
      <c r="L570" s="5">
        <v>308848</v>
      </c>
      <c r="M570" s="5">
        <v>19</v>
      </c>
      <c r="N570" s="5">
        <v>1</v>
      </c>
      <c r="O570" s="5">
        <v>13</v>
      </c>
      <c r="P570" s="5"/>
    </row>
    <row r="571" spans="1:16" x14ac:dyDescent="0.25">
      <c r="A571" s="4" t="s">
        <v>21</v>
      </c>
      <c r="B571" s="4" t="s">
        <v>250</v>
      </c>
      <c r="C571" s="5">
        <v>37716</v>
      </c>
      <c r="D571" s="4" t="s">
        <v>33</v>
      </c>
      <c r="E571" s="4" t="s">
        <v>167</v>
      </c>
      <c r="F571" s="4" t="s">
        <v>309</v>
      </c>
      <c r="G571" s="4" t="s">
        <v>26</v>
      </c>
      <c r="H571" s="4" t="s">
        <v>18</v>
      </c>
      <c r="I571" s="4" t="s">
        <v>715</v>
      </c>
      <c r="J571" s="4" t="s">
        <v>715</v>
      </c>
      <c r="K571" s="5">
        <v>6095027</v>
      </c>
      <c r="L571" s="5">
        <v>288720</v>
      </c>
      <c r="M571" s="5">
        <v>19</v>
      </c>
      <c r="N571" s="5">
        <v>1</v>
      </c>
      <c r="O571" s="5">
        <v>0.8</v>
      </c>
      <c r="P571" s="5"/>
    </row>
    <row r="572" spans="1:16" x14ac:dyDescent="0.25">
      <c r="A572" s="4" t="s">
        <v>21</v>
      </c>
      <c r="B572" s="4" t="s">
        <v>250</v>
      </c>
      <c r="C572" s="5">
        <v>37718</v>
      </c>
      <c r="D572" s="4" t="s">
        <v>37</v>
      </c>
      <c r="E572" s="4" t="s">
        <v>73</v>
      </c>
      <c r="F572" s="4" t="s">
        <v>73</v>
      </c>
      <c r="G572" s="4" t="s">
        <v>26</v>
      </c>
      <c r="H572" s="4" t="s">
        <v>27</v>
      </c>
      <c r="I572" s="4" t="s">
        <v>715</v>
      </c>
      <c r="J572" s="4" t="s">
        <v>715</v>
      </c>
      <c r="K572" s="5">
        <v>6150605</v>
      </c>
      <c r="L572" s="5">
        <v>312631</v>
      </c>
      <c r="M572" s="5">
        <v>19</v>
      </c>
      <c r="N572" s="5">
        <v>3</v>
      </c>
      <c r="O572" s="5">
        <v>41</v>
      </c>
      <c r="P572" s="5"/>
    </row>
    <row r="573" spans="1:16" x14ac:dyDescent="0.25">
      <c r="A573" s="4" t="s">
        <v>21</v>
      </c>
      <c r="B573" s="4" t="s">
        <v>250</v>
      </c>
      <c r="C573" s="5">
        <v>37720</v>
      </c>
      <c r="D573" s="4" t="s">
        <v>33</v>
      </c>
      <c r="E573" s="4" t="s">
        <v>167</v>
      </c>
      <c r="F573" s="4" t="s">
        <v>310</v>
      </c>
      <c r="G573" s="4" t="s">
        <v>26</v>
      </c>
      <c r="H573" s="4" t="s">
        <v>18</v>
      </c>
      <c r="I573" s="4" t="s">
        <v>715</v>
      </c>
      <c r="J573" s="4" t="s">
        <v>715</v>
      </c>
      <c r="K573" s="5">
        <v>6089683</v>
      </c>
      <c r="L573" s="5">
        <v>305235</v>
      </c>
      <c r="M573" s="5">
        <v>19</v>
      </c>
      <c r="N573" s="5">
        <v>1</v>
      </c>
      <c r="O573" s="5">
        <v>1.2</v>
      </c>
      <c r="P573" s="5"/>
    </row>
    <row r="574" spans="1:16" x14ac:dyDescent="0.25">
      <c r="A574" s="4" t="s">
        <v>21</v>
      </c>
      <c r="B574" s="4" t="s">
        <v>250</v>
      </c>
      <c r="C574" s="5">
        <v>37726</v>
      </c>
      <c r="D574" s="4" t="s">
        <v>37</v>
      </c>
      <c r="E574" s="4" t="s">
        <v>73</v>
      </c>
      <c r="F574" s="4" t="s">
        <v>311</v>
      </c>
      <c r="G574" s="4" t="s">
        <v>26</v>
      </c>
      <c r="H574" s="4" t="s">
        <v>27</v>
      </c>
      <c r="I574" s="4" t="s">
        <v>715</v>
      </c>
      <c r="J574" s="4" t="s">
        <v>638</v>
      </c>
      <c r="K574" s="5">
        <v>6150871</v>
      </c>
      <c r="L574" s="5">
        <v>324180</v>
      </c>
      <c r="M574" s="5">
        <v>19</v>
      </c>
      <c r="N574" s="5">
        <v>3</v>
      </c>
      <c r="O574" s="5">
        <v>20</v>
      </c>
      <c r="P574" s="5"/>
    </row>
    <row r="575" spans="1:16" x14ac:dyDescent="0.25">
      <c r="A575" s="4" t="s">
        <v>21</v>
      </c>
      <c r="B575" s="4" t="s">
        <v>250</v>
      </c>
      <c r="C575" s="5">
        <v>37737</v>
      </c>
      <c r="D575" s="4" t="s">
        <v>33</v>
      </c>
      <c r="E575" s="4" t="s">
        <v>167</v>
      </c>
      <c r="F575" s="4" t="s">
        <v>312</v>
      </c>
      <c r="G575" s="4" t="s">
        <v>26</v>
      </c>
      <c r="H575" s="4" t="s">
        <v>18</v>
      </c>
      <c r="I575" s="4" t="s">
        <v>715</v>
      </c>
      <c r="J575" s="4" t="s">
        <v>715</v>
      </c>
      <c r="K575" s="5">
        <v>6101038</v>
      </c>
      <c r="L575" s="5">
        <v>288743</v>
      </c>
      <c r="M575" s="5">
        <v>19</v>
      </c>
      <c r="N575" s="5">
        <v>1</v>
      </c>
      <c r="O575" s="5">
        <v>6.5</v>
      </c>
      <c r="P575" s="5"/>
    </row>
    <row r="576" spans="1:16" x14ac:dyDescent="0.25">
      <c r="A576" s="4" t="s">
        <v>21</v>
      </c>
      <c r="B576" s="4" t="s">
        <v>250</v>
      </c>
      <c r="C576" s="5">
        <v>37738</v>
      </c>
      <c r="D576" s="4" t="s">
        <v>33</v>
      </c>
      <c r="E576" s="4" t="s">
        <v>35</v>
      </c>
      <c r="F576" s="4" t="s">
        <v>24</v>
      </c>
      <c r="G576" s="4" t="s">
        <v>26</v>
      </c>
      <c r="H576" s="4" t="s">
        <v>27</v>
      </c>
      <c r="I576" s="4" t="s">
        <v>715</v>
      </c>
      <c r="J576" s="4" t="s">
        <v>638</v>
      </c>
      <c r="K576" s="5">
        <v>6136145</v>
      </c>
      <c r="L576" s="5">
        <v>309566</v>
      </c>
      <c r="M576" s="5">
        <v>19</v>
      </c>
      <c r="N576" s="5">
        <v>1</v>
      </c>
      <c r="O576" s="5">
        <v>10</v>
      </c>
      <c r="P576" s="5"/>
    </row>
    <row r="577" spans="1:16" x14ac:dyDescent="0.25">
      <c r="A577" s="4" t="s">
        <v>21</v>
      </c>
      <c r="B577" s="4" t="s">
        <v>250</v>
      </c>
      <c r="C577" s="5">
        <v>37739</v>
      </c>
      <c r="D577" s="4" t="s">
        <v>33</v>
      </c>
      <c r="E577" s="4" t="s">
        <v>45</v>
      </c>
      <c r="F577" s="4" t="s">
        <v>313</v>
      </c>
      <c r="G577" s="4" t="s">
        <v>26</v>
      </c>
      <c r="H577" s="4" t="s">
        <v>18</v>
      </c>
      <c r="I577" s="4" t="s">
        <v>715</v>
      </c>
      <c r="J577" s="4" t="s">
        <v>715</v>
      </c>
      <c r="K577" s="5">
        <v>6085455</v>
      </c>
      <c r="L577" s="5">
        <v>267193</v>
      </c>
      <c r="M577" s="5">
        <v>19</v>
      </c>
      <c r="N577" s="5">
        <v>1</v>
      </c>
      <c r="O577" s="5">
        <v>0.4</v>
      </c>
      <c r="P577" s="5"/>
    </row>
    <row r="578" spans="1:16" x14ac:dyDescent="0.25">
      <c r="A578" s="4" t="s">
        <v>21</v>
      </c>
      <c r="B578" s="4" t="s">
        <v>250</v>
      </c>
      <c r="C578" s="5">
        <v>37740</v>
      </c>
      <c r="D578" s="4" t="s">
        <v>37</v>
      </c>
      <c r="E578" s="4" t="s">
        <v>73</v>
      </c>
      <c r="F578" s="4" t="s">
        <v>314</v>
      </c>
      <c r="G578" s="4" t="s">
        <v>26</v>
      </c>
      <c r="H578" s="4" t="s">
        <v>27</v>
      </c>
      <c r="I578" s="4" t="s">
        <v>715</v>
      </c>
      <c r="J578" s="4" t="s">
        <v>638</v>
      </c>
      <c r="K578" s="5">
        <v>6157164</v>
      </c>
      <c r="L578" s="5">
        <v>314761</v>
      </c>
      <c r="M578" s="5">
        <v>19</v>
      </c>
      <c r="N578" s="5">
        <v>1</v>
      </c>
      <c r="O578" s="5">
        <v>10</v>
      </c>
      <c r="P578" s="5"/>
    </row>
    <row r="579" spans="1:16" x14ac:dyDescent="0.25">
      <c r="A579" s="4" t="s">
        <v>21</v>
      </c>
      <c r="B579" s="4" t="s">
        <v>250</v>
      </c>
      <c r="C579" s="5">
        <v>37741</v>
      </c>
      <c r="D579" s="4" t="s">
        <v>33</v>
      </c>
      <c r="E579" s="4" t="s">
        <v>167</v>
      </c>
      <c r="F579" s="4" t="s">
        <v>315</v>
      </c>
      <c r="G579" s="4" t="s">
        <v>26</v>
      </c>
      <c r="H579" s="4" t="s">
        <v>18</v>
      </c>
      <c r="I579" s="4" t="s">
        <v>715</v>
      </c>
      <c r="J579" s="4" t="s">
        <v>715</v>
      </c>
      <c r="K579" s="5">
        <v>6101389</v>
      </c>
      <c r="L579" s="5">
        <v>289171</v>
      </c>
      <c r="M579" s="5">
        <v>19</v>
      </c>
      <c r="N579" s="5">
        <v>1</v>
      </c>
      <c r="O579" s="5">
        <v>3.5</v>
      </c>
      <c r="P579" s="5"/>
    </row>
    <row r="580" spans="1:16" x14ac:dyDescent="0.25">
      <c r="A580" s="4" t="s">
        <v>21</v>
      </c>
      <c r="B580" s="4" t="s">
        <v>250</v>
      </c>
      <c r="C580" s="5">
        <v>37756</v>
      </c>
      <c r="D580" s="4" t="s">
        <v>33</v>
      </c>
      <c r="E580" s="4" t="s">
        <v>167</v>
      </c>
      <c r="F580" s="4" t="s">
        <v>315</v>
      </c>
      <c r="G580" s="4" t="s">
        <v>26</v>
      </c>
      <c r="H580" s="4" t="s">
        <v>128</v>
      </c>
      <c r="I580" s="4" t="s">
        <v>715</v>
      </c>
      <c r="J580" s="4" t="s">
        <v>638</v>
      </c>
      <c r="K580" s="5">
        <v>6100285</v>
      </c>
      <c r="L580" s="5">
        <v>288151</v>
      </c>
      <c r="M580" s="5">
        <v>19</v>
      </c>
      <c r="N580" s="5">
        <v>1</v>
      </c>
      <c r="O580" s="5">
        <v>3.64</v>
      </c>
      <c r="P580" s="5"/>
    </row>
    <row r="581" spans="1:16" x14ac:dyDescent="0.25">
      <c r="A581" s="4" t="s">
        <v>21</v>
      </c>
      <c r="B581" s="4" t="s">
        <v>250</v>
      </c>
      <c r="C581" s="5">
        <v>37759</v>
      </c>
      <c r="D581" s="4" t="s">
        <v>33</v>
      </c>
      <c r="E581" s="4" t="s">
        <v>167</v>
      </c>
      <c r="F581" s="4" t="s">
        <v>315</v>
      </c>
      <c r="G581" s="4" t="s">
        <v>26</v>
      </c>
      <c r="H581" s="4" t="s">
        <v>18</v>
      </c>
      <c r="I581" s="4" t="s">
        <v>715</v>
      </c>
      <c r="J581" s="4" t="s">
        <v>715</v>
      </c>
      <c r="K581" s="5">
        <v>6100285</v>
      </c>
      <c r="L581" s="5">
        <v>288151</v>
      </c>
      <c r="M581" s="5">
        <v>19</v>
      </c>
      <c r="N581" s="5">
        <v>1</v>
      </c>
      <c r="O581" s="5">
        <v>2.02</v>
      </c>
      <c r="P581" s="5"/>
    </row>
    <row r="582" spans="1:16" x14ac:dyDescent="0.25">
      <c r="A582" s="4" t="s">
        <v>21</v>
      </c>
      <c r="B582" s="4" t="s">
        <v>250</v>
      </c>
      <c r="C582" s="5">
        <v>37763</v>
      </c>
      <c r="D582" s="4" t="s">
        <v>33</v>
      </c>
      <c r="E582" s="4" t="s">
        <v>167</v>
      </c>
      <c r="F582" s="4" t="s">
        <v>316</v>
      </c>
      <c r="G582" s="4" t="s">
        <v>26</v>
      </c>
      <c r="H582" s="4" t="s">
        <v>128</v>
      </c>
      <c r="I582" s="4" t="s">
        <v>715</v>
      </c>
      <c r="J582" s="4" t="s">
        <v>638</v>
      </c>
      <c r="K582" s="5">
        <v>6101076</v>
      </c>
      <c r="L582" s="5">
        <v>283239</v>
      </c>
      <c r="M582" s="5">
        <v>19</v>
      </c>
      <c r="N582" s="5">
        <v>1</v>
      </c>
      <c r="O582" s="5">
        <v>1.2</v>
      </c>
      <c r="P582" s="5"/>
    </row>
    <row r="583" spans="1:16" x14ac:dyDescent="0.25">
      <c r="A583" s="4" t="s">
        <v>21</v>
      </c>
      <c r="B583" s="4" t="s">
        <v>250</v>
      </c>
      <c r="C583" s="5">
        <v>37765</v>
      </c>
      <c r="D583" s="4" t="s">
        <v>33</v>
      </c>
      <c r="E583" s="4" t="s">
        <v>167</v>
      </c>
      <c r="F583" s="4" t="s">
        <v>316</v>
      </c>
      <c r="G583" s="4" t="s">
        <v>26</v>
      </c>
      <c r="H583" s="4" t="s">
        <v>18</v>
      </c>
      <c r="I583" s="4" t="s">
        <v>715</v>
      </c>
      <c r="J583" s="4" t="s">
        <v>715</v>
      </c>
      <c r="K583" s="5">
        <v>6101076</v>
      </c>
      <c r="L583" s="5">
        <v>283239</v>
      </c>
      <c r="M583" s="5">
        <v>19</v>
      </c>
      <c r="N583" s="5">
        <v>1</v>
      </c>
      <c r="O583" s="5">
        <v>0.4</v>
      </c>
      <c r="P583" s="5"/>
    </row>
    <row r="584" spans="1:16" x14ac:dyDescent="0.25">
      <c r="A584" s="4" t="s">
        <v>21</v>
      </c>
      <c r="B584" s="4" t="s">
        <v>250</v>
      </c>
      <c r="C584" s="5">
        <v>37767</v>
      </c>
      <c r="D584" s="4" t="s">
        <v>33</v>
      </c>
      <c r="E584" s="4" t="s">
        <v>167</v>
      </c>
      <c r="F584" s="4" t="s">
        <v>316</v>
      </c>
      <c r="G584" s="4" t="s">
        <v>26</v>
      </c>
      <c r="H584" s="4" t="s">
        <v>18</v>
      </c>
      <c r="I584" s="4" t="s">
        <v>715</v>
      </c>
      <c r="J584" s="4" t="s">
        <v>715</v>
      </c>
      <c r="K584" s="5">
        <v>6100558</v>
      </c>
      <c r="L584" s="5">
        <v>282451</v>
      </c>
      <c r="M584" s="5">
        <v>19</v>
      </c>
      <c r="N584" s="5">
        <v>1</v>
      </c>
      <c r="O584" s="5">
        <v>4.05</v>
      </c>
      <c r="P584" s="5"/>
    </row>
    <row r="585" spans="1:16" x14ac:dyDescent="0.25">
      <c r="A585" s="4" t="s">
        <v>21</v>
      </c>
      <c r="B585" s="4" t="s">
        <v>250</v>
      </c>
      <c r="C585" s="5">
        <v>37769</v>
      </c>
      <c r="D585" s="4" t="s">
        <v>37</v>
      </c>
      <c r="E585" s="4" t="s">
        <v>73</v>
      </c>
      <c r="F585" s="4" t="s">
        <v>73</v>
      </c>
      <c r="G585" s="4" t="s">
        <v>26</v>
      </c>
      <c r="H585" s="4" t="s">
        <v>27</v>
      </c>
      <c r="I585" s="4" t="s">
        <v>715</v>
      </c>
      <c r="J585" s="4" t="s">
        <v>638</v>
      </c>
      <c r="K585" s="5">
        <v>6156449</v>
      </c>
      <c r="L585" s="5">
        <v>314437</v>
      </c>
      <c r="M585" s="5">
        <v>19</v>
      </c>
      <c r="N585" s="5">
        <v>1</v>
      </c>
      <c r="O585" s="5">
        <v>6</v>
      </c>
      <c r="P585" s="5"/>
    </row>
    <row r="586" spans="1:16" x14ac:dyDescent="0.25">
      <c r="A586" s="4" t="s">
        <v>21</v>
      </c>
      <c r="B586" s="4" t="s">
        <v>250</v>
      </c>
      <c r="C586" s="5">
        <v>37770</v>
      </c>
      <c r="D586" s="4" t="s">
        <v>37</v>
      </c>
      <c r="E586" s="4" t="s">
        <v>73</v>
      </c>
      <c r="F586" s="4" t="s">
        <v>73</v>
      </c>
      <c r="G586" s="4" t="s">
        <v>26</v>
      </c>
      <c r="H586" s="4" t="s">
        <v>27</v>
      </c>
      <c r="I586" s="4" t="s">
        <v>715</v>
      </c>
      <c r="J586" s="4" t="s">
        <v>638</v>
      </c>
      <c r="K586" s="5">
        <v>6156799</v>
      </c>
      <c r="L586" s="5">
        <v>314632</v>
      </c>
      <c r="M586" s="5">
        <v>19</v>
      </c>
      <c r="N586" s="5">
        <v>3</v>
      </c>
      <c r="O586" s="5">
        <v>32</v>
      </c>
      <c r="P586" s="5"/>
    </row>
    <row r="587" spans="1:16" x14ac:dyDescent="0.25">
      <c r="A587" s="4" t="s">
        <v>21</v>
      </c>
      <c r="B587" s="4" t="s">
        <v>250</v>
      </c>
      <c r="C587" s="5">
        <v>37773</v>
      </c>
      <c r="D587" s="4" t="s">
        <v>37</v>
      </c>
      <c r="E587" s="4" t="s">
        <v>169</v>
      </c>
      <c r="F587" s="4" t="s">
        <v>169</v>
      </c>
      <c r="G587" s="4" t="s">
        <v>26</v>
      </c>
      <c r="H587" s="4" t="s">
        <v>27</v>
      </c>
      <c r="I587" s="4" t="s">
        <v>715</v>
      </c>
      <c r="J587" s="4" t="s">
        <v>638</v>
      </c>
      <c r="K587" s="5">
        <v>6217726</v>
      </c>
      <c r="L587" s="5">
        <v>343548</v>
      </c>
      <c r="M587" s="5">
        <v>19</v>
      </c>
      <c r="N587" s="5">
        <v>2</v>
      </c>
      <c r="O587" s="5">
        <v>16</v>
      </c>
      <c r="P587" s="5"/>
    </row>
    <row r="588" spans="1:16" x14ac:dyDescent="0.25">
      <c r="A588" s="4" t="s">
        <v>21</v>
      </c>
      <c r="B588" s="4" t="s">
        <v>250</v>
      </c>
      <c r="C588" s="5">
        <v>37776</v>
      </c>
      <c r="D588" s="4" t="s">
        <v>33</v>
      </c>
      <c r="E588" s="4" t="s">
        <v>35</v>
      </c>
      <c r="F588" s="4" t="s">
        <v>317</v>
      </c>
      <c r="G588" s="4" t="s">
        <v>26</v>
      </c>
      <c r="H588" s="4" t="s">
        <v>27</v>
      </c>
      <c r="I588" s="4" t="s">
        <v>715</v>
      </c>
      <c r="J588" s="4" t="s">
        <v>638</v>
      </c>
      <c r="K588" s="5">
        <v>6140193</v>
      </c>
      <c r="L588" s="5">
        <v>295393</v>
      </c>
      <c r="M588" s="5">
        <v>19</v>
      </c>
      <c r="N588" s="5">
        <v>1</v>
      </c>
      <c r="O588" s="5">
        <v>28</v>
      </c>
      <c r="P588" s="5"/>
    </row>
    <row r="589" spans="1:16" x14ac:dyDescent="0.25">
      <c r="A589" s="4" t="s">
        <v>21</v>
      </c>
      <c r="B589" s="4" t="s">
        <v>250</v>
      </c>
      <c r="C589" s="5">
        <v>37777</v>
      </c>
      <c r="D589" s="4" t="s">
        <v>33</v>
      </c>
      <c r="E589" s="4" t="s">
        <v>247</v>
      </c>
      <c r="F589" s="4" t="s">
        <v>268</v>
      </c>
      <c r="G589" s="4" t="s">
        <v>26</v>
      </c>
      <c r="H589" s="4" t="s">
        <v>27</v>
      </c>
      <c r="I589" s="4" t="s">
        <v>715</v>
      </c>
      <c r="J589" s="4" t="s">
        <v>715</v>
      </c>
      <c r="K589" s="5">
        <v>6112742</v>
      </c>
      <c r="L589" s="5">
        <v>273831</v>
      </c>
      <c r="M589" s="5">
        <v>19</v>
      </c>
      <c r="N589" s="5">
        <v>1</v>
      </c>
      <c r="O589" s="5">
        <v>14</v>
      </c>
      <c r="P589" s="5"/>
    </row>
    <row r="590" spans="1:16" x14ac:dyDescent="0.25">
      <c r="A590" s="4" t="s">
        <v>21</v>
      </c>
      <c r="B590" s="4" t="s">
        <v>250</v>
      </c>
      <c r="C590" s="5">
        <v>37799</v>
      </c>
      <c r="D590" s="4" t="s">
        <v>33</v>
      </c>
      <c r="E590" s="4" t="s">
        <v>167</v>
      </c>
      <c r="F590" s="4" t="s">
        <v>310</v>
      </c>
      <c r="G590" s="4" t="s">
        <v>26</v>
      </c>
      <c r="H590" s="4" t="s">
        <v>18</v>
      </c>
      <c r="I590" s="4" t="s">
        <v>715</v>
      </c>
      <c r="J590" s="4" t="s">
        <v>715</v>
      </c>
      <c r="K590" s="5">
        <v>6090673</v>
      </c>
      <c r="L590" s="5">
        <v>305233</v>
      </c>
      <c r="M590" s="5">
        <v>19</v>
      </c>
      <c r="N590" s="5">
        <v>1</v>
      </c>
      <c r="O590" s="5">
        <v>0.4</v>
      </c>
      <c r="P590" s="5"/>
    </row>
    <row r="591" spans="1:16" x14ac:dyDescent="0.25">
      <c r="A591" s="4" t="s">
        <v>21</v>
      </c>
      <c r="B591" s="4" t="s">
        <v>250</v>
      </c>
      <c r="C591" s="5">
        <v>37800</v>
      </c>
      <c r="D591" s="4" t="s">
        <v>33</v>
      </c>
      <c r="E591" s="4" t="s">
        <v>167</v>
      </c>
      <c r="F591" s="4" t="s">
        <v>148</v>
      </c>
      <c r="G591" s="4" t="s">
        <v>26</v>
      </c>
      <c r="H591" s="4" t="s">
        <v>18</v>
      </c>
      <c r="I591" s="4" t="s">
        <v>715</v>
      </c>
      <c r="J591" s="4" t="s">
        <v>715</v>
      </c>
      <c r="K591" s="5">
        <v>6092634</v>
      </c>
      <c r="L591" s="5">
        <v>304070</v>
      </c>
      <c r="M591" s="5">
        <v>19</v>
      </c>
      <c r="N591" s="5">
        <v>1</v>
      </c>
      <c r="O591" s="5">
        <v>0.4</v>
      </c>
      <c r="P591" s="5"/>
    </row>
    <row r="592" spans="1:16" x14ac:dyDescent="0.25">
      <c r="A592" s="4" t="s">
        <v>21</v>
      </c>
      <c r="B592" s="4" t="s">
        <v>250</v>
      </c>
      <c r="C592" s="5">
        <v>37807</v>
      </c>
      <c r="D592" s="4" t="s">
        <v>33</v>
      </c>
      <c r="E592" s="4" t="s">
        <v>167</v>
      </c>
      <c r="F592" s="4" t="s">
        <v>318</v>
      </c>
      <c r="G592" s="4" t="s">
        <v>26</v>
      </c>
      <c r="H592" s="4" t="s">
        <v>27</v>
      </c>
      <c r="I592" s="4" t="s">
        <v>715</v>
      </c>
      <c r="J592" s="4" t="s">
        <v>638</v>
      </c>
      <c r="K592" s="5">
        <v>6090240</v>
      </c>
      <c r="L592" s="5">
        <v>286674</v>
      </c>
      <c r="M592" s="5">
        <v>19</v>
      </c>
      <c r="N592" s="5">
        <v>1</v>
      </c>
      <c r="O592" s="5">
        <v>34</v>
      </c>
      <c r="P592" s="5"/>
    </row>
    <row r="593" spans="1:16" x14ac:dyDescent="0.25">
      <c r="A593" s="4" t="s">
        <v>21</v>
      </c>
      <c r="B593" s="4" t="s">
        <v>250</v>
      </c>
      <c r="C593" s="5">
        <v>37810</v>
      </c>
      <c r="D593" s="4" t="s">
        <v>33</v>
      </c>
      <c r="E593" s="4" t="s">
        <v>47</v>
      </c>
      <c r="F593" s="4" t="s">
        <v>68</v>
      </c>
      <c r="G593" s="4" t="s">
        <v>26</v>
      </c>
      <c r="H593" s="4" t="s">
        <v>27</v>
      </c>
      <c r="I593" s="4" t="s">
        <v>715</v>
      </c>
      <c r="J593" s="4" t="s">
        <v>715</v>
      </c>
      <c r="K593" s="5">
        <v>6080957</v>
      </c>
      <c r="L593" s="5">
        <v>269755</v>
      </c>
      <c r="M593" s="5">
        <v>19</v>
      </c>
      <c r="N593" s="5">
        <v>1</v>
      </c>
      <c r="O593" s="5">
        <v>4</v>
      </c>
      <c r="P593" s="5"/>
    </row>
    <row r="594" spans="1:16" x14ac:dyDescent="0.25">
      <c r="A594" s="4" t="s">
        <v>21</v>
      </c>
      <c r="B594" s="4" t="s">
        <v>250</v>
      </c>
      <c r="C594" s="5">
        <v>37812</v>
      </c>
      <c r="D594" s="4" t="s">
        <v>33</v>
      </c>
      <c r="E594" s="4" t="s">
        <v>45</v>
      </c>
      <c r="F594" s="4" t="s">
        <v>45</v>
      </c>
      <c r="G594" s="4" t="s">
        <v>26</v>
      </c>
      <c r="H594" s="4" t="s">
        <v>27</v>
      </c>
      <c r="I594" s="4" t="s">
        <v>715</v>
      </c>
      <c r="J594" s="4" t="s">
        <v>715</v>
      </c>
      <c r="K594" s="5">
        <v>6090592</v>
      </c>
      <c r="L594" s="5">
        <v>277266</v>
      </c>
      <c r="M594" s="5">
        <v>19</v>
      </c>
      <c r="N594" s="5">
        <v>8</v>
      </c>
      <c r="O594" s="5">
        <v>84.4</v>
      </c>
      <c r="P594" s="5"/>
    </row>
    <row r="595" spans="1:16" x14ac:dyDescent="0.25">
      <c r="A595" s="4" t="s">
        <v>21</v>
      </c>
      <c r="B595" s="4" t="s">
        <v>250</v>
      </c>
      <c r="C595" s="5">
        <v>37814</v>
      </c>
      <c r="D595" s="4" t="s">
        <v>33</v>
      </c>
      <c r="E595" s="4" t="s">
        <v>247</v>
      </c>
      <c r="F595" s="4" t="s">
        <v>52</v>
      </c>
      <c r="G595" s="4" t="s">
        <v>26</v>
      </c>
      <c r="H595" s="4" t="s">
        <v>27</v>
      </c>
      <c r="I595" s="4" t="s">
        <v>715</v>
      </c>
      <c r="J595" s="4" t="s">
        <v>715</v>
      </c>
      <c r="K595" s="5">
        <v>6117675</v>
      </c>
      <c r="L595" s="5">
        <v>290552</v>
      </c>
      <c r="M595" s="5">
        <v>19</v>
      </c>
      <c r="N595" s="5">
        <v>1</v>
      </c>
      <c r="O595" s="5">
        <v>7.5</v>
      </c>
      <c r="P595" s="5"/>
    </row>
    <row r="596" spans="1:16" x14ac:dyDescent="0.25">
      <c r="A596" s="4" t="s">
        <v>21</v>
      </c>
      <c r="B596" s="4" t="s">
        <v>250</v>
      </c>
      <c r="C596" s="5">
        <v>37818</v>
      </c>
      <c r="D596" s="4" t="s">
        <v>33</v>
      </c>
      <c r="E596" s="4" t="s">
        <v>50</v>
      </c>
      <c r="F596" s="4" t="s">
        <v>301</v>
      </c>
      <c r="G596" s="4" t="s">
        <v>26</v>
      </c>
      <c r="H596" s="4" t="s">
        <v>18</v>
      </c>
      <c r="I596" s="4" t="s">
        <v>715</v>
      </c>
      <c r="J596" s="4" t="s">
        <v>715</v>
      </c>
      <c r="K596" s="5">
        <v>6132740</v>
      </c>
      <c r="L596" s="5">
        <v>309659</v>
      </c>
      <c r="M596" s="5">
        <v>19</v>
      </c>
      <c r="N596" s="5">
        <v>1</v>
      </c>
      <c r="O596" s="5">
        <v>1.6</v>
      </c>
      <c r="P596" s="5"/>
    </row>
    <row r="597" spans="1:16" x14ac:dyDescent="0.25">
      <c r="A597" s="4" t="s">
        <v>21</v>
      </c>
      <c r="B597" s="4" t="s">
        <v>250</v>
      </c>
      <c r="C597" s="5">
        <v>37819</v>
      </c>
      <c r="D597" s="4" t="s">
        <v>33</v>
      </c>
      <c r="E597" s="4" t="s">
        <v>47</v>
      </c>
      <c r="F597" s="4" t="s">
        <v>68</v>
      </c>
      <c r="G597" s="4" t="s">
        <v>26</v>
      </c>
      <c r="H597" s="4" t="s">
        <v>27</v>
      </c>
      <c r="I597" s="4" t="s">
        <v>715</v>
      </c>
      <c r="J597" s="4" t="s">
        <v>638</v>
      </c>
      <c r="K597" s="5">
        <v>6082031</v>
      </c>
      <c r="L597" s="5">
        <v>271097</v>
      </c>
      <c r="M597" s="5">
        <v>19</v>
      </c>
      <c r="N597" s="5">
        <v>1</v>
      </c>
      <c r="O597" s="5">
        <v>20</v>
      </c>
      <c r="P597" s="5"/>
    </row>
    <row r="598" spans="1:16" x14ac:dyDescent="0.25">
      <c r="A598" s="4" t="s">
        <v>21</v>
      </c>
      <c r="B598" s="4" t="s">
        <v>250</v>
      </c>
      <c r="C598" s="5">
        <v>37821</v>
      </c>
      <c r="D598" s="4" t="s">
        <v>33</v>
      </c>
      <c r="E598" s="4" t="s">
        <v>34</v>
      </c>
      <c r="F598" s="4" t="s">
        <v>251</v>
      </c>
      <c r="G598" s="4" t="s">
        <v>26</v>
      </c>
      <c r="H598" s="4" t="s">
        <v>18</v>
      </c>
      <c r="I598" s="4" t="s">
        <v>715</v>
      </c>
      <c r="J598" s="4" t="s">
        <v>715</v>
      </c>
      <c r="K598" s="5">
        <v>6117136</v>
      </c>
      <c r="L598" s="5">
        <v>304203</v>
      </c>
      <c r="M598" s="5">
        <v>19</v>
      </c>
      <c r="N598" s="5">
        <v>1</v>
      </c>
      <c r="O598" s="5">
        <v>2</v>
      </c>
      <c r="P598" s="5"/>
    </row>
    <row r="599" spans="1:16" x14ac:dyDescent="0.25">
      <c r="A599" s="4" t="s">
        <v>21</v>
      </c>
      <c r="B599" s="4" t="s">
        <v>250</v>
      </c>
      <c r="C599" s="5">
        <v>37822</v>
      </c>
      <c r="D599" s="4" t="s">
        <v>33</v>
      </c>
      <c r="E599" s="4" t="s">
        <v>35</v>
      </c>
      <c r="F599" s="4" t="s">
        <v>319</v>
      </c>
      <c r="G599" s="4" t="s">
        <v>26</v>
      </c>
      <c r="H599" s="4" t="s">
        <v>18</v>
      </c>
      <c r="I599" s="4" t="s">
        <v>715</v>
      </c>
      <c r="J599" s="4" t="s">
        <v>715</v>
      </c>
      <c r="K599" s="5">
        <v>6139283</v>
      </c>
      <c r="L599" s="5">
        <v>313787</v>
      </c>
      <c r="M599" s="5">
        <v>19</v>
      </c>
      <c r="N599" s="5">
        <v>1</v>
      </c>
      <c r="O599" s="5">
        <v>1.62</v>
      </c>
      <c r="P599" s="5"/>
    </row>
    <row r="600" spans="1:16" x14ac:dyDescent="0.25">
      <c r="A600" s="4" t="s">
        <v>21</v>
      </c>
      <c r="B600" s="4" t="s">
        <v>250</v>
      </c>
      <c r="C600" s="5">
        <v>37823</v>
      </c>
      <c r="D600" s="4" t="s">
        <v>33</v>
      </c>
      <c r="E600" s="4" t="s">
        <v>45</v>
      </c>
      <c r="F600" s="4" t="s">
        <v>45</v>
      </c>
      <c r="G600" s="4" t="s">
        <v>26</v>
      </c>
      <c r="H600" s="4" t="s">
        <v>27</v>
      </c>
      <c r="I600" s="4" t="s">
        <v>715</v>
      </c>
      <c r="J600" s="4" t="s">
        <v>715</v>
      </c>
      <c r="K600" s="5">
        <v>6090812</v>
      </c>
      <c r="L600" s="5">
        <v>278129</v>
      </c>
      <c r="M600" s="5">
        <v>19</v>
      </c>
      <c r="N600" s="5">
        <v>8</v>
      </c>
      <c r="O600" s="5">
        <v>100.8</v>
      </c>
      <c r="P600" s="5"/>
    </row>
    <row r="601" spans="1:16" x14ac:dyDescent="0.25">
      <c r="A601" s="4" t="s">
        <v>21</v>
      </c>
      <c r="B601" s="4" t="s">
        <v>250</v>
      </c>
      <c r="C601" s="5">
        <v>37825</v>
      </c>
      <c r="D601" s="4" t="s">
        <v>33</v>
      </c>
      <c r="E601" s="4" t="s">
        <v>146</v>
      </c>
      <c r="F601" s="4" t="s">
        <v>320</v>
      </c>
      <c r="G601" s="4" t="s">
        <v>26</v>
      </c>
      <c r="H601" s="4" t="s">
        <v>27</v>
      </c>
      <c r="I601" s="4" t="s">
        <v>715</v>
      </c>
      <c r="J601" s="4" t="s">
        <v>638</v>
      </c>
      <c r="K601" s="5">
        <v>6038171</v>
      </c>
      <c r="L601" s="5">
        <v>269278</v>
      </c>
      <c r="M601" s="5">
        <v>19</v>
      </c>
      <c r="N601" s="5">
        <v>1</v>
      </c>
      <c r="O601" s="5">
        <v>14</v>
      </c>
      <c r="P601" s="5"/>
    </row>
    <row r="602" spans="1:16" x14ac:dyDescent="0.25">
      <c r="A602" s="4" t="s">
        <v>21</v>
      </c>
      <c r="B602" s="4" t="s">
        <v>250</v>
      </c>
      <c r="C602" s="5">
        <v>37826</v>
      </c>
      <c r="D602" s="4" t="s">
        <v>33</v>
      </c>
      <c r="E602" s="4" t="s">
        <v>43</v>
      </c>
      <c r="F602" s="4" t="s">
        <v>80</v>
      </c>
      <c r="G602" s="4" t="s">
        <v>26</v>
      </c>
      <c r="H602" s="4" t="s">
        <v>27</v>
      </c>
      <c r="I602" s="4" t="s">
        <v>715</v>
      </c>
      <c r="J602" s="4" t="s">
        <v>715</v>
      </c>
      <c r="K602" s="5">
        <v>6061281</v>
      </c>
      <c r="L602" s="5">
        <v>273308</v>
      </c>
      <c r="M602" s="5">
        <v>19</v>
      </c>
      <c r="N602" s="5">
        <v>4</v>
      </c>
      <c r="O602" s="5">
        <v>43.4</v>
      </c>
      <c r="P602" s="5"/>
    </row>
    <row r="603" spans="1:16" x14ac:dyDescent="0.25">
      <c r="A603" s="4" t="s">
        <v>21</v>
      </c>
      <c r="B603" s="4" t="s">
        <v>250</v>
      </c>
      <c r="C603" s="5">
        <v>37873</v>
      </c>
      <c r="D603" s="4" t="s">
        <v>37</v>
      </c>
      <c r="E603" s="4" t="s">
        <v>73</v>
      </c>
      <c r="F603" s="4" t="s">
        <v>73</v>
      </c>
      <c r="G603" s="4" t="s">
        <v>26</v>
      </c>
      <c r="H603" s="4" t="s">
        <v>27</v>
      </c>
      <c r="I603" s="4" t="s">
        <v>715</v>
      </c>
      <c r="J603" s="4" t="s">
        <v>638</v>
      </c>
      <c r="K603" s="5">
        <v>6156563</v>
      </c>
      <c r="L603" s="5">
        <v>314594</v>
      </c>
      <c r="M603" s="5">
        <v>19</v>
      </c>
      <c r="N603" s="5">
        <v>1</v>
      </c>
      <c r="O603" s="5">
        <v>7.5</v>
      </c>
      <c r="P603" s="5"/>
    </row>
    <row r="604" spans="1:16" x14ac:dyDescent="0.25">
      <c r="A604" s="4" t="s">
        <v>21</v>
      </c>
      <c r="B604" s="4" t="s">
        <v>250</v>
      </c>
      <c r="C604" s="5">
        <v>37911</v>
      </c>
      <c r="D604" s="4" t="s">
        <v>37</v>
      </c>
      <c r="E604" s="4" t="s">
        <v>38</v>
      </c>
      <c r="F604" s="4" t="s">
        <v>321</v>
      </c>
      <c r="G604" s="4" t="s">
        <v>26</v>
      </c>
      <c r="H604" s="4" t="s">
        <v>27</v>
      </c>
      <c r="I604" s="4" t="s">
        <v>715</v>
      </c>
      <c r="J604" s="4" t="s">
        <v>638</v>
      </c>
      <c r="K604" s="5">
        <v>6164583</v>
      </c>
      <c r="L604" s="5">
        <v>324483</v>
      </c>
      <c r="M604" s="5">
        <v>19</v>
      </c>
      <c r="N604" s="5">
        <v>1</v>
      </c>
      <c r="O604" s="5">
        <v>6</v>
      </c>
      <c r="P604" s="5"/>
    </row>
    <row r="605" spans="1:16" x14ac:dyDescent="0.25">
      <c r="A605" s="4" t="s">
        <v>21</v>
      </c>
      <c r="B605" s="4" t="s">
        <v>250</v>
      </c>
      <c r="C605" s="5">
        <v>37916</v>
      </c>
      <c r="D605" s="4" t="s">
        <v>37</v>
      </c>
      <c r="E605" s="4" t="s">
        <v>84</v>
      </c>
      <c r="F605" s="4" t="s">
        <v>84</v>
      </c>
      <c r="G605" s="4" t="s">
        <v>26</v>
      </c>
      <c r="H605" s="4" t="s">
        <v>27</v>
      </c>
      <c r="I605" s="4" t="s">
        <v>715</v>
      </c>
      <c r="J605" s="4" t="s">
        <v>638</v>
      </c>
      <c r="K605" s="5">
        <v>6167082</v>
      </c>
      <c r="L605" s="5">
        <v>310147</v>
      </c>
      <c r="M605" s="5">
        <v>19</v>
      </c>
      <c r="N605" s="5">
        <v>2</v>
      </c>
      <c r="O605" s="5">
        <v>9</v>
      </c>
      <c r="P605" s="5"/>
    </row>
    <row r="606" spans="1:16" x14ac:dyDescent="0.25">
      <c r="A606" s="4" t="s">
        <v>21</v>
      </c>
      <c r="B606" s="4" t="s">
        <v>250</v>
      </c>
      <c r="C606" s="5">
        <v>37925</v>
      </c>
      <c r="D606" s="4" t="s">
        <v>33</v>
      </c>
      <c r="E606" s="4" t="s">
        <v>247</v>
      </c>
      <c r="F606" s="4" t="s">
        <v>247</v>
      </c>
      <c r="G606" s="4" t="s">
        <v>26</v>
      </c>
      <c r="H606" s="4" t="s">
        <v>27</v>
      </c>
      <c r="I606" s="4" t="s">
        <v>715</v>
      </c>
      <c r="J606" s="4" t="s">
        <v>715</v>
      </c>
      <c r="K606" s="5">
        <v>6113308</v>
      </c>
      <c r="L606" s="5">
        <v>274699</v>
      </c>
      <c r="M606" s="5">
        <v>19</v>
      </c>
      <c r="N606" s="5">
        <v>1</v>
      </c>
      <c r="O606" s="5">
        <v>32</v>
      </c>
      <c r="P606" s="5"/>
    </row>
    <row r="607" spans="1:16" x14ac:dyDescent="0.25">
      <c r="A607" s="4" t="s">
        <v>21</v>
      </c>
      <c r="B607" s="4" t="s">
        <v>250</v>
      </c>
      <c r="C607" s="5">
        <v>37958</v>
      </c>
      <c r="D607" s="4" t="s">
        <v>33</v>
      </c>
      <c r="E607" s="4" t="s">
        <v>247</v>
      </c>
      <c r="F607" s="4" t="s">
        <v>247</v>
      </c>
      <c r="G607" s="4" t="s">
        <v>26</v>
      </c>
      <c r="H607" s="4" t="s">
        <v>27</v>
      </c>
      <c r="I607" s="4" t="s">
        <v>715</v>
      </c>
      <c r="J607" s="4" t="s">
        <v>715</v>
      </c>
      <c r="K607" s="5">
        <v>6113363</v>
      </c>
      <c r="L607" s="5">
        <v>274835</v>
      </c>
      <c r="M607" s="5">
        <v>19</v>
      </c>
      <c r="N607" s="5">
        <v>1</v>
      </c>
      <c r="O607" s="5">
        <v>32</v>
      </c>
      <c r="P607" s="5"/>
    </row>
    <row r="608" spans="1:16" x14ac:dyDescent="0.25">
      <c r="A608" s="4" t="s">
        <v>21</v>
      </c>
      <c r="B608" s="4" t="s">
        <v>250</v>
      </c>
      <c r="C608" s="5">
        <v>37963</v>
      </c>
      <c r="D608" s="4" t="s">
        <v>33</v>
      </c>
      <c r="E608" s="4" t="s">
        <v>35</v>
      </c>
      <c r="F608" s="4" t="s">
        <v>286</v>
      </c>
      <c r="G608" s="4" t="s">
        <v>26</v>
      </c>
      <c r="H608" s="4" t="s">
        <v>27</v>
      </c>
      <c r="I608" s="4" t="s">
        <v>715</v>
      </c>
      <c r="J608" s="4" t="s">
        <v>715</v>
      </c>
      <c r="K608" s="5">
        <v>6136212</v>
      </c>
      <c r="L608" s="5">
        <v>313227</v>
      </c>
      <c r="M608" s="5">
        <v>19</v>
      </c>
      <c r="N608" s="5">
        <v>1</v>
      </c>
      <c r="O608" s="5">
        <v>16</v>
      </c>
      <c r="P608" s="5"/>
    </row>
    <row r="609" spans="1:16" x14ac:dyDescent="0.25">
      <c r="A609" s="4" t="s">
        <v>21</v>
      </c>
      <c r="B609" s="4" t="s">
        <v>250</v>
      </c>
      <c r="C609" s="5">
        <v>37968</v>
      </c>
      <c r="D609" s="4" t="s">
        <v>33</v>
      </c>
      <c r="E609" s="4" t="s">
        <v>122</v>
      </c>
      <c r="F609" s="4" t="s">
        <v>322</v>
      </c>
      <c r="G609" s="4" t="s">
        <v>26</v>
      </c>
      <c r="H609" s="4" t="s">
        <v>27</v>
      </c>
      <c r="I609" s="4" t="s">
        <v>715</v>
      </c>
      <c r="J609" s="4" t="s">
        <v>715</v>
      </c>
      <c r="K609" s="5">
        <v>6111419</v>
      </c>
      <c r="L609" s="5">
        <v>288078</v>
      </c>
      <c r="M609" s="5">
        <v>19</v>
      </c>
      <c r="N609" s="5">
        <v>2</v>
      </c>
      <c r="O609" s="5">
        <v>4</v>
      </c>
      <c r="P609" s="5"/>
    </row>
    <row r="610" spans="1:16" x14ac:dyDescent="0.25">
      <c r="A610" s="4" t="s">
        <v>21</v>
      </c>
      <c r="B610" s="4" t="s">
        <v>250</v>
      </c>
      <c r="C610" s="5">
        <v>37971</v>
      </c>
      <c r="D610" s="4" t="s">
        <v>33</v>
      </c>
      <c r="E610" s="4" t="s">
        <v>122</v>
      </c>
      <c r="F610" s="4" t="s">
        <v>322</v>
      </c>
      <c r="G610" s="4" t="s">
        <v>26</v>
      </c>
      <c r="H610" s="4" t="s">
        <v>27</v>
      </c>
      <c r="I610" s="4" t="s">
        <v>715</v>
      </c>
      <c r="J610" s="4" t="s">
        <v>715</v>
      </c>
      <c r="K610" s="5">
        <v>6110192</v>
      </c>
      <c r="L610" s="5">
        <v>285855</v>
      </c>
      <c r="M610" s="5">
        <v>19</v>
      </c>
      <c r="N610" s="5">
        <v>2</v>
      </c>
      <c r="O610" s="5">
        <v>6</v>
      </c>
      <c r="P610" s="5"/>
    </row>
    <row r="611" spans="1:16" x14ac:dyDescent="0.25">
      <c r="A611" s="4" t="s">
        <v>21</v>
      </c>
      <c r="B611" s="4" t="s">
        <v>250</v>
      </c>
      <c r="C611" s="5">
        <v>37988</v>
      </c>
      <c r="D611" s="4" t="s">
        <v>33</v>
      </c>
      <c r="E611" s="4" t="s">
        <v>45</v>
      </c>
      <c r="F611" s="4" t="s">
        <v>323</v>
      </c>
      <c r="G611" s="4" t="s">
        <v>26</v>
      </c>
      <c r="H611" s="4" t="s">
        <v>128</v>
      </c>
      <c r="I611" s="4" t="s">
        <v>715</v>
      </c>
      <c r="J611" s="4" t="s">
        <v>638</v>
      </c>
      <c r="K611" s="5">
        <v>6092701</v>
      </c>
      <c r="L611" s="5">
        <v>274963</v>
      </c>
      <c r="M611" s="5">
        <v>19</v>
      </c>
      <c r="N611" s="5">
        <v>1</v>
      </c>
      <c r="O611" s="5">
        <v>0.4</v>
      </c>
      <c r="P611" s="5"/>
    </row>
    <row r="612" spans="1:16" x14ac:dyDescent="0.25">
      <c r="A612" s="4" t="s">
        <v>21</v>
      </c>
      <c r="B612" s="4" t="s">
        <v>250</v>
      </c>
      <c r="C612" s="5">
        <v>37989</v>
      </c>
      <c r="D612" s="4" t="s">
        <v>33</v>
      </c>
      <c r="E612" s="4" t="s">
        <v>45</v>
      </c>
      <c r="F612" s="4" t="s">
        <v>323</v>
      </c>
      <c r="G612" s="4" t="s">
        <v>26</v>
      </c>
      <c r="H612" s="4" t="s">
        <v>18</v>
      </c>
      <c r="I612" s="4" t="s">
        <v>715</v>
      </c>
      <c r="J612" s="4" t="s">
        <v>715</v>
      </c>
      <c r="K612" s="5">
        <v>6092701</v>
      </c>
      <c r="L612" s="5">
        <v>274963</v>
      </c>
      <c r="M612" s="5">
        <v>19</v>
      </c>
      <c r="N612" s="5">
        <v>1</v>
      </c>
      <c r="O612" s="5">
        <v>0.2</v>
      </c>
      <c r="P612" s="5"/>
    </row>
    <row r="613" spans="1:16" x14ac:dyDescent="0.25">
      <c r="A613" s="4" t="s">
        <v>21</v>
      </c>
      <c r="B613" s="4" t="s">
        <v>250</v>
      </c>
      <c r="C613" s="5">
        <v>37990</v>
      </c>
      <c r="D613" s="4" t="s">
        <v>33</v>
      </c>
      <c r="E613" s="4" t="s">
        <v>45</v>
      </c>
      <c r="F613" s="4" t="s">
        <v>323</v>
      </c>
      <c r="G613" s="4" t="s">
        <v>26</v>
      </c>
      <c r="H613" s="4" t="s">
        <v>128</v>
      </c>
      <c r="I613" s="4" t="s">
        <v>715</v>
      </c>
      <c r="J613" s="4" t="s">
        <v>638</v>
      </c>
      <c r="K613" s="5">
        <v>6092701</v>
      </c>
      <c r="L613" s="5">
        <v>274963</v>
      </c>
      <c r="M613" s="5">
        <v>19</v>
      </c>
      <c r="N613" s="5">
        <v>1</v>
      </c>
      <c r="O613" s="5">
        <v>2</v>
      </c>
      <c r="P613" s="5"/>
    </row>
    <row r="614" spans="1:16" x14ac:dyDescent="0.25">
      <c r="A614" s="4" t="s">
        <v>21</v>
      </c>
      <c r="B614" s="4" t="s">
        <v>250</v>
      </c>
      <c r="C614" s="5">
        <v>38143</v>
      </c>
      <c r="D614" s="4" t="s">
        <v>33</v>
      </c>
      <c r="E614" s="4" t="s">
        <v>122</v>
      </c>
      <c r="F614" s="4" t="s">
        <v>324</v>
      </c>
      <c r="G614" s="4" t="s">
        <v>26</v>
      </c>
      <c r="H614" s="4" t="s">
        <v>27</v>
      </c>
      <c r="I614" s="4" t="s">
        <v>715</v>
      </c>
      <c r="J614" s="4" t="s">
        <v>715</v>
      </c>
      <c r="K614" s="5">
        <v>6117461</v>
      </c>
      <c r="L614" s="5">
        <v>291798</v>
      </c>
      <c r="M614" s="5">
        <v>19</v>
      </c>
      <c r="N614" s="5">
        <v>2</v>
      </c>
      <c r="O614" s="5">
        <v>13.5</v>
      </c>
      <c r="P614" s="5"/>
    </row>
    <row r="615" spans="1:16" x14ac:dyDescent="0.25">
      <c r="A615" s="4" t="s">
        <v>21</v>
      </c>
      <c r="B615" s="4" t="s">
        <v>250</v>
      </c>
      <c r="C615" s="5">
        <v>38144</v>
      </c>
      <c r="D615" s="4" t="s">
        <v>37</v>
      </c>
      <c r="E615" s="4" t="s">
        <v>169</v>
      </c>
      <c r="F615" s="4" t="s">
        <v>256</v>
      </c>
      <c r="G615" s="4" t="s">
        <v>26</v>
      </c>
      <c r="H615" s="4" t="s">
        <v>27</v>
      </c>
      <c r="I615" s="4" t="s">
        <v>715</v>
      </c>
      <c r="J615" s="4" t="s">
        <v>638</v>
      </c>
      <c r="K615" s="5">
        <v>6222678</v>
      </c>
      <c r="L615" s="5">
        <v>334135</v>
      </c>
      <c r="M615" s="5">
        <v>19</v>
      </c>
      <c r="N615" s="5">
        <v>1</v>
      </c>
      <c r="O615" s="5">
        <v>11</v>
      </c>
      <c r="P615" s="5"/>
    </row>
    <row r="616" spans="1:16" x14ac:dyDescent="0.25">
      <c r="A616" s="4" t="s">
        <v>21</v>
      </c>
      <c r="B616" s="4" t="s">
        <v>250</v>
      </c>
      <c r="C616" s="5">
        <v>38145</v>
      </c>
      <c r="D616" s="4" t="s">
        <v>33</v>
      </c>
      <c r="E616" s="4" t="s">
        <v>122</v>
      </c>
      <c r="F616" s="4" t="s">
        <v>122</v>
      </c>
      <c r="G616" s="4" t="s">
        <v>26</v>
      </c>
      <c r="H616" s="4" t="s">
        <v>27</v>
      </c>
      <c r="I616" s="4" t="s">
        <v>715</v>
      </c>
      <c r="J616" s="4" t="s">
        <v>715</v>
      </c>
      <c r="K616" s="5">
        <v>6112091</v>
      </c>
      <c r="L616" s="5">
        <v>290423</v>
      </c>
      <c r="M616" s="5">
        <v>19</v>
      </c>
      <c r="N616" s="5">
        <v>1</v>
      </c>
      <c r="O616" s="5">
        <v>5.5</v>
      </c>
      <c r="P616" s="5"/>
    </row>
    <row r="617" spans="1:16" x14ac:dyDescent="0.25">
      <c r="A617" s="4" t="s">
        <v>21</v>
      </c>
      <c r="B617" s="4" t="s">
        <v>250</v>
      </c>
      <c r="C617" s="5">
        <v>38147</v>
      </c>
      <c r="D617" s="4" t="s">
        <v>33</v>
      </c>
      <c r="E617" s="4" t="s">
        <v>122</v>
      </c>
      <c r="F617" s="4" t="s">
        <v>122</v>
      </c>
      <c r="G617" s="4" t="s">
        <v>26</v>
      </c>
      <c r="H617" s="4" t="s">
        <v>27</v>
      </c>
      <c r="I617" s="4" t="s">
        <v>715</v>
      </c>
      <c r="J617" s="4" t="s">
        <v>715</v>
      </c>
      <c r="K617" s="5">
        <v>6111252</v>
      </c>
      <c r="L617" s="5">
        <v>288056</v>
      </c>
      <c r="M617" s="5">
        <v>19</v>
      </c>
      <c r="N617" s="5">
        <v>1</v>
      </c>
      <c r="O617" s="5">
        <v>13</v>
      </c>
      <c r="P617" s="5"/>
    </row>
    <row r="618" spans="1:16" x14ac:dyDescent="0.25">
      <c r="A618" s="4" t="s">
        <v>21</v>
      </c>
      <c r="B618" s="4" t="s">
        <v>250</v>
      </c>
      <c r="C618" s="5">
        <v>38177</v>
      </c>
      <c r="D618" s="4" t="s">
        <v>33</v>
      </c>
      <c r="E618" s="4" t="s">
        <v>35</v>
      </c>
      <c r="F618" s="4" t="s">
        <v>140</v>
      </c>
      <c r="G618" s="4" t="s">
        <v>26</v>
      </c>
      <c r="H618" s="4" t="s">
        <v>27</v>
      </c>
      <c r="I618" s="4" t="s">
        <v>715</v>
      </c>
      <c r="J618" s="4" t="s">
        <v>638</v>
      </c>
      <c r="K618" s="5">
        <v>6132410</v>
      </c>
      <c r="L618" s="5">
        <v>314352</v>
      </c>
      <c r="M618" s="5">
        <v>19</v>
      </c>
      <c r="N618" s="5">
        <v>1</v>
      </c>
      <c r="O618" s="5">
        <v>7.5</v>
      </c>
      <c r="P618" s="5"/>
    </row>
    <row r="619" spans="1:16" x14ac:dyDescent="0.25">
      <c r="A619" s="4" t="s">
        <v>21</v>
      </c>
      <c r="B619" s="4" t="s">
        <v>250</v>
      </c>
      <c r="C619" s="5">
        <v>38181</v>
      </c>
      <c r="D619" s="4" t="s">
        <v>33</v>
      </c>
      <c r="E619" s="4" t="s">
        <v>122</v>
      </c>
      <c r="F619" s="4" t="s">
        <v>122</v>
      </c>
      <c r="G619" s="4" t="s">
        <v>26</v>
      </c>
      <c r="H619" s="4" t="s">
        <v>27</v>
      </c>
      <c r="I619" s="4" t="s">
        <v>715</v>
      </c>
      <c r="J619" s="4" t="s">
        <v>715</v>
      </c>
      <c r="K619" s="5">
        <v>6112327</v>
      </c>
      <c r="L619" s="5">
        <v>289949</v>
      </c>
      <c r="M619" s="5">
        <v>19</v>
      </c>
      <c r="N619" s="5">
        <v>2</v>
      </c>
      <c r="O619" s="5">
        <v>14</v>
      </c>
      <c r="P619" s="5"/>
    </row>
    <row r="620" spans="1:16" x14ac:dyDescent="0.25">
      <c r="A620" s="4" t="s">
        <v>21</v>
      </c>
      <c r="B620" s="4" t="s">
        <v>250</v>
      </c>
      <c r="C620" s="5">
        <v>38186</v>
      </c>
      <c r="D620" s="4" t="s">
        <v>33</v>
      </c>
      <c r="E620" s="4" t="s">
        <v>122</v>
      </c>
      <c r="F620" s="4" t="s">
        <v>122</v>
      </c>
      <c r="G620" s="4" t="s">
        <v>26</v>
      </c>
      <c r="H620" s="4" t="s">
        <v>27</v>
      </c>
      <c r="I620" s="4" t="s">
        <v>715</v>
      </c>
      <c r="J620" s="4" t="s">
        <v>715</v>
      </c>
      <c r="K620" s="5">
        <v>6111929</v>
      </c>
      <c r="L620" s="5">
        <v>290906</v>
      </c>
      <c r="M620" s="5">
        <v>19</v>
      </c>
      <c r="N620" s="5">
        <v>4</v>
      </c>
      <c r="O620" s="5">
        <v>14</v>
      </c>
      <c r="P620" s="5"/>
    </row>
    <row r="621" spans="1:16" x14ac:dyDescent="0.25">
      <c r="A621" s="4" t="s">
        <v>21</v>
      </c>
      <c r="B621" s="4" t="s">
        <v>250</v>
      </c>
      <c r="C621" s="5">
        <v>38191</v>
      </c>
      <c r="D621" s="4" t="s">
        <v>33</v>
      </c>
      <c r="E621" s="4" t="s">
        <v>35</v>
      </c>
      <c r="F621" s="4" t="s">
        <v>140</v>
      </c>
      <c r="G621" s="4" t="s">
        <v>26</v>
      </c>
      <c r="H621" s="4" t="s">
        <v>27</v>
      </c>
      <c r="I621" s="4" t="s">
        <v>715</v>
      </c>
      <c r="J621" s="4" t="s">
        <v>638</v>
      </c>
      <c r="K621" s="5">
        <v>6132711</v>
      </c>
      <c r="L621" s="5">
        <v>313959</v>
      </c>
      <c r="M621" s="5">
        <v>19</v>
      </c>
      <c r="N621" s="5">
        <v>2</v>
      </c>
      <c r="O621" s="5">
        <v>24</v>
      </c>
      <c r="P621" s="5"/>
    </row>
    <row r="622" spans="1:16" x14ac:dyDescent="0.25">
      <c r="A622" s="4" t="s">
        <v>21</v>
      </c>
      <c r="B622" s="4" t="s">
        <v>250</v>
      </c>
      <c r="C622" s="5">
        <v>38194</v>
      </c>
      <c r="D622" s="4" t="s">
        <v>33</v>
      </c>
      <c r="E622" s="4" t="s">
        <v>35</v>
      </c>
      <c r="F622" s="4" t="s">
        <v>140</v>
      </c>
      <c r="G622" s="4" t="s">
        <v>26</v>
      </c>
      <c r="H622" s="4" t="s">
        <v>27</v>
      </c>
      <c r="I622" s="4" t="s">
        <v>715</v>
      </c>
      <c r="J622" s="4" t="s">
        <v>638</v>
      </c>
      <c r="K622" s="5">
        <v>6132908</v>
      </c>
      <c r="L622" s="5">
        <v>314181</v>
      </c>
      <c r="M622" s="5">
        <v>19</v>
      </c>
      <c r="N622" s="5">
        <v>2</v>
      </c>
      <c r="O622" s="5">
        <v>13</v>
      </c>
      <c r="P622" s="5"/>
    </row>
    <row r="623" spans="1:16" x14ac:dyDescent="0.25">
      <c r="A623" s="4" t="s">
        <v>21</v>
      </c>
      <c r="B623" s="4" t="s">
        <v>250</v>
      </c>
      <c r="C623" s="5">
        <v>38197</v>
      </c>
      <c r="D623" s="4" t="s">
        <v>33</v>
      </c>
      <c r="E623" s="4" t="s">
        <v>35</v>
      </c>
      <c r="F623" s="4" t="s">
        <v>140</v>
      </c>
      <c r="G623" s="4" t="s">
        <v>26</v>
      </c>
      <c r="H623" s="4" t="s">
        <v>27</v>
      </c>
      <c r="I623" s="4" t="s">
        <v>715</v>
      </c>
      <c r="J623" s="4" t="s">
        <v>715</v>
      </c>
      <c r="K623" s="5">
        <v>6133557</v>
      </c>
      <c r="L623" s="5">
        <v>314353</v>
      </c>
      <c r="M623" s="5">
        <v>19</v>
      </c>
      <c r="N623" s="5">
        <v>1</v>
      </c>
      <c r="O623" s="5">
        <v>11</v>
      </c>
      <c r="P623" s="5"/>
    </row>
    <row r="624" spans="1:16" x14ac:dyDescent="0.25">
      <c r="A624" s="4" t="s">
        <v>21</v>
      </c>
      <c r="B624" s="4" t="s">
        <v>250</v>
      </c>
      <c r="C624" s="5">
        <v>38198</v>
      </c>
      <c r="D624" s="4" t="s">
        <v>33</v>
      </c>
      <c r="E624" s="4" t="s">
        <v>167</v>
      </c>
      <c r="F624" s="4" t="s">
        <v>167</v>
      </c>
      <c r="G624" s="4" t="s">
        <v>26</v>
      </c>
      <c r="H624" s="4" t="s">
        <v>27</v>
      </c>
      <c r="I624" s="4" t="s">
        <v>715</v>
      </c>
      <c r="J624" s="4" t="s">
        <v>638</v>
      </c>
      <c r="K624" s="5">
        <v>6109203</v>
      </c>
      <c r="L624" s="5">
        <v>287307</v>
      </c>
      <c r="M624" s="5">
        <v>19</v>
      </c>
      <c r="N624" s="5">
        <v>3</v>
      </c>
      <c r="O624" s="5">
        <v>50</v>
      </c>
      <c r="P624" s="5"/>
    </row>
    <row r="625" spans="1:16" x14ac:dyDescent="0.25">
      <c r="A625" s="4" t="s">
        <v>21</v>
      </c>
      <c r="B625" s="4" t="s">
        <v>250</v>
      </c>
      <c r="C625" s="5">
        <v>38199</v>
      </c>
      <c r="D625" s="4" t="s">
        <v>37</v>
      </c>
      <c r="E625" s="4" t="s">
        <v>38</v>
      </c>
      <c r="F625" s="4" t="s">
        <v>38</v>
      </c>
      <c r="G625" s="4" t="s">
        <v>26</v>
      </c>
      <c r="H625" s="4" t="s">
        <v>27</v>
      </c>
      <c r="I625" s="4" t="s">
        <v>715</v>
      </c>
      <c r="J625" s="4" t="s">
        <v>715</v>
      </c>
      <c r="K625" s="5">
        <v>6169728</v>
      </c>
      <c r="L625" s="5">
        <v>318314</v>
      </c>
      <c r="M625" s="5">
        <v>19</v>
      </c>
      <c r="N625" s="5">
        <v>1</v>
      </c>
      <c r="O625" s="5">
        <v>5.5</v>
      </c>
      <c r="P625" s="5"/>
    </row>
    <row r="626" spans="1:16" x14ac:dyDescent="0.25">
      <c r="A626" s="4" t="s">
        <v>21</v>
      </c>
      <c r="B626" s="4" t="s">
        <v>250</v>
      </c>
      <c r="C626" s="5">
        <v>38202</v>
      </c>
      <c r="D626" s="4" t="s">
        <v>37</v>
      </c>
      <c r="E626" s="4" t="s">
        <v>73</v>
      </c>
      <c r="F626" s="4" t="s">
        <v>73</v>
      </c>
      <c r="G626" s="4" t="s">
        <v>26</v>
      </c>
      <c r="H626" s="4" t="s">
        <v>27</v>
      </c>
      <c r="I626" s="4" t="s">
        <v>715</v>
      </c>
      <c r="J626" s="4" t="s">
        <v>638</v>
      </c>
      <c r="K626" s="5">
        <v>6157122</v>
      </c>
      <c r="L626" s="5">
        <v>317581</v>
      </c>
      <c r="M626" s="5">
        <v>19</v>
      </c>
      <c r="N626" s="5">
        <v>1</v>
      </c>
      <c r="O626" s="5">
        <v>4</v>
      </c>
      <c r="P626" s="5"/>
    </row>
    <row r="627" spans="1:16" x14ac:dyDescent="0.25">
      <c r="A627" s="4" t="s">
        <v>21</v>
      </c>
      <c r="B627" s="4" t="s">
        <v>250</v>
      </c>
      <c r="C627" s="5">
        <v>38223</v>
      </c>
      <c r="D627" s="4" t="s">
        <v>33</v>
      </c>
      <c r="E627" s="4" t="s">
        <v>35</v>
      </c>
      <c r="F627" s="4" t="s">
        <v>35</v>
      </c>
      <c r="G627" s="4" t="s">
        <v>26</v>
      </c>
      <c r="H627" s="4" t="s">
        <v>27</v>
      </c>
      <c r="I627" s="4" t="s">
        <v>715</v>
      </c>
      <c r="J627" s="4" t="s">
        <v>638</v>
      </c>
      <c r="K627" s="5">
        <v>6139701</v>
      </c>
      <c r="L627" s="5">
        <v>308704</v>
      </c>
      <c r="M627" s="5">
        <v>19</v>
      </c>
      <c r="N627" s="5">
        <v>1</v>
      </c>
      <c r="O627" s="5">
        <v>12</v>
      </c>
      <c r="P627" s="5"/>
    </row>
    <row r="628" spans="1:16" x14ac:dyDescent="0.25">
      <c r="A628" s="4" t="s">
        <v>21</v>
      </c>
      <c r="B628" s="4" t="s">
        <v>250</v>
      </c>
      <c r="C628" s="5">
        <v>38227</v>
      </c>
      <c r="D628" s="4" t="s">
        <v>33</v>
      </c>
      <c r="E628" s="4" t="s">
        <v>35</v>
      </c>
      <c r="F628" s="4" t="s">
        <v>308</v>
      </c>
      <c r="G628" s="4" t="s">
        <v>26</v>
      </c>
      <c r="H628" s="4" t="s">
        <v>27</v>
      </c>
      <c r="I628" s="4" t="s">
        <v>715</v>
      </c>
      <c r="J628" s="4" t="s">
        <v>715</v>
      </c>
      <c r="K628" s="5">
        <v>6135399</v>
      </c>
      <c r="L628" s="5">
        <v>310734</v>
      </c>
      <c r="M628" s="5">
        <v>19</v>
      </c>
      <c r="N628" s="5">
        <v>2</v>
      </c>
      <c r="O628" s="5">
        <v>30</v>
      </c>
      <c r="P628" s="5"/>
    </row>
    <row r="629" spans="1:16" x14ac:dyDescent="0.25">
      <c r="A629" s="4" t="s">
        <v>21</v>
      </c>
      <c r="B629" s="4" t="s">
        <v>250</v>
      </c>
      <c r="C629" s="5">
        <v>38228</v>
      </c>
      <c r="D629" s="4" t="s">
        <v>33</v>
      </c>
      <c r="E629" s="4" t="s">
        <v>35</v>
      </c>
      <c r="F629" s="4" t="s">
        <v>308</v>
      </c>
      <c r="G629" s="4" t="s">
        <v>26</v>
      </c>
      <c r="H629" s="4" t="s">
        <v>27</v>
      </c>
      <c r="I629" s="4" t="s">
        <v>715</v>
      </c>
      <c r="J629" s="4" t="s">
        <v>715</v>
      </c>
      <c r="K629" s="5">
        <v>6135506</v>
      </c>
      <c r="L629" s="5">
        <v>311304</v>
      </c>
      <c r="M629" s="5">
        <v>19</v>
      </c>
      <c r="N629" s="5">
        <v>1</v>
      </c>
      <c r="O629" s="5">
        <v>37</v>
      </c>
      <c r="P629" s="5"/>
    </row>
    <row r="630" spans="1:16" x14ac:dyDescent="0.25">
      <c r="A630" s="4" t="s">
        <v>21</v>
      </c>
      <c r="B630" s="4" t="s">
        <v>250</v>
      </c>
      <c r="C630" s="5">
        <v>38280</v>
      </c>
      <c r="D630" s="4" t="s">
        <v>33</v>
      </c>
      <c r="E630" s="4" t="s">
        <v>43</v>
      </c>
      <c r="F630" s="4" t="s">
        <v>325</v>
      </c>
      <c r="G630" s="4" t="s">
        <v>26</v>
      </c>
      <c r="H630" s="4" t="s">
        <v>27</v>
      </c>
      <c r="I630" s="4" t="s">
        <v>715</v>
      </c>
      <c r="J630" s="4" t="s">
        <v>638</v>
      </c>
      <c r="K630" s="5">
        <v>6077413</v>
      </c>
      <c r="L630" s="5">
        <v>262952</v>
      </c>
      <c r="M630" s="5">
        <v>19</v>
      </c>
      <c r="N630" s="5">
        <v>3</v>
      </c>
      <c r="O630" s="5">
        <v>8.6</v>
      </c>
      <c r="P630" s="5"/>
    </row>
    <row r="631" spans="1:16" x14ac:dyDescent="0.25">
      <c r="A631" s="4" t="s">
        <v>21</v>
      </c>
      <c r="B631" s="4" t="s">
        <v>250</v>
      </c>
      <c r="C631" s="5">
        <v>38296</v>
      </c>
      <c r="D631" s="4" t="s">
        <v>15</v>
      </c>
      <c r="E631" s="4" t="s">
        <v>258</v>
      </c>
      <c r="F631" s="4" t="s">
        <v>272</v>
      </c>
      <c r="G631" s="4" t="s">
        <v>26</v>
      </c>
      <c r="H631" s="4" t="s">
        <v>18</v>
      </c>
      <c r="I631" s="4" t="s">
        <v>715</v>
      </c>
      <c r="J631" s="4" t="s">
        <v>715</v>
      </c>
      <c r="K631" s="5">
        <v>6364206</v>
      </c>
      <c r="L631" s="5">
        <v>319834</v>
      </c>
      <c r="M631" s="5">
        <v>19</v>
      </c>
      <c r="N631" s="5">
        <v>1</v>
      </c>
      <c r="O631" s="5">
        <v>5.7</v>
      </c>
      <c r="P631" s="5"/>
    </row>
    <row r="632" spans="1:16" x14ac:dyDescent="0.25">
      <c r="A632" s="4" t="s">
        <v>21</v>
      </c>
      <c r="B632" s="4" t="s">
        <v>250</v>
      </c>
      <c r="C632" s="5">
        <v>38298</v>
      </c>
      <c r="D632" s="4" t="s">
        <v>33</v>
      </c>
      <c r="E632" s="4" t="s">
        <v>122</v>
      </c>
      <c r="F632" s="4" t="s">
        <v>122</v>
      </c>
      <c r="G632" s="4" t="s">
        <v>26</v>
      </c>
      <c r="H632" s="4" t="s">
        <v>27</v>
      </c>
      <c r="I632" s="4" t="s">
        <v>715</v>
      </c>
      <c r="J632" s="4" t="s">
        <v>715</v>
      </c>
      <c r="K632" s="5">
        <v>6112005</v>
      </c>
      <c r="L632" s="5">
        <v>290050</v>
      </c>
      <c r="M632" s="5">
        <v>19</v>
      </c>
      <c r="N632" s="5">
        <v>3</v>
      </c>
      <c r="O632" s="5">
        <v>22</v>
      </c>
      <c r="P632" s="5"/>
    </row>
    <row r="633" spans="1:16" x14ac:dyDescent="0.25">
      <c r="A633" s="4" t="s">
        <v>21</v>
      </c>
      <c r="B633" s="4" t="s">
        <v>250</v>
      </c>
      <c r="C633" s="5">
        <v>38376</v>
      </c>
      <c r="D633" s="4" t="s">
        <v>33</v>
      </c>
      <c r="E633" s="4" t="s">
        <v>47</v>
      </c>
      <c r="F633" s="4" t="s">
        <v>52</v>
      </c>
      <c r="G633" s="4" t="s">
        <v>26</v>
      </c>
      <c r="H633" s="4" t="s">
        <v>27</v>
      </c>
      <c r="I633" s="4" t="s">
        <v>715</v>
      </c>
      <c r="J633" s="4" t="s">
        <v>715</v>
      </c>
      <c r="K633" s="5">
        <v>6078109</v>
      </c>
      <c r="L633" s="5">
        <v>285556</v>
      </c>
      <c r="M633" s="5">
        <v>19</v>
      </c>
      <c r="N633" s="5">
        <v>1</v>
      </c>
      <c r="O633" s="5">
        <v>7</v>
      </c>
      <c r="P633" s="5"/>
    </row>
    <row r="634" spans="1:16" x14ac:dyDescent="0.25">
      <c r="A634" s="4" t="s">
        <v>21</v>
      </c>
      <c r="B634" s="4" t="s">
        <v>250</v>
      </c>
      <c r="C634" s="5">
        <v>38431</v>
      </c>
      <c r="D634" s="4" t="s">
        <v>33</v>
      </c>
      <c r="E634" s="4" t="s">
        <v>66</v>
      </c>
      <c r="F634" s="4" t="s">
        <v>288</v>
      </c>
      <c r="G634" s="4" t="s">
        <v>26</v>
      </c>
      <c r="H634" s="4" t="s">
        <v>27</v>
      </c>
      <c r="I634" s="4" t="s">
        <v>715</v>
      </c>
      <c r="J634" s="4" t="s">
        <v>638</v>
      </c>
      <c r="K634" s="5">
        <v>6082075</v>
      </c>
      <c r="L634" s="5">
        <v>265292</v>
      </c>
      <c r="M634" s="5">
        <v>19</v>
      </c>
      <c r="N634" s="5">
        <v>1</v>
      </c>
      <c r="O634" s="5">
        <v>28</v>
      </c>
      <c r="P634" s="5"/>
    </row>
    <row r="635" spans="1:16" x14ac:dyDescent="0.25">
      <c r="A635" s="4" t="s">
        <v>21</v>
      </c>
      <c r="B635" s="4" t="s">
        <v>250</v>
      </c>
      <c r="C635" s="5">
        <v>38432</v>
      </c>
      <c r="D635" s="4" t="s">
        <v>33</v>
      </c>
      <c r="E635" s="4" t="s">
        <v>66</v>
      </c>
      <c r="F635" s="4" t="s">
        <v>284</v>
      </c>
      <c r="G635" s="4" t="s">
        <v>26</v>
      </c>
      <c r="H635" s="4" t="s">
        <v>27</v>
      </c>
      <c r="I635" s="4" t="s">
        <v>715</v>
      </c>
      <c r="J635" s="4" t="s">
        <v>638</v>
      </c>
      <c r="K635" s="5">
        <v>6084321</v>
      </c>
      <c r="L635" s="5">
        <v>266865</v>
      </c>
      <c r="M635" s="5">
        <v>19</v>
      </c>
      <c r="N635" s="5">
        <v>3</v>
      </c>
      <c r="O635" s="5">
        <v>10</v>
      </c>
      <c r="P635" s="5"/>
    </row>
    <row r="636" spans="1:16" x14ac:dyDescent="0.25">
      <c r="A636" s="4" t="s">
        <v>21</v>
      </c>
      <c r="B636" s="4" t="s">
        <v>250</v>
      </c>
      <c r="C636" s="5">
        <v>38433</v>
      </c>
      <c r="D636" s="4" t="s">
        <v>33</v>
      </c>
      <c r="E636" s="4" t="s">
        <v>66</v>
      </c>
      <c r="F636" s="4" t="s">
        <v>288</v>
      </c>
      <c r="G636" s="4" t="s">
        <v>26</v>
      </c>
      <c r="H636" s="4" t="s">
        <v>27</v>
      </c>
      <c r="I636" s="4" t="s">
        <v>715</v>
      </c>
      <c r="J636" s="4" t="s">
        <v>638</v>
      </c>
      <c r="K636" s="5">
        <v>6082374</v>
      </c>
      <c r="L636" s="5">
        <v>265544</v>
      </c>
      <c r="M636" s="5">
        <v>19</v>
      </c>
      <c r="N636" s="5">
        <v>1</v>
      </c>
      <c r="O636" s="5">
        <v>7</v>
      </c>
      <c r="P636" s="5"/>
    </row>
    <row r="637" spans="1:16" x14ac:dyDescent="0.25">
      <c r="A637" s="4" t="s">
        <v>21</v>
      </c>
      <c r="B637" s="4" t="s">
        <v>250</v>
      </c>
      <c r="C637" s="5">
        <v>38442</v>
      </c>
      <c r="D637" s="4" t="s">
        <v>37</v>
      </c>
      <c r="E637" s="4" t="s">
        <v>40</v>
      </c>
      <c r="F637" s="4" t="s">
        <v>326</v>
      </c>
      <c r="G637" s="4" t="s">
        <v>26</v>
      </c>
      <c r="H637" s="4" t="s">
        <v>27</v>
      </c>
      <c r="I637" s="4" t="s">
        <v>715</v>
      </c>
      <c r="J637" s="4" t="s">
        <v>638</v>
      </c>
      <c r="K637" s="5">
        <v>6214521</v>
      </c>
      <c r="L637" s="5">
        <v>345868</v>
      </c>
      <c r="M637" s="5">
        <v>19</v>
      </c>
      <c r="N637" s="5">
        <v>2</v>
      </c>
      <c r="O637" s="5">
        <v>21</v>
      </c>
      <c r="P637" s="5"/>
    </row>
    <row r="638" spans="1:16" x14ac:dyDescent="0.25">
      <c r="A638" s="4" t="s">
        <v>21</v>
      </c>
      <c r="B638" s="4" t="s">
        <v>250</v>
      </c>
      <c r="C638" s="5">
        <v>38449</v>
      </c>
      <c r="D638" s="4" t="s">
        <v>37</v>
      </c>
      <c r="E638" s="4" t="s">
        <v>40</v>
      </c>
      <c r="F638" s="4" t="s">
        <v>326</v>
      </c>
      <c r="G638" s="4" t="s">
        <v>26</v>
      </c>
      <c r="H638" s="4" t="s">
        <v>27</v>
      </c>
      <c r="I638" s="4" t="s">
        <v>715</v>
      </c>
      <c r="J638" s="4" t="s">
        <v>638</v>
      </c>
      <c r="K638" s="5">
        <v>6214752</v>
      </c>
      <c r="L638" s="5">
        <v>347113</v>
      </c>
      <c r="M638" s="5">
        <v>19</v>
      </c>
      <c r="N638" s="5">
        <v>4</v>
      </c>
      <c r="O638" s="5">
        <v>40</v>
      </c>
      <c r="P638" s="5"/>
    </row>
    <row r="639" spans="1:16" x14ac:dyDescent="0.25">
      <c r="A639" s="4" t="s">
        <v>21</v>
      </c>
      <c r="B639" s="4" t="s">
        <v>250</v>
      </c>
      <c r="C639" s="5">
        <v>38461</v>
      </c>
      <c r="D639" s="4" t="s">
        <v>33</v>
      </c>
      <c r="E639" s="4" t="s">
        <v>45</v>
      </c>
      <c r="F639" s="4" t="s">
        <v>45</v>
      </c>
      <c r="G639" s="4" t="s">
        <v>26</v>
      </c>
      <c r="H639" s="4" t="s">
        <v>27</v>
      </c>
      <c r="I639" s="4" t="s">
        <v>715</v>
      </c>
      <c r="J639" s="4" t="s">
        <v>715</v>
      </c>
      <c r="K639" s="5">
        <v>6089333</v>
      </c>
      <c r="L639" s="5">
        <v>274041</v>
      </c>
      <c r="M639" s="5">
        <v>19</v>
      </c>
      <c r="N639" s="5">
        <v>1</v>
      </c>
      <c r="O639" s="5">
        <v>11.5</v>
      </c>
      <c r="P639" s="5"/>
    </row>
    <row r="640" spans="1:16" x14ac:dyDescent="0.25">
      <c r="A640" s="4" t="s">
        <v>21</v>
      </c>
      <c r="B640" s="4" t="s">
        <v>250</v>
      </c>
      <c r="C640" s="5">
        <v>38485</v>
      </c>
      <c r="D640" s="4" t="s">
        <v>33</v>
      </c>
      <c r="E640" s="4" t="s">
        <v>45</v>
      </c>
      <c r="F640" s="4" t="s">
        <v>303</v>
      </c>
      <c r="G640" s="4" t="s">
        <v>26</v>
      </c>
      <c r="H640" s="4" t="s">
        <v>27</v>
      </c>
      <c r="I640" s="4" t="s">
        <v>715</v>
      </c>
      <c r="J640" s="4" t="s">
        <v>715</v>
      </c>
      <c r="K640" s="5">
        <v>6087279</v>
      </c>
      <c r="L640" s="5">
        <v>270641</v>
      </c>
      <c r="M640" s="5">
        <v>19</v>
      </c>
      <c r="N640" s="5">
        <v>1</v>
      </c>
      <c r="O640" s="5">
        <v>6.5</v>
      </c>
      <c r="P640" s="5"/>
    </row>
    <row r="641" spans="1:16" x14ac:dyDescent="0.25">
      <c r="A641" s="4" t="s">
        <v>21</v>
      </c>
      <c r="B641" s="4" t="s">
        <v>250</v>
      </c>
      <c r="C641" s="5">
        <v>38486</v>
      </c>
      <c r="D641" s="4" t="s">
        <v>33</v>
      </c>
      <c r="E641" s="4" t="s">
        <v>122</v>
      </c>
      <c r="F641" s="4" t="s">
        <v>306</v>
      </c>
      <c r="G641" s="4" t="s">
        <v>26</v>
      </c>
      <c r="H641" s="4" t="s">
        <v>27</v>
      </c>
      <c r="I641" s="4" t="s">
        <v>715</v>
      </c>
      <c r="J641" s="4" t="s">
        <v>715</v>
      </c>
      <c r="K641" s="5">
        <v>6116808</v>
      </c>
      <c r="L641" s="5">
        <v>291147</v>
      </c>
      <c r="M641" s="5">
        <v>19</v>
      </c>
      <c r="N641" s="5">
        <v>1</v>
      </c>
      <c r="O641" s="5">
        <v>38</v>
      </c>
      <c r="P641" s="5"/>
    </row>
    <row r="642" spans="1:16" x14ac:dyDescent="0.25">
      <c r="A642" s="4" t="s">
        <v>21</v>
      </c>
      <c r="B642" s="4" t="s">
        <v>250</v>
      </c>
      <c r="C642" s="5">
        <v>38490</v>
      </c>
      <c r="D642" s="4" t="s">
        <v>33</v>
      </c>
      <c r="E642" s="4" t="s">
        <v>147</v>
      </c>
      <c r="F642" s="4" t="s">
        <v>147</v>
      </c>
      <c r="G642" s="4" t="s">
        <v>26</v>
      </c>
      <c r="H642" s="4" t="s">
        <v>27</v>
      </c>
      <c r="I642" s="4" t="s">
        <v>715</v>
      </c>
      <c r="J642" s="4" t="s">
        <v>715</v>
      </c>
      <c r="K642" s="5">
        <v>6045042</v>
      </c>
      <c r="L642" s="5">
        <v>255176</v>
      </c>
      <c r="M642" s="5">
        <v>19</v>
      </c>
      <c r="N642" s="5">
        <v>6</v>
      </c>
      <c r="O642" s="5">
        <v>68.3</v>
      </c>
      <c r="P642" s="5"/>
    </row>
    <row r="643" spans="1:16" x14ac:dyDescent="0.25">
      <c r="A643" s="4" t="s">
        <v>21</v>
      </c>
      <c r="B643" s="4" t="s">
        <v>250</v>
      </c>
      <c r="C643" s="5">
        <v>38492</v>
      </c>
      <c r="D643" s="4" t="s">
        <v>33</v>
      </c>
      <c r="E643" s="4" t="s">
        <v>122</v>
      </c>
      <c r="F643" s="4" t="s">
        <v>306</v>
      </c>
      <c r="G643" s="4" t="s">
        <v>26</v>
      </c>
      <c r="H643" s="4" t="s">
        <v>27</v>
      </c>
      <c r="I643" s="4" t="s">
        <v>715</v>
      </c>
      <c r="J643" s="4" t="s">
        <v>715</v>
      </c>
      <c r="K643" s="5">
        <v>6115928</v>
      </c>
      <c r="L643" s="5">
        <v>290516</v>
      </c>
      <c r="M643" s="5">
        <v>19</v>
      </c>
      <c r="N643" s="5">
        <v>2</v>
      </c>
      <c r="O643" s="5">
        <v>18.5</v>
      </c>
      <c r="P643" s="5"/>
    </row>
    <row r="644" spans="1:16" x14ac:dyDescent="0.25">
      <c r="A644" s="4" t="s">
        <v>21</v>
      </c>
      <c r="B644" s="4" t="s">
        <v>250</v>
      </c>
      <c r="C644" s="5">
        <v>38511</v>
      </c>
      <c r="D644" s="4" t="s">
        <v>33</v>
      </c>
      <c r="E644" s="4" t="s">
        <v>247</v>
      </c>
      <c r="F644" s="4" t="s">
        <v>247</v>
      </c>
      <c r="G644" s="4" t="s">
        <v>26</v>
      </c>
      <c r="H644" s="4" t="s">
        <v>27</v>
      </c>
      <c r="I644" s="4" t="s">
        <v>715</v>
      </c>
      <c r="J644" s="4" t="s">
        <v>638</v>
      </c>
      <c r="K644" s="5">
        <v>6122125</v>
      </c>
      <c r="L644" s="5">
        <v>282999</v>
      </c>
      <c r="M644" s="5">
        <v>19</v>
      </c>
      <c r="N644" s="5">
        <v>1</v>
      </c>
      <c r="O644" s="5">
        <v>5</v>
      </c>
      <c r="P644" s="5"/>
    </row>
    <row r="645" spans="1:16" x14ac:dyDescent="0.25">
      <c r="A645" s="4" t="s">
        <v>21</v>
      </c>
      <c r="B645" s="4" t="s">
        <v>250</v>
      </c>
      <c r="C645" s="5">
        <v>38514</v>
      </c>
      <c r="D645" s="4" t="s">
        <v>33</v>
      </c>
      <c r="E645" s="4" t="s">
        <v>35</v>
      </c>
      <c r="F645" s="4" t="s">
        <v>81</v>
      </c>
      <c r="G645" s="4" t="s">
        <v>26</v>
      </c>
      <c r="H645" s="4" t="s">
        <v>27</v>
      </c>
      <c r="I645" s="4" t="s">
        <v>715</v>
      </c>
      <c r="J645" s="4" t="s">
        <v>638</v>
      </c>
      <c r="K645" s="5">
        <v>6146269</v>
      </c>
      <c r="L645" s="5">
        <v>308156</v>
      </c>
      <c r="M645" s="5">
        <v>19</v>
      </c>
      <c r="N645" s="5">
        <v>1</v>
      </c>
      <c r="O645" s="5">
        <v>12</v>
      </c>
      <c r="P645" s="5"/>
    </row>
    <row r="646" spans="1:16" x14ac:dyDescent="0.25">
      <c r="A646" s="4" t="s">
        <v>21</v>
      </c>
      <c r="B646" s="4" t="s">
        <v>250</v>
      </c>
      <c r="C646" s="5">
        <v>38537</v>
      </c>
      <c r="D646" s="4" t="s">
        <v>33</v>
      </c>
      <c r="E646" s="4" t="s">
        <v>167</v>
      </c>
      <c r="F646" s="4" t="s">
        <v>327</v>
      </c>
      <c r="G646" s="4" t="s">
        <v>26</v>
      </c>
      <c r="H646" s="4" t="s">
        <v>173</v>
      </c>
      <c r="I646" s="4" t="s">
        <v>715</v>
      </c>
      <c r="J646" s="4" t="s">
        <v>715</v>
      </c>
      <c r="K646" s="5">
        <v>6099770</v>
      </c>
      <c r="L646" s="5">
        <v>291602</v>
      </c>
      <c r="M646" s="5">
        <v>19</v>
      </c>
      <c r="N646" s="5">
        <v>1</v>
      </c>
      <c r="O646" s="5">
        <v>1.95</v>
      </c>
      <c r="P646" s="5"/>
    </row>
    <row r="647" spans="1:16" x14ac:dyDescent="0.25">
      <c r="A647" s="4" t="s">
        <v>21</v>
      </c>
      <c r="B647" s="4" t="s">
        <v>250</v>
      </c>
      <c r="C647" s="5">
        <v>38542</v>
      </c>
      <c r="D647" s="4" t="s">
        <v>33</v>
      </c>
      <c r="E647" s="4" t="s">
        <v>35</v>
      </c>
      <c r="F647" s="4" t="s">
        <v>319</v>
      </c>
      <c r="G647" s="4" t="s">
        <v>26</v>
      </c>
      <c r="H647" s="4" t="s">
        <v>173</v>
      </c>
      <c r="I647" s="4" t="s">
        <v>715</v>
      </c>
      <c r="J647" s="4" t="s">
        <v>715</v>
      </c>
      <c r="K647" s="5">
        <v>6137716</v>
      </c>
      <c r="L647" s="5">
        <v>314356</v>
      </c>
      <c r="M647" s="5">
        <v>19</v>
      </c>
      <c r="N647" s="5">
        <v>1</v>
      </c>
      <c r="O647" s="5">
        <v>5.6</v>
      </c>
      <c r="P647" s="5"/>
    </row>
    <row r="648" spans="1:16" x14ac:dyDescent="0.25">
      <c r="A648" s="4" t="s">
        <v>21</v>
      </c>
      <c r="B648" s="4" t="s">
        <v>250</v>
      </c>
      <c r="C648" s="5">
        <v>38543</v>
      </c>
      <c r="D648" s="4" t="s">
        <v>33</v>
      </c>
      <c r="E648" s="4" t="s">
        <v>35</v>
      </c>
      <c r="F648" s="4" t="s">
        <v>140</v>
      </c>
      <c r="G648" s="4" t="s">
        <v>26</v>
      </c>
      <c r="H648" s="4" t="s">
        <v>173</v>
      </c>
      <c r="I648" s="4" t="s">
        <v>715</v>
      </c>
      <c r="J648" s="4" t="s">
        <v>715</v>
      </c>
      <c r="K648" s="5">
        <v>6134209</v>
      </c>
      <c r="L648" s="5">
        <v>318219</v>
      </c>
      <c r="M648" s="5">
        <v>19</v>
      </c>
      <c r="N648" s="5">
        <v>1</v>
      </c>
      <c r="O648" s="5">
        <v>1.87</v>
      </c>
      <c r="P648" s="5"/>
    </row>
    <row r="649" spans="1:16" x14ac:dyDescent="0.25">
      <c r="A649" s="4" t="s">
        <v>21</v>
      </c>
      <c r="B649" s="4" t="s">
        <v>250</v>
      </c>
      <c r="C649" s="5">
        <v>38571</v>
      </c>
      <c r="D649" s="4" t="s">
        <v>33</v>
      </c>
      <c r="E649" s="4" t="s">
        <v>45</v>
      </c>
      <c r="F649" s="4" t="s">
        <v>323</v>
      </c>
      <c r="G649" s="4" t="s">
        <v>26</v>
      </c>
      <c r="H649" s="4" t="s">
        <v>128</v>
      </c>
      <c r="I649" s="4" t="s">
        <v>715</v>
      </c>
      <c r="J649" s="4" t="s">
        <v>638</v>
      </c>
      <c r="K649" s="5">
        <v>6092093</v>
      </c>
      <c r="L649" s="5">
        <v>276362</v>
      </c>
      <c r="M649" s="5">
        <v>19</v>
      </c>
      <c r="N649" s="5">
        <v>1</v>
      </c>
      <c r="O649" s="5">
        <v>5.5</v>
      </c>
      <c r="P649" s="5"/>
    </row>
    <row r="650" spans="1:16" x14ac:dyDescent="0.25">
      <c r="A650" s="4" t="s">
        <v>21</v>
      </c>
      <c r="B650" s="4" t="s">
        <v>250</v>
      </c>
      <c r="C650" s="5">
        <v>38574</v>
      </c>
      <c r="D650" s="4" t="s">
        <v>33</v>
      </c>
      <c r="E650" s="4" t="s">
        <v>45</v>
      </c>
      <c r="F650" s="4" t="s">
        <v>323</v>
      </c>
      <c r="G650" s="4" t="s">
        <v>26</v>
      </c>
      <c r="H650" s="4" t="s">
        <v>18</v>
      </c>
      <c r="I650" s="4" t="s">
        <v>715</v>
      </c>
      <c r="J650" s="4" t="s">
        <v>715</v>
      </c>
      <c r="K650" s="5">
        <v>6092093</v>
      </c>
      <c r="L650" s="5">
        <v>276362</v>
      </c>
      <c r="M650" s="5">
        <v>19</v>
      </c>
      <c r="N650" s="5">
        <v>1</v>
      </c>
      <c r="O650" s="5">
        <v>3.6</v>
      </c>
      <c r="P650" s="5"/>
    </row>
    <row r="651" spans="1:16" x14ac:dyDescent="0.25">
      <c r="A651" s="4" t="s">
        <v>21</v>
      </c>
      <c r="B651" s="4" t="s">
        <v>250</v>
      </c>
      <c r="C651" s="5">
        <v>38575</v>
      </c>
      <c r="D651" s="4" t="s">
        <v>33</v>
      </c>
      <c r="E651" s="4" t="s">
        <v>167</v>
      </c>
      <c r="F651" s="4" t="s">
        <v>328</v>
      </c>
      <c r="G651" s="4" t="s">
        <v>26</v>
      </c>
      <c r="H651" s="4" t="s">
        <v>173</v>
      </c>
      <c r="I651" s="4" t="s">
        <v>715</v>
      </c>
      <c r="J651" s="4" t="s">
        <v>715</v>
      </c>
      <c r="K651" s="5">
        <v>6101193</v>
      </c>
      <c r="L651" s="5">
        <v>295858</v>
      </c>
      <c r="M651" s="5">
        <v>19</v>
      </c>
      <c r="N651" s="5">
        <v>1</v>
      </c>
      <c r="O651" s="5">
        <v>3.47</v>
      </c>
      <c r="P651" s="5"/>
    </row>
    <row r="652" spans="1:16" x14ac:dyDescent="0.25">
      <c r="A652" s="4" t="s">
        <v>21</v>
      </c>
      <c r="B652" s="4" t="s">
        <v>250</v>
      </c>
      <c r="C652" s="5">
        <v>38578</v>
      </c>
      <c r="D652" s="4" t="s">
        <v>33</v>
      </c>
      <c r="E652" s="4" t="s">
        <v>66</v>
      </c>
      <c r="F652" s="4" t="s">
        <v>288</v>
      </c>
      <c r="G652" s="4" t="s">
        <v>26</v>
      </c>
      <c r="H652" s="4" t="s">
        <v>18</v>
      </c>
      <c r="I652" s="4" t="s">
        <v>715</v>
      </c>
      <c r="J652" s="4" t="s">
        <v>715</v>
      </c>
      <c r="K652" s="5">
        <v>6083603</v>
      </c>
      <c r="L652" s="5">
        <v>263153</v>
      </c>
      <c r="M652" s="5">
        <v>19</v>
      </c>
      <c r="N652" s="5">
        <v>1</v>
      </c>
      <c r="O652" s="5">
        <v>0.4</v>
      </c>
      <c r="P652" s="5"/>
    </row>
    <row r="653" spans="1:16" x14ac:dyDescent="0.25">
      <c r="A653" s="4" t="s">
        <v>21</v>
      </c>
      <c r="B653" s="4" t="s">
        <v>250</v>
      </c>
      <c r="C653" s="5">
        <v>38580</v>
      </c>
      <c r="D653" s="4" t="s">
        <v>33</v>
      </c>
      <c r="E653" s="4" t="s">
        <v>45</v>
      </c>
      <c r="F653" s="4" t="s">
        <v>261</v>
      </c>
      <c r="G653" s="4" t="s">
        <v>26</v>
      </c>
      <c r="H653" s="4" t="s">
        <v>18</v>
      </c>
      <c r="I653" s="4" t="s">
        <v>715</v>
      </c>
      <c r="J653" s="4" t="s">
        <v>715</v>
      </c>
      <c r="K653" s="5">
        <v>6089395</v>
      </c>
      <c r="L653" s="5">
        <v>280840</v>
      </c>
      <c r="M653" s="5">
        <v>19</v>
      </c>
      <c r="N653" s="5">
        <v>1</v>
      </c>
      <c r="O653" s="5">
        <v>0.4</v>
      </c>
      <c r="P653" s="5"/>
    </row>
    <row r="654" spans="1:16" x14ac:dyDescent="0.25">
      <c r="A654" s="4" t="s">
        <v>21</v>
      </c>
      <c r="B654" s="4" t="s">
        <v>250</v>
      </c>
      <c r="C654" s="5">
        <v>38581</v>
      </c>
      <c r="D654" s="4" t="s">
        <v>33</v>
      </c>
      <c r="E654" s="4" t="s">
        <v>45</v>
      </c>
      <c r="F654" s="4" t="s">
        <v>261</v>
      </c>
      <c r="G654" s="4" t="s">
        <v>26</v>
      </c>
      <c r="H654" s="4" t="s">
        <v>18</v>
      </c>
      <c r="I654" s="4" t="s">
        <v>715</v>
      </c>
      <c r="J654" s="4" t="s">
        <v>715</v>
      </c>
      <c r="K654" s="5">
        <v>6089681</v>
      </c>
      <c r="L654" s="5">
        <v>281394</v>
      </c>
      <c r="M654" s="5">
        <v>19</v>
      </c>
      <c r="N654" s="5">
        <v>1</v>
      </c>
      <c r="O654" s="5">
        <v>0.4</v>
      </c>
      <c r="P654" s="5"/>
    </row>
    <row r="655" spans="1:16" x14ac:dyDescent="0.25">
      <c r="A655" s="4" t="s">
        <v>21</v>
      </c>
      <c r="B655" s="4" t="s">
        <v>250</v>
      </c>
      <c r="C655" s="5">
        <v>38582</v>
      </c>
      <c r="D655" s="4" t="s">
        <v>33</v>
      </c>
      <c r="E655" s="4" t="s">
        <v>45</v>
      </c>
      <c r="F655" s="4" t="s">
        <v>261</v>
      </c>
      <c r="G655" s="4" t="s">
        <v>26</v>
      </c>
      <c r="H655" s="4" t="s">
        <v>18</v>
      </c>
      <c r="I655" s="4" t="s">
        <v>715</v>
      </c>
      <c r="J655" s="4" t="s">
        <v>715</v>
      </c>
      <c r="K655" s="5">
        <v>6089428</v>
      </c>
      <c r="L655" s="5">
        <v>283339</v>
      </c>
      <c r="M655" s="5">
        <v>19</v>
      </c>
      <c r="N655" s="5">
        <v>1</v>
      </c>
      <c r="O655" s="5">
        <v>0.4</v>
      </c>
      <c r="P655" s="5"/>
    </row>
    <row r="656" spans="1:16" x14ac:dyDescent="0.25">
      <c r="A656" s="4" t="s">
        <v>21</v>
      </c>
      <c r="B656" s="4" t="s">
        <v>250</v>
      </c>
      <c r="C656" s="5">
        <v>38585</v>
      </c>
      <c r="D656" s="4" t="s">
        <v>33</v>
      </c>
      <c r="E656" s="4" t="s">
        <v>43</v>
      </c>
      <c r="F656" s="4" t="s">
        <v>329</v>
      </c>
      <c r="G656" s="4" t="s">
        <v>26</v>
      </c>
      <c r="H656" s="4" t="s">
        <v>18</v>
      </c>
      <c r="I656" s="4" t="s">
        <v>715</v>
      </c>
      <c r="J656" s="4" t="s">
        <v>715</v>
      </c>
      <c r="K656" s="5">
        <v>6068722</v>
      </c>
      <c r="L656" s="5">
        <v>287164</v>
      </c>
      <c r="M656" s="5">
        <v>19</v>
      </c>
      <c r="N656" s="5">
        <v>1</v>
      </c>
      <c r="O656" s="5">
        <v>2.8</v>
      </c>
      <c r="P656" s="5"/>
    </row>
    <row r="657" spans="1:16" x14ac:dyDescent="0.25">
      <c r="A657" s="4" t="s">
        <v>21</v>
      </c>
      <c r="B657" s="4" t="s">
        <v>250</v>
      </c>
      <c r="C657" s="5">
        <v>38646</v>
      </c>
      <c r="D657" s="4" t="s">
        <v>33</v>
      </c>
      <c r="E657" s="4" t="s">
        <v>43</v>
      </c>
      <c r="F657" s="4" t="s">
        <v>168</v>
      </c>
      <c r="G657" s="4" t="s">
        <v>26</v>
      </c>
      <c r="H657" s="4" t="s">
        <v>27</v>
      </c>
      <c r="I657" s="4" t="s">
        <v>715</v>
      </c>
      <c r="J657" s="4" t="s">
        <v>638</v>
      </c>
      <c r="K657" s="5">
        <v>6070347</v>
      </c>
      <c r="L657" s="5">
        <v>276892</v>
      </c>
      <c r="M657" s="5">
        <v>19</v>
      </c>
      <c r="N657" s="5">
        <v>1</v>
      </c>
      <c r="O657" s="5">
        <v>9</v>
      </c>
      <c r="P657" s="5"/>
    </row>
    <row r="658" spans="1:16" x14ac:dyDescent="0.25">
      <c r="A658" s="4" t="s">
        <v>21</v>
      </c>
      <c r="B658" s="4" t="s">
        <v>250</v>
      </c>
      <c r="C658" s="5">
        <v>38649</v>
      </c>
      <c r="D658" s="4" t="s">
        <v>33</v>
      </c>
      <c r="E658" s="4" t="s">
        <v>43</v>
      </c>
      <c r="F658" s="4" t="s">
        <v>168</v>
      </c>
      <c r="G658" s="4" t="s">
        <v>26</v>
      </c>
      <c r="H658" s="4" t="s">
        <v>27</v>
      </c>
      <c r="I658" s="4" t="s">
        <v>715</v>
      </c>
      <c r="J658" s="4" t="s">
        <v>715</v>
      </c>
      <c r="K658" s="5">
        <v>6072165</v>
      </c>
      <c r="L658" s="5">
        <v>275239</v>
      </c>
      <c r="M658" s="5">
        <v>19</v>
      </c>
      <c r="N658" s="5">
        <v>7</v>
      </c>
      <c r="O658" s="5">
        <v>27.9</v>
      </c>
      <c r="P658" s="5"/>
    </row>
    <row r="659" spans="1:16" x14ac:dyDescent="0.25">
      <c r="A659" s="4" t="s">
        <v>21</v>
      </c>
      <c r="B659" s="4" t="s">
        <v>250</v>
      </c>
      <c r="C659" s="5">
        <v>38652</v>
      </c>
      <c r="D659" s="4" t="s">
        <v>37</v>
      </c>
      <c r="E659" s="4" t="s">
        <v>73</v>
      </c>
      <c r="F659" s="4" t="s">
        <v>330</v>
      </c>
      <c r="G659" s="4" t="s">
        <v>26</v>
      </c>
      <c r="H659" s="4" t="s">
        <v>27</v>
      </c>
      <c r="I659" s="4" t="s">
        <v>715</v>
      </c>
      <c r="J659" s="4" t="s">
        <v>638</v>
      </c>
      <c r="K659" s="5">
        <v>6146838</v>
      </c>
      <c r="L659" s="5">
        <v>319453</v>
      </c>
      <c r="M659" s="5">
        <v>19</v>
      </c>
      <c r="N659" s="5">
        <v>1</v>
      </c>
      <c r="O659" s="5">
        <v>34</v>
      </c>
      <c r="P659" s="5"/>
    </row>
    <row r="660" spans="1:16" x14ac:dyDescent="0.25">
      <c r="A660" s="4" t="s">
        <v>21</v>
      </c>
      <c r="B660" s="4" t="s">
        <v>250</v>
      </c>
      <c r="C660" s="5">
        <v>38653</v>
      </c>
      <c r="D660" s="4" t="s">
        <v>37</v>
      </c>
      <c r="E660" s="4" t="s">
        <v>73</v>
      </c>
      <c r="F660" s="4" t="s">
        <v>331</v>
      </c>
      <c r="G660" s="4" t="s">
        <v>26</v>
      </c>
      <c r="H660" s="4" t="s">
        <v>27</v>
      </c>
      <c r="I660" s="4" t="s">
        <v>715</v>
      </c>
      <c r="J660" s="4" t="s">
        <v>638</v>
      </c>
      <c r="K660" s="5">
        <v>6150370</v>
      </c>
      <c r="L660" s="5">
        <v>323555</v>
      </c>
      <c r="M660" s="5">
        <v>19</v>
      </c>
      <c r="N660" s="5">
        <v>2</v>
      </c>
      <c r="O660" s="5">
        <v>11</v>
      </c>
      <c r="P660" s="5"/>
    </row>
    <row r="661" spans="1:16" x14ac:dyDescent="0.25">
      <c r="A661" s="4" t="s">
        <v>21</v>
      </c>
      <c r="B661" s="4" t="s">
        <v>250</v>
      </c>
      <c r="C661" s="5">
        <v>38655</v>
      </c>
      <c r="D661" s="4" t="s">
        <v>33</v>
      </c>
      <c r="E661" s="4" t="s">
        <v>47</v>
      </c>
      <c r="F661" s="4" t="s">
        <v>52</v>
      </c>
      <c r="G661" s="4" t="s">
        <v>26</v>
      </c>
      <c r="H661" s="4" t="s">
        <v>27</v>
      </c>
      <c r="I661" s="4" t="s">
        <v>715</v>
      </c>
      <c r="J661" s="4" t="s">
        <v>715</v>
      </c>
      <c r="K661" s="5">
        <v>6079833</v>
      </c>
      <c r="L661" s="5">
        <v>284898</v>
      </c>
      <c r="M661" s="5">
        <v>19</v>
      </c>
      <c r="N661" s="5">
        <v>3</v>
      </c>
      <c r="O661" s="5">
        <v>186</v>
      </c>
      <c r="P661" s="5"/>
    </row>
    <row r="662" spans="1:16" x14ac:dyDescent="0.25">
      <c r="A662" s="4" t="s">
        <v>21</v>
      </c>
      <c r="B662" s="4" t="s">
        <v>250</v>
      </c>
      <c r="C662" s="5">
        <v>38658</v>
      </c>
      <c r="D662" s="4" t="s">
        <v>33</v>
      </c>
      <c r="E662" s="4" t="s">
        <v>66</v>
      </c>
      <c r="F662" s="4" t="s">
        <v>66</v>
      </c>
      <c r="G662" s="4" t="s">
        <v>26</v>
      </c>
      <c r="H662" s="4" t="s">
        <v>27</v>
      </c>
      <c r="I662" s="4" t="s">
        <v>715</v>
      </c>
      <c r="J662" s="4" t="s">
        <v>638</v>
      </c>
      <c r="K662" s="5">
        <v>6076234</v>
      </c>
      <c r="L662" s="5">
        <v>265132</v>
      </c>
      <c r="M662" s="5">
        <v>19</v>
      </c>
      <c r="N662" s="5">
        <v>1</v>
      </c>
      <c r="O662" s="5">
        <v>10.6</v>
      </c>
      <c r="P662" s="5"/>
    </row>
    <row r="663" spans="1:16" x14ac:dyDescent="0.25">
      <c r="A663" s="4" t="s">
        <v>21</v>
      </c>
      <c r="B663" s="4" t="s">
        <v>250</v>
      </c>
      <c r="C663" s="5">
        <v>38660</v>
      </c>
      <c r="D663" s="4" t="s">
        <v>33</v>
      </c>
      <c r="E663" s="4" t="s">
        <v>43</v>
      </c>
      <c r="F663" s="4" t="s">
        <v>161</v>
      </c>
      <c r="G663" s="4" t="s">
        <v>26</v>
      </c>
      <c r="H663" s="4" t="s">
        <v>27</v>
      </c>
      <c r="I663" s="4" t="s">
        <v>715</v>
      </c>
      <c r="J663" s="4" t="s">
        <v>638</v>
      </c>
      <c r="K663" s="5">
        <v>6074437</v>
      </c>
      <c r="L663" s="5">
        <v>279508</v>
      </c>
      <c r="M663" s="5">
        <v>19</v>
      </c>
      <c r="N663" s="5">
        <v>4</v>
      </c>
      <c r="O663" s="5">
        <v>18</v>
      </c>
      <c r="P663" s="5"/>
    </row>
    <row r="664" spans="1:16" x14ac:dyDescent="0.25">
      <c r="A664" s="4" t="s">
        <v>21</v>
      </c>
      <c r="B664" s="4" t="s">
        <v>250</v>
      </c>
      <c r="C664" s="5">
        <v>38721</v>
      </c>
      <c r="D664" s="4" t="s">
        <v>33</v>
      </c>
      <c r="E664" s="4" t="s">
        <v>133</v>
      </c>
      <c r="F664" s="4" t="s">
        <v>133</v>
      </c>
      <c r="G664" s="4" t="s">
        <v>26</v>
      </c>
      <c r="H664" s="4" t="s">
        <v>18</v>
      </c>
      <c r="I664" s="4" t="s">
        <v>715</v>
      </c>
      <c r="J664" s="4" t="s">
        <v>715</v>
      </c>
      <c r="K664" s="5">
        <v>6066650</v>
      </c>
      <c r="L664" s="5">
        <v>262257</v>
      </c>
      <c r="M664" s="5">
        <v>19</v>
      </c>
      <c r="N664" s="5">
        <v>1</v>
      </c>
      <c r="O664" s="5">
        <v>5.7</v>
      </c>
      <c r="P664" s="5"/>
    </row>
    <row r="665" spans="1:16" x14ac:dyDescent="0.25">
      <c r="A665" s="4" t="s">
        <v>21</v>
      </c>
      <c r="B665" s="4" t="s">
        <v>250</v>
      </c>
      <c r="C665" s="5">
        <v>38772</v>
      </c>
      <c r="D665" s="4" t="s">
        <v>33</v>
      </c>
      <c r="E665" s="4" t="s">
        <v>47</v>
      </c>
      <c r="F665" s="4" t="s">
        <v>268</v>
      </c>
      <c r="G665" s="4" t="s">
        <v>26</v>
      </c>
      <c r="H665" s="4" t="s">
        <v>173</v>
      </c>
      <c r="I665" s="4" t="s">
        <v>715</v>
      </c>
      <c r="J665" s="4" t="s">
        <v>715</v>
      </c>
      <c r="K665" s="5">
        <v>6088214</v>
      </c>
      <c r="L665" s="5">
        <v>286201</v>
      </c>
      <c r="M665" s="5">
        <v>19</v>
      </c>
      <c r="N665" s="5">
        <v>1</v>
      </c>
      <c r="O665" s="5">
        <v>3.47</v>
      </c>
      <c r="P665" s="5"/>
    </row>
    <row r="666" spans="1:16" x14ac:dyDescent="0.25">
      <c r="A666" s="4" t="s">
        <v>21</v>
      </c>
      <c r="B666" s="4" t="s">
        <v>250</v>
      </c>
      <c r="C666" s="5">
        <v>38783</v>
      </c>
      <c r="D666" s="4" t="s">
        <v>33</v>
      </c>
      <c r="E666" s="4" t="s">
        <v>167</v>
      </c>
      <c r="F666" s="4" t="s">
        <v>332</v>
      </c>
      <c r="G666" s="4" t="s">
        <v>26</v>
      </c>
      <c r="H666" s="4" t="s">
        <v>18</v>
      </c>
      <c r="I666" s="4" t="s">
        <v>715</v>
      </c>
      <c r="J666" s="4" t="s">
        <v>715</v>
      </c>
      <c r="K666" s="5">
        <v>6097018</v>
      </c>
      <c r="L666" s="5">
        <v>287240</v>
      </c>
      <c r="M666" s="5">
        <v>19</v>
      </c>
      <c r="N666" s="5">
        <v>1</v>
      </c>
      <c r="O666" s="5">
        <v>0.81</v>
      </c>
      <c r="P666" s="5"/>
    </row>
    <row r="667" spans="1:16" x14ac:dyDescent="0.25">
      <c r="A667" s="4" t="s">
        <v>21</v>
      </c>
      <c r="B667" s="4" t="s">
        <v>250</v>
      </c>
      <c r="C667" s="5">
        <v>38793</v>
      </c>
      <c r="D667" s="4" t="s">
        <v>33</v>
      </c>
      <c r="E667" s="4" t="s">
        <v>47</v>
      </c>
      <c r="F667" s="4" t="s">
        <v>68</v>
      </c>
      <c r="G667" s="4" t="s">
        <v>26</v>
      </c>
      <c r="H667" s="4" t="s">
        <v>27</v>
      </c>
      <c r="I667" s="4" t="s">
        <v>715</v>
      </c>
      <c r="J667" s="4" t="s">
        <v>638</v>
      </c>
      <c r="K667" s="5">
        <v>6081644</v>
      </c>
      <c r="L667" s="5">
        <v>269235</v>
      </c>
      <c r="M667" s="5">
        <v>19</v>
      </c>
      <c r="N667" s="5">
        <v>2</v>
      </c>
      <c r="O667" s="5">
        <v>9</v>
      </c>
      <c r="P667" s="5"/>
    </row>
    <row r="668" spans="1:16" x14ac:dyDescent="0.25">
      <c r="A668" s="4" t="s">
        <v>21</v>
      </c>
      <c r="B668" s="4" t="s">
        <v>250</v>
      </c>
      <c r="C668" s="5">
        <v>38805</v>
      </c>
      <c r="D668" s="4" t="s">
        <v>33</v>
      </c>
      <c r="E668" s="4" t="s">
        <v>45</v>
      </c>
      <c r="F668" s="4" t="s">
        <v>333</v>
      </c>
      <c r="G668" s="4" t="s">
        <v>26</v>
      </c>
      <c r="H668" s="4" t="s">
        <v>18</v>
      </c>
      <c r="I668" s="4" t="s">
        <v>715</v>
      </c>
      <c r="J668" s="4" t="s">
        <v>715</v>
      </c>
      <c r="K668" s="5">
        <v>6085818</v>
      </c>
      <c r="L668" s="5">
        <v>275018</v>
      </c>
      <c r="M668" s="5">
        <v>19</v>
      </c>
      <c r="N668" s="5">
        <v>1</v>
      </c>
      <c r="O668" s="5">
        <v>2.8</v>
      </c>
      <c r="P668" s="5"/>
    </row>
    <row r="669" spans="1:16" x14ac:dyDescent="0.25">
      <c r="A669" s="4" t="s">
        <v>21</v>
      </c>
      <c r="B669" s="4" t="s">
        <v>250</v>
      </c>
      <c r="C669" s="5">
        <v>38810</v>
      </c>
      <c r="D669" s="4" t="s">
        <v>33</v>
      </c>
      <c r="E669" s="4" t="s">
        <v>45</v>
      </c>
      <c r="F669" s="4" t="s">
        <v>333</v>
      </c>
      <c r="G669" s="4" t="s">
        <v>26</v>
      </c>
      <c r="H669" s="4" t="s">
        <v>18</v>
      </c>
      <c r="I669" s="4" t="s">
        <v>715</v>
      </c>
      <c r="J669" s="4" t="s">
        <v>715</v>
      </c>
      <c r="K669" s="5">
        <v>6085818</v>
      </c>
      <c r="L669" s="5">
        <v>275018</v>
      </c>
      <c r="M669" s="5">
        <v>19</v>
      </c>
      <c r="N669" s="5">
        <v>1</v>
      </c>
      <c r="O669" s="5">
        <v>0.4</v>
      </c>
      <c r="P669" s="5"/>
    </row>
    <row r="670" spans="1:16" x14ac:dyDescent="0.25">
      <c r="A670" s="4" t="s">
        <v>21</v>
      </c>
      <c r="B670" s="4" t="s">
        <v>250</v>
      </c>
      <c r="C670" s="5">
        <v>38827</v>
      </c>
      <c r="D670" s="4" t="s">
        <v>33</v>
      </c>
      <c r="E670" s="4" t="s">
        <v>137</v>
      </c>
      <c r="F670" s="4" t="s">
        <v>334</v>
      </c>
      <c r="G670" s="4" t="s">
        <v>26</v>
      </c>
      <c r="H670" s="4" t="s">
        <v>27</v>
      </c>
      <c r="I670" s="4" t="s">
        <v>715</v>
      </c>
      <c r="J670" s="4" t="s">
        <v>638</v>
      </c>
      <c r="K670" s="5">
        <v>6040399</v>
      </c>
      <c r="L670" s="5">
        <v>282936</v>
      </c>
      <c r="M670" s="5">
        <v>19</v>
      </c>
      <c r="N670" s="5">
        <v>2</v>
      </c>
      <c r="O670" s="5">
        <v>24</v>
      </c>
      <c r="P670" s="5"/>
    </row>
    <row r="671" spans="1:16" x14ac:dyDescent="0.25">
      <c r="A671" s="4" t="s">
        <v>21</v>
      </c>
      <c r="B671" s="4" t="s">
        <v>250</v>
      </c>
      <c r="C671" s="5">
        <v>38829</v>
      </c>
      <c r="D671" s="4" t="s">
        <v>33</v>
      </c>
      <c r="E671" s="4" t="s">
        <v>137</v>
      </c>
      <c r="F671" s="4" t="s">
        <v>334</v>
      </c>
      <c r="G671" s="4" t="s">
        <v>26</v>
      </c>
      <c r="H671" s="4" t="s">
        <v>27</v>
      </c>
      <c r="I671" s="4" t="s">
        <v>715</v>
      </c>
      <c r="J671" s="4" t="s">
        <v>638</v>
      </c>
      <c r="K671" s="5">
        <v>6041025</v>
      </c>
      <c r="L671" s="5">
        <v>281667</v>
      </c>
      <c r="M671" s="5">
        <v>19</v>
      </c>
      <c r="N671" s="5">
        <v>6</v>
      </c>
      <c r="O671" s="5">
        <v>71.400000000000006</v>
      </c>
      <c r="P671" s="5"/>
    </row>
    <row r="672" spans="1:16" x14ac:dyDescent="0.25">
      <c r="A672" s="4" t="s">
        <v>21</v>
      </c>
      <c r="B672" s="4" t="s">
        <v>250</v>
      </c>
      <c r="C672" s="5">
        <v>38835</v>
      </c>
      <c r="D672" s="4" t="s">
        <v>33</v>
      </c>
      <c r="E672" s="4" t="s">
        <v>47</v>
      </c>
      <c r="F672" s="4" t="s">
        <v>52</v>
      </c>
      <c r="G672" s="4" t="s">
        <v>26</v>
      </c>
      <c r="H672" s="4" t="s">
        <v>27</v>
      </c>
      <c r="I672" s="4" t="s">
        <v>715</v>
      </c>
      <c r="J672" s="4" t="s">
        <v>715</v>
      </c>
      <c r="K672" s="5">
        <v>6077167</v>
      </c>
      <c r="L672" s="5">
        <v>285073</v>
      </c>
      <c r="M672" s="5">
        <v>19</v>
      </c>
      <c r="N672" s="5">
        <v>1</v>
      </c>
      <c r="O672" s="5">
        <v>6.5</v>
      </c>
      <c r="P672" s="5"/>
    </row>
    <row r="673" spans="1:16" x14ac:dyDescent="0.25">
      <c r="A673" s="4" t="s">
        <v>21</v>
      </c>
      <c r="B673" s="4" t="s">
        <v>250</v>
      </c>
      <c r="C673" s="5">
        <v>38840</v>
      </c>
      <c r="D673" s="4" t="s">
        <v>33</v>
      </c>
      <c r="E673" s="4" t="s">
        <v>47</v>
      </c>
      <c r="F673" s="4" t="s">
        <v>68</v>
      </c>
      <c r="G673" s="4" t="s">
        <v>26</v>
      </c>
      <c r="H673" s="4" t="s">
        <v>27</v>
      </c>
      <c r="I673" s="4" t="s">
        <v>715</v>
      </c>
      <c r="J673" s="4" t="s">
        <v>638</v>
      </c>
      <c r="K673" s="5">
        <v>6083418</v>
      </c>
      <c r="L673" s="5">
        <v>268148</v>
      </c>
      <c r="M673" s="5">
        <v>19</v>
      </c>
      <c r="N673" s="5">
        <v>1</v>
      </c>
      <c r="O673" s="5">
        <v>5</v>
      </c>
      <c r="P673" s="5"/>
    </row>
    <row r="674" spans="1:16" x14ac:dyDescent="0.25">
      <c r="A674" s="4" t="s">
        <v>21</v>
      </c>
      <c r="B674" s="4" t="s">
        <v>250</v>
      </c>
      <c r="C674" s="5">
        <v>38842</v>
      </c>
      <c r="D674" s="4" t="s">
        <v>33</v>
      </c>
      <c r="E674" s="4" t="s">
        <v>47</v>
      </c>
      <c r="F674" s="4" t="s">
        <v>68</v>
      </c>
      <c r="G674" s="4" t="s">
        <v>26</v>
      </c>
      <c r="H674" s="4" t="s">
        <v>27</v>
      </c>
      <c r="I674" s="4" t="s">
        <v>715</v>
      </c>
      <c r="J674" s="4" t="s">
        <v>638</v>
      </c>
      <c r="K674" s="5">
        <v>6081370</v>
      </c>
      <c r="L674" s="5">
        <v>269260</v>
      </c>
      <c r="M674" s="5">
        <v>19</v>
      </c>
      <c r="N674" s="5">
        <v>1</v>
      </c>
      <c r="O674" s="5">
        <v>3</v>
      </c>
      <c r="P674" s="5"/>
    </row>
    <row r="675" spans="1:16" x14ac:dyDescent="0.25">
      <c r="A675" s="4" t="s">
        <v>21</v>
      </c>
      <c r="B675" s="4" t="s">
        <v>250</v>
      </c>
      <c r="C675" s="5">
        <v>38888</v>
      </c>
      <c r="D675" s="4" t="s">
        <v>33</v>
      </c>
      <c r="E675" s="4" t="s">
        <v>50</v>
      </c>
      <c r="F675" s="4" t="s">
        <v>335</v>
      </c>
      <c r="G675" s="4" t="s">
        <v>26</v>
      </c>
      <c r="H675" s="4" t="s">
        <v>173</v>
      </c>
      <c r="I675" s="4" t="s">
        <v>715</v>
      </c>
      <c r="J675" s="4" t="s">
        <v>715</v>
      </c>
      <c r="K675" s="5">
        <v>6127972</v>
      </c>
      <c r="L675" s="5">
        <v>312525</v>
      </c>
      <c r="M675" s="5">
        <v>19</v>
      </c>
      <c r="N675" s="5">
        <v>1</v>
      </c>
      <c r="O675" s="5">
        <v>3.74</v>
      </c>
      <c r="P675" s="5"/>
    </row>
    <row r="676" spans="1:16" x14ac:dyDescent="0.25">
      <c r="A676" s="4" t="s">
        <v>21</v>
      </c>
      <c r="B676" s="4" t="s">
        <v>250</v>
      </c>
      <c r="C676" s="5">
        <v>38918</v>
      </c>
      <c r="D676" s="4" t="s">
        <v>33</v>
      </c>
      <c r="E676" s="4" t="s">
        <v>122</v>
      </c>
      <c r="F676" s="4" t="s">
        <v>122</v>
      </c>
      <c r="G676" s="4" t="s">
        <v>26</v>
      </c>
      <c r="H676" s="4" t="s">
        <v>27</v>
      </c>
      <c r="I676" s="4" t="s">
        <v>715</v>
      </c>
      <c r="J676" s="4" t="s">
        <v>715</v>
      </c>
      <c r="K676" s="5">
        <v>6115477</v>
      </c>
      <c r="L676" s="5">
        <v>290567</v>
      </c>
      <c r="M676" s="5">
        <v>19</v>
      </c>
      <c r="N676" s="5">
        <v>1</v>
      </c>
      <c r="O676" s="5">
        <v>2.5</v>
      </c>
      <c r="P676" s="5"/>
    </row>
    <row r="677" spans="1:16" x14ac:dyDescent="0.25">
      <c r="A677" s="4" t="s">
        <v>21</v>
      </c>
      <c r="B677" s="4" t="s">
        <v>250</v>
      </c>
      <c r="C677" s="5">
        <v>38919</v>
      </c>
      <c r="D677" s="4" t="s">
        <v>33</v>
      </c>
      <c r="E677" s="4" t="s">
        <v>47</v>
      </c>
      <c r="F677" s="4" t="s">
        <v>336</v>
      </c>
      <c r="G677" s="4" t="s">
        <v>26</v>
      </c>
      <c r="H677" s="4" t="s">
        <v>27</v>
      </c>
      <c r="I677" s="4" t="s">
        <v>715</v>
      </c>
      <c r="J677" s="4" t="s">
        <v>715</v>
      </c>
      <c r="K677" s="5">
        <v>6080634</v>
      </c>
      <c r="L677" s="5">
        <v>283459</v>
      </c>
      <c r="M677" s="5">
        <v>19</v>
      </c>
      <c r="N677" s="5">
        <v>1</v>
      </c>
      <c r="O677" s="5">
        <v>3</v>
      </c>
      <c r="P677" s="5"/>
    </row>
    <row r="678" spans="1:16" x14ac:dyDescent="0.25">
      <c r="A678" s="4" t="s">
        <v>21</v>
      </c>
      <c r="B678" s="4" t="s">
        <v>250</v>
      </c>
      <c r="C678" s="5">
        <v>38951</v>
      </c>
      <c r="D678" s="4" t="s">
        <v>33</v>
      </c>
      <c r="E678" s="4" t="s">
        <v>35</v>
      </c>
      <c r="F678" s="4" t="s">
        <v>140</v>
      </c>
      <c r="G678" s="4" t="s">
        <v>26</v>
      </c>
      <c r="H678" s="4" t="s">
        <v>18</v>
      </c>
      <c r="I678" s="4" t="s">
        <v>715</v>
      </c>
      <c r="J678" s="4" t="s">
        <v>715</v>
      </c>
      <c r="K678" s="5">
        <v>6140618</v>
      </c>
      <c r="L678" s="5">
        <v>310334</v>
      </c>
      <c r="M678" s="5">
        <v>19</v>
      </c>
      <c r="N678" s="5">
        <v>1</v>
      </c>
      <c r="O678" s="5">
        <v>0.4</v>
      </c>
      <c r="P678" s="5"/>
    </row>
    <row r="679" spans="1:16" x14ac:dyDescent="0.25">
      <c r="A679" s="4" t="s">
        <v>21</v>
      </c>
      <c r="B679" s="4" t="s">
        <v>250</v>
      </c>
      <c r="C679" s="5">
        <v>38953</v>
      </c>
      <c r="D679" s="4" t="s">
        <v>33</v>
      </c>
      <c r="E679" s="4" t="s">
        <v>35</v>
      </c>
      <c r="F679" s="4" t="s">
        <v>140</v>
      </c>
      <c r="G679" s="4" t="s">
        <v>26</v>
      </c>
      <c r="H679" s="4" t="s">
        <v>18</v>
      </c>
      <c r="I679" s="4" t="s">
        <v>715</v>
      </c>
      <c r="J679" s="4" t="s">
        <v>715</v>
      </c>
      <c r="K679" s="5">
        <v>6139712</v>
      </c>
      <c r="L679" s="5">
        <v>310403</v>
      </c>
      <c r="M679" s="5">
        <v>19</v>
      </c>
      <c r="N679" s="5">
        <v>1</v>
      </c>
      <c r="O679" s="5">
        <v>0.4</v>
      </c>
      <c r="P679" s="5"/>
    </row>
    <row r="680" spans="1:16" x14ac:dyDescent="0.25">
      <c r="A680" s="4" t="s">
        <v>21</v>
      </c>
      <c r="B680" s="4" t="s">
        <v>250</v>
      </c>
      <c r="C680" s="5">
        <v>38956</v>
      </c>
      <c r="D680" s="4" t="s">
        <v>33</v>
      </c>
      <c r="E680" s="4" t="s">
        <v>50</v>
      </c>
      <c r="F680" s="4" t="s">
        <v>337</v>
      </c>
      <c r="G680" s="4" t="s">
        <v>26</v>
      </c>
      <c r="H680" s="4" t="s">
        <v>173</v>
      </c>
      <c r="I680" s="4" t="s">
        <v>715</v>
      </c>
      <c r="J680" s="4" t="s">
        <v>715</v>
      </c>
      <c r="K680" s="5">
        <v>6128870</v>
      </c>
      <c r="L680" s="5">
        <v>308285</v>
      </c>
      <c r="M680" s="5">
        <v>19</v>
      </c>
      <c r="N680" s="5">
        <v>1</v>
      </c>
      <c r="O680" s="5">
        <v>4.67</v>
      </c>
      <c r="P680" s="5"/>
    </row>
    <row r="681" spans="1:16" x14ac:dyDescent="0.25">
      <c r="A681" s="4" t="s">
        <v>21</v>
      </c>
      <c r="B681" s="4" t="s">
        <v>250</v>
      </c>
      <c r="C681" s="5">
        <v>38991</v>
      </c>
      <c r="D681" s="4" t="s">
        <v>33</v>
      </c>
      <c r="E681" s="4" t="s">
        <v>47</v>
      </c>
      <c r="F681" s="4" t="s">
        <v>307</v>
      </c>
      <c r="G681" s="4" t="s">
        <v>26</v>
      </c>
      <c r="H681" s="4" t="s">
        <v>27</v>
      </c>
      <c r="I681" s="4" t="s">
        <v>715</v>
      </c>
      <c r="J681" s="4" t="s">
        <v>715</v>
      </c>
      <c r="K681" s="5">
        <v>6080182</v>
      </c>
      <c r="L681" s="5">
        <v>283695</v>
      </c>
      <c r="M681" s="5">
        <v>19</v>
      </c>
      <c r="N681" s="5">
        <v>1</v>
      </c>
      <c r="O681" s="5">
        <v>7</v>
      </c>
      <c r="P681" s="5"/>
    </row>
    <row r="682" spans="1:16" x14ac:dyDescent="0.25">
      <c r="A682" s="4" t="s">
        <v>21</v>
      </c>
      <c r="B682" s="4" t="s">
        <v>250</v>
      </c>
      <c r="C682" s="5">
        <v>39003</v>
      </c>
      <c r="D682" s="4" t="s">
        <v>33</v>
      </c>
      <c r="E682" s="4" t="s">
        <v>47</v>
      </c>
      <c r="F682" s="4" t="s">
        <v>52</v>
      </c>
      <c r="G682" s="4" t="s">
        <v>26</v>
      </c>
      <c r="H682" s="4" t="s">
        <v>27</v>
      </c>
      <c r="I682" s="4" t="s">
        <v>715</v>
      </c>
      <c r="J682" s="4" t="s">
        <v>715</v>
      </c>
      <c r="K682" s="5">
        <v>6077772</v>
      </c>
      <c r="L682" s="5">
        <v>285277</v>
      </c>
      <c r="M682" s="5">
        <v>19</v>
      </c>
      <c r="N682" s="5">
        <v>1</v>
      </c>
      <c r="O682" s="5">
        <v>42</v>
      </c>
      <c r="P682" s="5"/>
    </row>
    <row r="683" spans="1:16" x14ac:dyDescent="0.25">
      <c r="A683" s="4" t="s">
        <v>21</v>
      </c>
      <c r="B683" s="4" t="s">
        <v>250</v>
      </c>
      <c r="C683" s="5">
        <v>39015</v>
      </c>
      <c r="D683" s="4" t="s">
        <v>33</v>
      </c>
      <c r="E683" s="4" t="s">
        <v>167</v>
      </c>
      <c r="F683" s="4" t="s">
        <v>338</v>
      </c>
      <c r="G683" s="4" t="s">
        <v>26</v>
      </c>
      <c r="H683" s="4" t="s">
        <v>128</v>
      </c>
      <c r="I683" s="4" t="s">
        <v>715</v>
      </c>
      <c r="J683" s="4" t="s">
        <v>638</v>
      </c>
      <c r="K683" s="5">
        <v>6096922</v>
      </c>
      <c r="L683" s="5">
        <v>297327</v>
      </c>
      <c r="M683" s="5">
        <v>19</v>
      </c>
      <c r="N683" s="5">
        <v>1</v>
      </c>
      <c r="O683" s="5">
        <v>0.4</v>
      </c>
      <c r="P683" s="5"/>
    </row>
    <row r="684" spans="1:16" x14ac:dyDescent="0.25">
      <c r="A684" s="4" t="s">
        <v>21</v>
      </c>
      <c r="B684" s="4" t="s">
        <v>250</v>
      </c>
      <c r="C684" s="5">
        <v>39017</v>
      </c>
      <c r="D684" s="4" t="s">
        <v>33</v>
      </c>
      <c r="E684" s="4" t="s">
        <v>167</v>
      </c>
      <c r="F684" s="4" t="s">
        <v>338</v>
      </c>
      <c r="G684" s="4" t="s">
        <v>26</v>
      </c>
      <c r="H684" s="4" t="s">
        <v>18</v>
      </c>
      <c r="I684" s="4" t="s">
        <v>715</v>
      </c>
      <c r="J684" s="4" t="s">
        <v>715</v>
      </c>
      <c r="K684" s="5">
        <v>6096922</v>
      </c>
      <c r="L684" s="5">
        <v>297327</v>
      </c>
      <c r="M684" s="5">
        <v>19</v>
      </c>
      <c r="N684" s="5">
        <v>1</v>
      </c>
      <c r="O684" s="5">
        <v>0.4</v>
      </c>
      <c r="P684" s="5"/>
    </row>
    <row r="685" spans="1:16" x14ac:dyDescent="0.25">
      <c r="A685" s="4" t="s">
        <v>21</v>
      </c>
      <c r="B685" s="4" t="s">
        <v>250</v>
      </c>
      <c r="C685" s="5">
        <v>39020</v>
      </c>
      <c r="D685" s="4" t="s">
        <v>33</v>
      </c>
      <c r="E685" s="4" t="s">
        <v>167</v>
      </c>
      <c r="F685" s="4" t="s">
        <v>338</v>
      </c>
      <c r="G685" s="4" t="s">
        <v>26</v>
      </c>
      <c r="H685" s="4" t="s">
        <v>18</v>
      </c>
      <c r="I685" s="4" t="s">
        <v>715</v>
      </c>
      <c r="J685" s="4" t="s">
        <v>715</v>
      </c>
      <c r="K685" s="5">
        <v>6096922</v>
      </c>
      <c r="L685" s="5">
        <v>297327</v>
      </c>
      <c r="M685" s="5">
        <v>19</v>
      </c>
      <c r="N685" s="5">
        <v>1</v>
      </c>
      <c r="O685" s="5">
        <v>0.8</v>
      </c>
      <c r="P685" s="5"/>
    </row>
    <row r="686" spans="1:16" x14ac:dyDescent="0.25">
      <c r="A686" s="4" t="s">
        <v>21</v>
      </c>
      <c r="B686" s="4" t="s">
        <v>250</v>
      </c>
      <c r="C686" s="5">
        <v>39022</v>
      </c>
      <c r="D686" s="4" t="s">
        <v>33</v>
      </c>
      <c r="E686" s="4" t="s">
        <v>167</v>
      </c>
      <c r="F686" s="4" t="s">
        <v>315</v>
      </c>
      <c r="G686" s="4" t="s">
        <v>26</v>
      </c>
      <c r="H686" s="4" t="s">
        <v>18</v>
      </c>
      <c r="I686" s="4" t="s">
        <v>715</v>
      </c>
      <c r="J686" s="4" t="s">
        <v>715</v>
      </c>
      <c r="K686" s="5">
        <v>6100883</v>
      </c>
      <c r="L686" s="5">
        <v>289325</v>
      </c>
      <c r="M686" s="5">
        <v>19</v>
      </c>
      <c r="N686" s="5">
        <v>1</v>
      </c>
      <c r="O686" s="5">
        <v>2.8</v>
      </c>
      <c r="P686" s="5"/>
    </row>
    <row r="687" spans="1:16" x14ac:dyDescent="0.25">
      <c r="A687" s="4" t="s">
        <v>21</v>
      </c>
      <c r="B687" s="4" t="s">
        <v>250</v>
      </c>
      <c r="C687" s="5">
        <v>39034</v>
      </c>
      <c r="D687" s="4" t="s">
        <v>33</v>
      </c>
      <c r="E687" s="4" t="s">
        <v>47</v>
      </c>
      <c r="F687" s="4" t="s">
        <v>307</v>
      </c>
      <c r="G687" s="4" t="s">
        <v>26</v>
      </c>
      <c r="H687" s="4" t="s">
        <v>27</v>
      </c>
      <c r="I687" s="4" t="s">
        <v>715</v>
      </c>
      <c r="J687" s="4" t="s">
        <v>638</v>
      </c>
      <c r="K687" s="5">
        <v>6081269</v>
      </c>
      <c r="L687" s="5">
        <v>284439</v>
      </c>
      <c r="M687" s="5">
        <v>19</v>
      </c>
      <c r="N687" s="5">
        <v>2</v>
      </c>
      <c r="O687" s="5">
        <v>6.5</v>
      </c>
      <c r="P687" s="5"/>
    </row>
    <row r="688" spans="1:16" x14ac:dyDescent="0.25">
      <c r="A688" s="4" t="s">
        <v>21</v>
      </c>
      <c r="B688" s="4" t="s">
        <v>250</v>
      </c>
      <c r="C688" s="5">
        <v>39047</v>
      </c>
      <c r="D688" s="4" t="s">
        <v>33</v>
      </c>
      <c r="E688" s="4" t="s">
        <v>43</v>
      </c>
      <c r="F688" s="4" t="s">
        <v>161</v>
      </c>
      <c r="G688" s="4" t="s">
        <v>26</v>
      </c>
      <c r="H688" s="4" t="s">
        <v>27</v>
      </c>
      <c r="I688" s="4" t="s">
        <v>715</v>
      </c>
      <c r="J688" s="4" t="s">
        <v>638</v>
      </c>
      <c r="K688" s="5">
        <v>6074286</v>
      </c>
      <c r="L688" s="5">
        <v>279352</v>
      </c>
      <c r="M688" s="5">
        <v>19</v>
      </c>
      <c r="N688" s="5">
        <v>6</v>
      </c>
      <c r="O688" s="5">
        <v>25.2</v>
      </c>
      <c r="P688" s="5"/>
    </row>
    <row r="689" spans="1:16" x14ac:dyDescent="0.25">
      <c r="A689" s="4" t="s">
        <v>21</v>
      </c>
      <c r="B689" s="4" t="s">
        <v>250</v>
      </c>
      <c r="C689" s="5">
        <v>39051</v>
      </c>
      <c r="D689" s="4" t="s">
        <v>33</v>
      </c>
      <c r="E689" s="4" t="s">
        <v>45</v>
      </c>
      <c r="F689" s="4" t="s">
        <v>261</v>
      </c>
      <c r="G689" s="4" t="s">
        <v>26</v>
      </c>
      <c r="H689" s="4" t="s">
        <v>128</v>
      </c>
      <c r="I689" s="4" t="s">
        <v>715</v>
      </c>
      <c r="J689" s="4" t="s">
        <v>638</v>
      </c>
      <c r="K689" s="5">
        <v>6088910</v>
      </c>
      <c r="L689" s="5">
        <v>280167</v>
      </c>
      <c r="M689" s="5">
        <v>19</v>
      </c>
      <c r="N689" s="5">
        <v>1</v>
      </c>
      <c r="O689" s="5">
        <v>0.4</v>
      </c>
      <c r="P689" s="5"/>
    </row>
    <row r="690" spans="1:16" x14ac:dyDescent="0.25">
      <c r="A690" s="4" t="s">
        <v>21</v>
      </c>
      <c r="B690" s="4" t="s">
        <v>250</v>
      </c>
      <c r="C690" s="5">
        <v>39054</v>
      </c>
      <c r="D690" s="4" t="s">
        <v>33</v>
      </c>
      <c r="E690" s="4" t="s">
        <v>45</v>
      </c>
      <c r="F690" s="4" t="s">
        <v>261</v>
      </c>
      <c r="G690" s="4" t="s">
        <v>26</v>
      </c>
      <c r="H690" s="4" t="s">
        <v>18</v>
      </c>
      <c r="I690" s="4" t="s">
        <v>715</v>
      </c>
      <c r="J690" s="4" t="s">
        <v>715</v>
      </c>
      <c r="K690" s="5">
        <v>6088910</v>
      </c>
      <c r="L690" s="5">
        <v>280167</v>
      </c>
      <c r="M690" s="5">
        <v>19</v>
      </c>
      <c r="N690" s="5">
        <v>1</v>
      </c>
      <c r="O690" s="5">
        <v>0.4</v>
      </c>
      <c r="P690" s="5"/>
    </row>
    <row r="691" spans="1:16" x14ac:dyDescent="0.25">
      <c r="A691" s="4" t="s">
        <v>21</v>
      </c>
      <c r="B691" s="4" t="s">
        <v>250</v>
      </c>
      <c r="C691" s="5">
        <v>39059</v>
      </c>
      <c r="D691" s="4" t="s">
        <v>33</v>
      </c>
      <c r="E691" s="4" t="s">
        <v>167</v>
      </c>
      <c r="F691" s="4" t="s">
        <v>339</v>
      </c>
      <c r="G691" s="4" t="s">
        <v>26</v>
      </c>
      <c r="H691" s="4" t="s">
        <v>27</v>
      </c>
      <c r="I691" s="4" t="s">
        <v>715</v>
      </c>
      <c r="J691" s="4" t="s">
        <v>638</v>
      </c>
      <c r="K691" s="5">
        <v>6096007</v>
      </c>
      <c r="L691" s="5">
        <v>291028</v>
      </c>
      <c r="M691" s="5">
        <v>19</v>
      </c>
      <c r="N691" s="5">
        <v>2</v>
      </c>
      <c r="O691" s="5">
        <v>30</v>
      </c>
      <c r="P691" s="5"/>
    </row>
    <row r="692" spans="1:16" x14ac:dyDescent="0.25">
      <c r="A692" s="4" t="s">
        <v>21</v>
      </c>
      <c r="B692" s="4" t="s">
        <v>250</v>
      </c>
      <c r="C692" s="5">
        <v>39064</v>
      </c>
      <c r="D692" s="4" t="s">
        <v>33</v>
      </c>
      <c r="E692" s="4" t="s">
        <v>47</v>
      </c>
      <c r="F692" s="4" t="s">
        <v>307</v>
      </c>
      <c r="G692" s="4" t="s">
        <v>26</v>
      </c>
      <c r="H692" s="4" t="s">
        <v>27</v>
      </c>
      <c r="I692" s="4" t="s">
        <v>715</v>
      </c>
      <c r="J692" s="4" t="s">
        <v>638</v>
      </c>
      <c r="K692" s="5">
        <v>6081157</v>
      </c>
      <c r="L692" s="5">
        <v>284891</v>
      </c>
      <c r="M692" s="5">
        <v>19</v>
      </c>
      <c r="N692" s="5">
        <v>4</v>
      </c>
      <c r="O692" s="5">
        <v>12</v>
      </c>
      <c r="P692" s="5"/>
    </row>
    <row r="693" spans="1:16" x14ac:dyDescent="0.25">
      <c r="A693" s="4" t="s">
        <v>21</v>
      </c>
      <c r="B693" s="4" t="s">
        <v>250</v>
      </c>
      <c r="C693" s="5">
        <v>39071</v>
      </c>
      <c r="D693" s="4" t="s">
        <v>33</v>
      </c>
      <c r="E693" s="4" t="s">
        <v>47</v>
      </c>
      <c r="F693" s="4" t="s">
        <v>307</v>
      </c>
      <c r="G693" s="4" t="s">
        <v>26</v>
      </c>
      <c r="H693" s="4" t="s">
        <v>27</v>
      </c>
      <c r="I693" s="4" t="s">
        <v>715</v>
      </c>
      <c r="J693" s="4" t="s">
        <v>638</v>
      </c>
      <c r="K693" s="5">
        <v>6080770</v>
      </c>
      <c r="L693" s="5">
        <v>284259</v>
      </c>
      <c r="M693" s="5">
        <v>19</v>
      </c>
      <c r="N693" s="5">
        <v>2</v>
      </c>
      <c r="O693" s="5">
        <v>8</v>
      </c>
      <c r="P693" s="5"/>
    </row>
    <row r="694" spans="1:16" x14ac:dyDescent="0.25">
      <c r="A694" s="4" t="s">
        <v>21</v>
      </c>
      <c r="B694" s="4" t="s">
        <v>250</v>
      </c>
      <c r="C694" s="5">
        <v>39079</v>
      </c>
      <c r="D694" s="4" t="s">
        <v>33</v>
      </c>
      <c r="E694" s="4" t="s">
        <v>47</v>
      </c>
      <c r="F694" s="4" t="s">
        <v>52</v>
      </c>
      <c r="G694" s="4" t="s">
        <v>26</v>
      </c>
      <c r="H694" s="4" t="s">
        <v>27</v>
      </c>
      <c r="I694" s="4" t="s">
        <v>715</v>
      </c>
      <c r="J694" s="4" t="s">
        <v>638</v>
      </c>
      <c r="K694" s="5">
        <v>6078921</v>
      </c>
      <c r="L694" s="5">
        <v>282658</v>
      </c>
      <c r="M694" s="5">
        <v>19</v>
      </c>
      <c r="N694" s="5">
        <v>1</v>
      </c>
      <c r="O694" s="5">
        <v>13</v>
      </c>
      <c r="P694" s="5"/>
    </row>
    <row r="695" spans="1:16" x14ac:dyDescent="0.25">
      <c r="A695" s="4" t="s">
        <v>21</v>
      </c>
      <c r="B695" s="4" t="s">
        <v>250</v>
      </c>
      <c r="C695" s="5">
        <v>39111</v>
      </c>
      <c r="D695" s="4" t="s">
        <v>33</v>
      </c>
      <c r="E695" s="4" t="s">
        <v>247</v>
      </c>
      <c r="F695" s="4" t="s">
        <v>247</v>
      </c>
      <c r="G695" s="4" t="s">
        <v>26</v>
      </c>
      <c r="H695" s="4" t="s">
        <v>27</v>
      </c>
      <c r="I695" s="4" t="s">
        <v>715</v>
      </c>
      <c r="J695" s="4" t="s">
        <v>715</v>
      </c>
      <c r="K695" s="5">
        <v>6114116</v>
      </c>
      <c r="L695" s="5">
        <v>272980</v>
      </c>
      <c r="M695" s="5">
        <v>19</v>
      </c>
      <c r="N695" s="5">
        <v>3</v>
      </c>
      <c r="O695" s="5">
        <v>98</v>
      </c>
      <c r="P695" s="5"/>
    </row>
    <row r="696" spans="1:16" x14ac:dyDescent="0.25">
      <c r="A696" s="4" t="s">
        <v>21</v>
      </c>
      <c r="B696" s="4" t="s">
        <v>250</v>
      </c>
      <c r="C696" s="5">
        <v>39112</v>
      </c>
      <c r="D696" s="4" t="s">
        <v>33</v>
      </c>
      <c r="E696" s="4" t="s">
        <v>45</v>
      </c>
      <c r="F696" s="4" t="s">
        <v>303</v>
      </c>
      <c r="G696" s="4" t="s">
        <v>26</v>
      </c>
      <c r="H696" s="4" t="s">
        <v>27</v>
      </c>
      <c r="I696" s="4" t="s">
        <v>715</v>
      </c>
      <c r="J696" s="4" t="s">
        <v>638</v>
      </c>
      <c r="K696" s="5">
        <v>6085981</v>
      </c>
      <c r="L696" s="5">
        <v>272178</v>
      </c>
      <c r="M696" s="5">
        <v>19</v>
      </c>
      <c r="N696" s="5">
        <v>1</v>
      </c>
      <c r="O696" s="5">
        <v>4</v>
      </c>
      <c r="P696" s="5"/>
    </row>
    <row r="697" spans="1:16" x14ac:dyDescent="0.25">
      <c r="A697" s="4" t="s">
        <v>21</v>
      </c>
      <c r="B697" s="4" t="s">
        <v>250</v>
      </c>
      <c r="C697" s="5">
        <v>39211</v>
      </c>
      <c r="D697" s="4" t="s">
        <v>33</v>
      </c>
      <c r="E697" s="4" t="s">
        <v>50</v>
      </c>
      <c r="F697" s="4" t="s">
        <v>340</v>
      </c>
      <c r="G697" s="4" t="s">
        <v>26</v>
      </c>
      <c r="H697" s="4" t="s">
        <v>128</v>
      </c>
      <c r="I697" s="4" t="s">
        <v>715</v>
      </c>
      <c r="J697" s="4" t="s">
        <v>638</v>
      </c>
      <c r="K697" s="5">
        <v>6128074</v>
      </c>
      <c r="L697" s="5">
        <v>314218</v>
      </c>
      <c r="M697" s="5">
        <v>19</v>
      </c>
      <c r="N697" s="5">
        <v>1</v>
      </c>
      <c r="O697" s="5">
        <v>3</v>
      </c>
      <c r="P697" s="5"/>
    </row>
    <row r="698" spans="1:16" x14ac:dyDescent="0.25">
      <c r="A698" s="4" t="s">
        <v>21</v>
      </c>
      <c r="B698" s="4" t="s">
        <v>250</v>
      </c>
      <c r="C698" s="5">
        <v>39212</v>
      </c>
      <c r="D698" s="4" t="s">
        <v>33</v>
      </c>
      <c r="E698" s="4" t="s">
        <v>50</v>
      </c>
      <c r="F698" s="4" t="s">
        <v>341</v>
      </c>
      <c r="G698" s="4" t="s">
        <v>26</v>
      </c>
      <c r="H698" s="4" t="s">
        <v>18</v>
      </c>
      <c r="I698" s="4" t="s">
        <v>715</v>
      </c>
      <c r="J698" s="4" t="s">
        <v>715</v>
      </c>
      <c r="K698" s="5">
        <v>6123660</v>
      </c>
      <c r="L698" s="5">
        <v>313896</v>
      </c>
      <c r="M698" s="5">
        <v>19</v>
      </c>
      <c r="N698" s="5">
        <v>1</v>
      </c>
      <c r="O698" s="5">
        <v>0.4</v>
      </c>
      <c r="P698" s="5"/>
    </row>
    <row r="699" spans="1:16" x14ac:dyDescent="0.25">
      <c r="A699" s="4" t="s">
        <v>21</v>
      </c>
      <c r="B699" s="4" t="s">
        <v>250</v>
      </c>
      <c r="C699" s="5">
        <v>39214</v>
      </c>
      <c r="D699" s="4" t="s">
        <v>33</v>
      </c>
      <c r="E699" s="4" t="s">
        <v>50</v>
      </c>
      <c r="F699" s="4" t="s">
        <v>342</v>
      </c>
      <c r="G699" s="4" t="s">
        <v>26</v>
      </c>
      <c r="H699" s="4" t="s">
        <v>18</v>
      </c>
      <c r="I699" s="4" t="s">
        <v>715</v>
      </c>
      <c r="J699" s="4" t="s">
        <v>715</v>
      </c>
      <c r="K699" s="5">
        <v>6130864</v>
      </c>
      <c r="L699" s="5">
        <v>311006</v>
      </c>
      <c r="M699" s="5">
        <v>19</v>
      </c>
      <c r="N699" s="5">
        <v>1</v>
      </c>
      <c r="O699" s="5">
        <v>2.4</v>
      </c>
      <c r="P699" s="5"/>
    </row>
    <row r="700" spans="1:16" x14ac:dyDescent="0.25">
      <c r="A700" s="4" t="s">
        <v>21</v>
      </c>
      <c r="B700" s="4" t="s">
        <v>250</v>
      </c>
      <c r="C700" s="5">
        <v>39230</v>
      </c>
      <c r="D700" s="4" t="s">
        <v>33</v>
      </c>
      <c r="E700" s="4" t="s">
        <v>137</v>
      </c>
      <c r="F700" s="4" t="s">
        <v>165</v>
      </c>
      <c r="G700" s="4" t="s">
        <v>26</v>
      </c>
      <c r="H700" s="4" t="s">
        <v>18</v>
      </c>
      <c r="I700" s="4" t="s">
        <v>715</v>
      </c>
      <c r="J700" s="4" t="s">
        <v>715</v>
      </c>
      <c r="K700" s="5">
        <v>6050892</v>
      </c>
      <c r="L700" s="5">
        <v>278491</v>
      </c>
      <c r="M700" s="5">
        <v>19</v>
      </c>
      <c r="N700" s="5">
        <v>1</v>
      </c>
      <c r="O700" s="5">
        <v>0.4</v>
      </c>
      <c r="P700" s="5"/>
    </row>
    <row r="701" spans="1:16" x14ac:dyDescent="0.25">
      <c r="A701" s="4" t="s">
        <v>21</v>
      </c>
      <c r="B701" s="4" t="s">
        <v>250</v>
      </c>
      <c r="C701" s="5">
        <v>39233</v>
      </c>
      <c r="D701" s="4" t="s">
        <v>33</v>
      </c>
      <c r="E701" s="4" t="s">
        <v>66</v>
      </c>
      <c r="F701" s="4" t="s">
        <v>288</v>
      </c>
      <c r="G701" s="4" t="s">
        <v>26</v>
      </c>
      <c r="H701" s="4" t="s">
        <v>18</v>
      </c>
      <c r="I701" s="4" t="s">
        <v>715</v>
      </c>
      <c r="J701" s="4" t="s">
        <v>715</v>
      </c>
      <c r="K701" s="5">
        <v>6068722</v>
      </c>
      <c r="L701" s="5">
        <v>287164</v>
      </c>
      <c r="M701" s="5">
        <v>19</v>
      </c>
      <c r="N701" s="5">
        <v>1</v>
      </c>
      <c r="O701" s="5">
        <v>0.4</v>
      </c>
      <c r="P701" s="5"/>
    </row>
    <row r="702" spans="1:16" x14ac:dyDescent="0.25">
      <c r="A702" s="4" t="s">
        <v>21</v>
      </c>
      <c r="B702" s="4" t="s">
        <v>250</v>
      </c>
      <c r="C702" s="5">
        <v>39239</v>
      </c>
      <c r="D702" s="4" t="s">
        <v>33</v>
      </c>
      <c r="E702" s="4" t="s">
        <v>43</v>
      </c>
      <c r="F702" s="4" t="s">
        <v>343</v>
      </c>
      <c r="G702" s="4" t="s">
        <v>26</v>
      </c>
      <c r="H702" s="4" t="s">
        <v>18</v>
      </c>
      <c r="I702" s="4" t="s">
        <v>715</v>
      </c>
      <c r="J702" s="4" t="s">
        <v>715</v>
      </c>
      <c r="K702" s="5">
        <v>6056916</v>
      </c>
      <c r="L702" s="5">
        <v>285402</v>
      </c>
      <c r="M702" s="5">
        <v>19</v>
      </c>
      <c r="N702" s="5">
        <v>1</v>
      </c>
      <c r="O702" s="5">
        <v>0.4</v>
      </c>
      <c r="P702" s="5"/>
    </row>
    <row r="703" spans="1:16" x14ac:dyDescent="0.25">
      <c r="A703" s="4" t="s">
        <v>21</v>
      </c>
      <c r="B703" s="4" t="s">
        <v>250</v>
      </c>
      <c r="C703" s="5">
        <v>39241</v>
      </c>
      <c r="D703" s="4" t="s">
        <v>33</v>
      </c>
      <c r="E703" s="4" t="s">
        <v>43</v>
      </c>
      <c r="F703" s="4" t="s">
        <v>343</v>
      </c>
      <c r="G703" s="4" t="s">
        <v>26</v>
      </c>
      <c r="H703" s="4" t="s">
        <v>18</v>
      </c>
      <c r="I703" s="4" t="s">
        <v>715</v>
      </c>
      <c r="J703" s="4" t="s">
        <v>715</v>
      </c>
      <c r="K703" s="5">
        <v>6056514</v>
      </c>
      <c r="L703" s="5">
        <v>285416</v>
      </c>
      <c r="M703" s="5">
        <v>19</v>
      </c>
      <c r="N703" s="5">
        <v>1</v>
      </c>
      <c r="O703" s="5">
        <v>0.4</v>
      </c>
      <c r="P703" s="5"/>
    </row>
    <row r="704" spans="1:16" x14ac:dyDescent="0.25">
      <c r="A704" s="4" t="s">
        <v>21</v>
      </c>
      <c r="B704" s="4" t="s">
        <v>250</v>
      </c>
      <c r="C704" s="5">
        <v>39384</v>
      </c>
      <c r="D704" s="4" t="s">
        <v>33</v>
      </c>
      <c r="E704" s="4" t="s">
        <v>146</v>
      </c>
      <c r="F704" s="4" t="s">
        <v>165</v>
      </c>
      <c r="G704" s="4" t="s">
        <v>26</v>
      </c>
      <c r="H704" s="4" t="s">
        <v>27</v>
      </c>
      <c r="I704" s="4" t="s">
        <v>715</v>
      </c>
      <c r="J704" s="4" t="s">
        <v>715</v>
      </c>
      <c r="K704" s="5">
        <v>6051351</v>
      </c>
      <c r="L704" s="5">
        <v>277761</v>
      </c>
      <c r="M704" s="5">
        <v>19</v>
      </c>
      <c r="N704" s="5">
        <v>1</v>
      </c>
      <c r="O704" s="5">
        <v>0.61</v>
      </c>
      <c r="P704" s="5"/>
    </row>
    <row r="705" spans="1:16" x14ac:dyDescent="0.25">
      <c r="A705" s="4" t="s">
        <v>21</v>
      </c>
      <c r="B705" s="4" t="s">
        <v>250</v>
      </c>
      <c r="C705" s="5">
        <v>39385</v>
      </c>
      <c r="D705" s="4" t="s">
        <v>33</v>
      </c>
      <c r="E705" s="4" t="s">
        <v>146</v>
      </c>
      <c r="F705" s="4" t="s">
        <v>165</v>
      </c>
      <c r="G705" s="4" t="s">
        <v>26</v>
      </c>
      <c r="H705" s="4" t="s">
        <v>27</v>
      </c>
      <c r="I705" s="4" t="s">
        <v>715</v>
      </c>
      <c r="J705" s="4" t="s">
        <v>715</v>
      </c>
      <c r="K705" s="5">
        <v>6051351</v>
      </c>
      <c r="L705" s="5">
        <v>277761</v>
      </c>
      <c r="M705" s="5">
        <v>19</v>
      </c>
      <c r="N705" s="5">
        <v>1</v>
      </c>
      <c r="O705" s="5">
        <v>0.61</v>
      </c>
      <c r="P705" s="5"/>
    </row>
    <row r="706" spans="1:16" x14ac:dyDescent="0.25">
      <c r="A706" s="4" t="s">
        <v>21</v>
      </c>
      <c r="B706" s="4" t="s">
        <v>250</v>
      </c>
      <c r="C706" s="5">
        <v>39388</v>
      </c>
      <c r="D706" s="4" t="s">
        <v>33</v>
      </c>
      <c r="E706" s="4" t="s">
        <v>66</v>
      </c>
      <c r="F706" s="4" t="s">
        <v>288</v>
      </c>
      <c r="G706" s="4" t="s">
        <v>26</v>
      </c>
      <c r="H706" s="4" t="s">
        <v>128</v>
      </c>
      <c r="I706" s="4" t="s">
        <v>715</v>
      </c>
      <c r="J706" s="4" t="s">
        <v>638</v>
      </c>
      <c r="K706" s="5">
        <v>6082793</v>
      </c>
      <c r="L706" s="5">
        <v>262884</v>
      </c>
      <c r="M706" s="5">
        <v>19</v>
      </c>
      <c r="N706" s="5">
        <v>1</v>
      </c>
      <c r="O706" s="5">
        <v>0.4</v>
      </c>
      <c r="P706" s="5"/>
    </row>
    <row r="707" spans="1:16" x14ac:dyDescent="0.25">
      <c r="A707" s="4" t="s">
        <v>21</v>
      </c>
      <c r="B707" s="4" t="s">
        <v>250</v>
      </c>
      <c r="C707" s="5">
        <v>39392</v>
      </c>
      <c r="D707" s="4" t="s">
        <v>33</v>
      </c>
      <c r="E707" s="4" t="s">
        <v>66</v>
      </c>
      <c r="F707" s="4" t="s">
        <v>288</v>
      </c>
      <c r="G707" s="4" t="s">
        <v>26</v>
      </c>
      <c r="H707" s="4" t="s">
        <v>18</v>
      </c>
      <c r="I707" s="4" t="s">
        <v>715</v>
      </c>
      <c r="J707" s="4" t="s">
        <v>715</v>
      </c>
      <c r="K707" s="5">
        <v>6082793</v>
      </c>
      <c r="L707" s="5">
        <v>262884</v>
      </c>
      <c r="M707" s="5">
        <v>19</v>
      </c>
      <c r="N707" s="5">
        <v>1</v>
      </c>
      <c r="O707" s="5">
        <v>0.4</v>
      </c>
      <c r="P707" s="5"/>
    </row>
    <row r="708" spans="1:16" x14ac:dyDescent="0.25">
      <c r="A708" s="4" t="s">
        <v>21</v>
      </c>
      <c r="B708" s="4" t="s">
        <v>250</v>
      </c>
      <c r="C708" s="5">
        <v>39595</v>
      </c>
      <c r="D708" s="4" t="s">
        <v>33</v>
      </c>
      <c r="E708" s="4" t="s">
        <v>45</v>
      </c>
      <c r="F708" s="4" t="s">
        <v>323</v>
      </c>
      <c r="G708" s="4" t="s">
        <v>26</v>
      </c>
      <c r="H708" s="4" t="s">
        <v>18</v>
      </c>
      <c r="I708" s="4" t="s">
        <v>715</v>
      </c>
      <c r="J708" s="4" t="s">
        <v>715</v>
      </c>
      <c r="K708" s="5">
        <v>6092785</v>
      </c>
      <c r="L708" s="5">
        <v>276499</v>
      </c>
      <c r="M708" s="5">
        <v>19</v>
      </c>
      <c r="N708" s="5">
        <v>1</v>
      </c>
      <c r="O708" s="5">
        <v>6.1</v>
      </c>
      <c r="P708" s="5"/>
    </row>
    <row r="709" spans="1:16" x14ac:dyDescent="0.25">
      <c r="A709" s="4" t="s">
        <v>21</v>
      </c>
      <c r="B709" s="4" t="s">
        <v>250</v>
      </c>
      <c r="C709" s="5">
        <v>39600</v>
      </c>
      <c r="D709" s="4" t="s">
        <v>33</v>
      </c>
      <c r="E709" s="4" t="s">
        <v>47</v>
      </c>
      <c r="F709" s="4" t="s">
        <v>268</v>
      </c>
      <c r="G709" s="4" t="s">
        <v>26</v>
      </c>
      <c r="H709" s="4" t="s">
        <v>18</v>
      </c>
      <c r="I709" s="4" t="s">
        <v>715</v>
      </c>
      <c r="J709" s="4" t="s">
        <v>715</v>
      </c>
      <c r="K709" s="5">
        <v>6086838</v>
      </c>
      <c r="L709" s="5">
        <v>286016</v>
      </c>
      <c r="M709" s="5">
        <v>19</v>
      </c>
      <c r="N709" s="5">
        <v>1</v>
      </c>
      <c r="O709" s="5">
        <v>2</v>
      </c>
      <c r="P709" s="5"/>
    </row>
    <row r="710" spans="1:16" x14ac:dyDescent="0.25">
      <c r="A710" s="4" t="s">
        <v>21</v>
      </c>
      <c r="B710" s="4" t="s">
        <v>250</v>
      </c>
      <c r="C710" s="5">
        <v>39718</v>
      </c>
      <c r="D710" s="4" t="s">
        <v>33</v>
      </c>
      <c r="E710" s="4" t="s">
        <v>167</v>
      </c>
      <c r="F710" s="4" t="s">
        <v>309</v>
      </c>
      <c r="G710" s="4" t="s">
        <v>26</v>
      </c>
      <c r="H710" s="4" t="s">
        <v>18</v>
      </c>
      <c r="I710" s="4" t="s">
        <v>715</v>
      </c>
      <c r="J710" s="4" t="s">
        <v>715</v>
      </c>
      <c r="K710" s="5">
        <v>6091600</v>
      </c>
      <c r="L710" s="5">
        <v>286741</v>
      </c>
      <c r="M710" s="5">
        <v>19</v>
      </c>
      <c r="N710" s="5">
        <v>1</v>
      </c>
      <c r="O710" s="5">
        <v>4.45</v>
      </c>
      <c r="P710" s="5"/>
    </row>
    <row r="711" spans="1:16" x14ac:dyDescent="0.25">
      <c r="A711" s="4" t="s">
        <v>21</v>
      </c>
      <c r="B711" s="4" t="s">
        <v>250</v>
      </c>
      <c r="C711" s="5">
        <v>39756</v>
      </c>
      <c r="D711" s="4" t="s">
        <v>33</v>
      </c>
      <c r="E711" s="4" t="s">
        <v>45</v>
      </c>
      <c r="F711" s="4" t="s">
        <v>45</v>
      </c>
      <c r="G711" s="4" t="s">
        <v>26</v>
      </c>
      <c r="H711" s="4" t="s">
        <v>128</v>
      </c>
      <c r="I711" s="4" t="s">
        <v>715</v>
      </c>
      <c r="J711" s="4" t="s">
        <v>638</v>
      </c>
      <c r="K711" s="5">
        <v>6086590</v>
      </c>
      <c r="L711" s="5">
        <v>275299</v>
      </c>
      <c r="M711" s="5">
        <v>19</v>
      </c>
      <c r="N711" s="5">
        <v>1</v>
      </c>
      <c r="O711" s="5">
        <v>0.4</v>
      </c>
      <c r="P711" s="5"/>
    </row>
    <row r="712" spans="1:16" x14ac:dyDescent="0.25">
      <c r="A712" s="4" t="s">
        <v>21</v>
      </c>
      <c r="B712" s="4" t="s">
        <v>250</v>
      </c>
      <c r="C712" s="5">
        <v>39758</v>
      </c>
      <c r="D712" s="4" t="s">
        <v>33</v>
      </c>
      <c r="E712" s="4" t="s">
        <v>45</v>
      </c>
      <c r="F712" s="4" t="s">
        <v>45</v>
      </c>
      <c r="G712" s="4" t="s">
        <v>26</v>
      </c>
      <c r="H712" s="4" t="s">
        <v>18</v>
      </c>
      <c r="I712" s="4" t="s">
        <v>715</v>
      </c>
      <c r="J712" s="4" t="s">
        <v>715</v>
      </c>
      <c r="K712" s="5">
        <v>6086590</v>
      </c>
      <c r="L712" s="5">
        <v>275299</v>
      </c>
      <c r="M712" s="5">
        <v>19</v>
      </c>
      <c r="N712" s="5">
        <v>1</v>
      </c>
      <c r="O712" s="5">
        <v>0.4</v>
      </c>
      <c r="P712" s="5"/>
    </row>
    <row r="713" spans="1:16" x14ac:dyDescent="0.25">
      <c r="A713" s="4" t="s">
        <v>21</v>
      </c>
      <c r="B713" s="4" t="s">
        <v>250</v>
      </c>
      <c r="C713" s="5">
        <v>39760</v>
      </c>
      <c r="D713" s="4" t="s">
        <v>33</v>
      </c>
      <c r="E713" s="4" t="s">
        <v>47</v>
      </c>
      <c r="F713" s="4" t="s">
        <v>268</v>
      </c>
      <c r="G713" s="4" t="s">
        <v>26</v>
      </c>
      <c r="H713" s="4" t="s">
        <v>18</v>
      </c>
      <c r="I713" s="4" t="s">
        <v>715</v>
      </c>
      <c r="J713" s="4" t="s">
        <v>715</v>
      </c>
      <c r="K713" s="5">
        <v>6088310</v>
      </c>
      <c r="L713" s="5">
        <v>286918</v>
      </c>
      <c r="M713" s="5">
        <v>19</v>
      </c>
      <c r="N713" s="5">
        <v>1</v>
      </c>
      <c r="O713" s="5">
        <v>1.62</v>
      </c>
      <c r="P713" s="5"/>
    </row>
    <row r="714" spans="1:16" x14ac:dyDescent="0.25">
      <c r="A714" s="4" t="s">
        <v>21</v>
      </c>
      <c r="B714" s="4" t="s">
        <v>250</v>
      </c>
      <c r="C714" s="5">
        <v>39761</v>
      </c>
      <c r="D714" s="4" t="s">
        <v>33</v>
      </c>
      <c r="E714" s="4" t="s">
        <v>45</v>
      </c>
      <c r="F714" s="4" t="s">
        <v>333</v>
      </c>
      <c r="G714" s="4" t="s">
        <v>26</v>
      </c>
      <c r="H714" s="4" t="s">
        <v>173</v>
      </c>
      <c r="I714" s="4" t="s">
        <v>715</v>
      </c>
      <c r="J714" s="4" t="s">
        <v>715</v>
      </c>
      <c r="K714" s="5">
        <v>6088359</v>
      </c>
      <c r="L714" s="5">
        <v>276671</v>
      </c>
      <c r="M714" s="5">
        <v>19</v>
      </c>
      <c r="N714" s="5">
        <v>1</v>
      </c>
      <c r="O714" s="5">
        <v>3.47</v>
      </c>
      <c r="P714" s="5"/>
    </row>
    <row r="715" spans="1:16" x14ac:dyDescent="0.25">
      <c r="A715" s="4" t="s">
        <v>21</v>
      </c>
      <c r="B715" s="4" t="s">
        <v>250</v>
      </c>
      <c r="C715" s="5">
        <v>39769</v>
      </c>
      <c r="D715" s="4" t="s">
        <v>33</v>
      </c>
      <c r="E715" s="4" t="s">
        <v>66</v>
      </c>
      <c r="F715" s="4" t="s">
        <v>288</v>
      </c>
      <c r="G715" s="4" t="s">
        <v>26</v>
      </c>
      <c r="H715" s="4" t="s">
        <v>173</v>
      </c>
      <c r="I715" s="4" t="s">
        <v>715</v>
      </c>
      <c r="J715" s="4" t="s">
        <v>715</v>
      </c>
      <c r="K715" s="5">
        <v>6083243</v>
      </c>
      <c r="L715" s="5">
        <v>263625</v>
      </c>
      <c r="M715" s="5">
        <v>19</v>
      </c>
      <c r="N715" s="5">
        <v>1</v>
      </c>
      <c r="O715" s="5">
        <v>5.0599999999999996</v>
      </c>
      <c r="P715" s="5"/>
    </row>
    <row r="716" spans="1:16" x14ac:dyDescent="0.25">
      <c r="A716" s="4" t="s">
        <v>21</v>
      </c>
      <c r="B716" s="4" t="s">
        <v>250</v>
      </c>
      <c r="C716" s="5">
        <v>39815</v>
      </c>
      <c r="D716" s="4" t="s">
        <v>33</v>
      </c>
      <c r="E716" s="4" t="s">
        <v>45</v>
      </c>
      <c r="F716" s="4" t="s">
        <v>333</v>
      </c>
      <c r="G716" s="4" t="s">
        <v>26</v>
      </c>
      <c r="H716" s="4" t="s">
        <v>173</v>
      </c>
      <c r="I716" s="4" t="s">
        <v>715</v>
      </c>
      <c r="J716" s="4" t="s">
        <v>638</v>
      </c>
      <c r="K716" s="5">
        <v>6083951</v>
      </c>
      <c r="L716" s="5">
        <v>276587</v>
      </c>
      <c r="M716" s="5">
        <v>19</v>
      </c>
      <c r="N716" s="5">
        <v>1</v>
      </c>
      <c r="O716" s="5">
        <v>1.21</v>
      </c>
      <c r="P716" s="5"/>
    </row>
    <row r="717" spans="1:16" x14ac:dyDescent="0.25">
      <c r="A717" s="4" t="s">
        <v>54</v>
      </c>
      <c r="B717" s="4" t="s">
        <v>344</v>
      </c>
      <c r="C717" s="5">
        <v>35431</v>
      </c>
      <c r="D717" s="4" t="s">
        <v>23</v>
      </c>
      <c r="E717" s="4" t="s">
        <v>25</v>
      </c>
      <c r="F717" s="4" t="s">
        <v>345</v>
      </c>
      <c r="G717" s="4" t="s">
        <v>57</v>
      </c>
      <c r="H717" s="4" t="s">
        <v>641</v>
      </c>
      <c r="I717" s="4" t="s">
        <v>715</v>
      </c>
      <c r="J717" s="4" t="s">
        <v>715</v>
      </c>
      <c r="K717" s="5">
        <v>6270982</v>
      </c>
      <c r="L717" s="5">
        <v>300393</v>
      </c>
      <c r="M717" s="5">
        <v>19</v>
      </c>
      <c r="N717" s="5">
        <v>1</v>
      </c>
      <c r="O717" s="5">
        <v>1.3</v>
      </c>
      <c r="P717" s="5"/>
    </row>
    <row r="718" spans="1:16" x14ac:dyDescent="0.25">
      <c r="A718" s="4" t="s">
        <v>21</v>
      </c>
      <c r="B718" s="4" t="s">
        <v>344</v>
      </c>
      <c r="C718" s="5">
        <v>35535</v>
      </c>
      <c r="D718" s="4" t="s">
        <v>33</v>
      </c>
      <c r="E718" s="4" t="s">
        <v>34</v>
      </c>
      <c r="F718" s="4" t="s">
        <v>82</v>
      </c>
      <c r="G718" s="4" t="s">
        <v>26</v>
      </c>
      <c r="H718" s="4" t="s">
        <v>27</v>
      </c>
      <c r="I718" s="4" t="s">
        <v>715</v>
      </c>
      <c r="J718" s="4" t="s">
        <v>715</v>
      </c>
      <c r="K718" s="5">
        <v>6122982</v>
      </c>
      <c r="L718" s="5">
        <v>301064</v>
      </c>
      <c r="M718" s="5">
        <v>19</v>
      </c>
      <c r="N718" s="5">
        <v>3</v>
      </c>
      <c r="O718" s="5">
        <v>22.3</v>
      </c>
      <c r="P718" s="5"/>
    </row>
    <row r="719" spans="1:16" x14ac:dyDescent="0.25">
      <c r="A719" s="4" t="s">
        <v>54</v>
      </c>
      <c r="B719" s="4" t="s">
        <v>344</v>
      </c>
      <c r="C719" s="5">
        <v>35775</v>
      </c>
      <c r="D719" s="4" t="s">
        <v>97</v>
      </c>
      <c r="E719" s="4" t="s">
        <v>346</v>
      </c>
      <c r="F719" s="4" t="s">
        <v>347</v>
      </c>
      <c r="G719" s="4" t="s">
        <v>57</v>
      </c>
      <c r="H719" s="4" t="s">
        <v>641</v>
      </c>
      <c r="I719" s="4" t="s">
        <v>715</v>
      </c>
      <c r="J719" s="4" t="s">
        <v>715</v>
      </c>
      <c r="K719" s="5">
        <v>5721500</v>
      </c>
      <c r="L719" s="5">
        <v>721838</v>
      </c>
      <c r="M719" s="5">
        <v>18</v>
      </c>
      <c r="N719" s="5">
        <v>1</v>
      </c>
      <c r="O719" s="5">
        <v>5</v>
      </c>
      <c r="P719" s="5"/>
    </row>
    <row r="720" spans="1:16" x14ac:dyDescent="0.25">
      <c r="A720" s="4" t="s">
        <v>21</v>
      </c>
      <c r="B720" s="4" t="s">
        <v>344</v>
      </c>
      <c r="C720" s="5">
        <v>36029</v>
      </c>
      <c r="D720" s="4" t="s">
        <v>33</v>
      </c>
      <c r="E720" s="4" t="s">
        <v>69</v>
      </c>
      <c r="F720" s="4" t="s">
        <v>348</v>
      </c>
      <c r="G720" s="4" t="s">
        <v>26</v>
      </c>
      <c r="H720" s="4" t="s">
        <v>27</v>
      </c>
      <c r="I720" s="4" t="s">
        <v>715</v>
      </c>
      <c r="J720" s="4" t="s">
        <v>715</v>
      </c>
      <c r="K720" s="5">
        <v>6087899</v>
      </c>
      <c r="L720" s="5">
        <v>249346</v>
      </c>
      <c r="M720" s="5">
        <v>19</v>
      </c>
      <c r="N720" s="5">
        <v>1</v>
      </c>
      <c r="O720" s="5">
        <v>80</v>
      </c>
      <c r="P720" s="5"/>
    </row>
    <row r="721" spans="1:16" x14ac:dyDescent="0.25">
      <c r="A721" s="4" t="s">
        <v>21</v>
      </c>
      <c r="B721" s="4" t="s">
        <v>344</v>
      </c>
      <c r="C721" s="5">
        <v>36043</v>
      </c>
      <c r="D721" s="4" t="s">
        <v>33</v>
      </c>
      <c r="E721" s="4" t="s">
        <v>50</v>
      </c>
      <c r="F721" s="4" t="s">
        <v>50</v>
      </c>
      <c r="G721" s="4" t="s">
        <v>26</v>
      </c>
      <c r="H721" s="4" t="s">
        <v>27</v>
      </c>
      <c r="I721" s="4" t="s">
        <v>715</v>
      </c>
      <c r="J721" s="4" t="s">
        <v>638</v>
      </c>
      <c r="K721" s="5">
        <v>6124109</v>
      </c>
      <c r="L721" s="5">
        <v>314377</v>
      </c>
      <c r="M721" s="5">
        <v>19</v>
      </c>
      <c r="N721" s="5">
        <v>1</v>
      </c>
      <c r="O721" s="5">
        <v>9.02</v>
      </c>
      <c r="P721" s="5"/>
    </row>
    <row r="722" spans="1:16" x14ac:dyDescent="0.25">
      <c r="A722" s="4" t="s">
        <v>21</v>
      </c>
      <c r="B722" s="4" t="s">
        <v>344</v>
      </c>
      <c r="C722" s="5">
        <v>36044</v>
      </c>
      <c r="D722" s="4" t="s">
        <v>37</v>
      </c>
      <c r="E722" s="4" t="s">
        <v>73</v>
      </c>
      <c r="F722" s="4" t="s">
        <v>73</v>
      </c>
      <c r="G722" s="4" t="s">
        <v>26</v>
      </c>
      <c r="H722" s="4" t="s">
        <v>27</v>
      </c>
      <c r="I722" s="4" t="s">
        <v>715</v>
      </c>
      <c r="J722" s="4" t="s">
        <v>715</v>
      </c>
      <c r="K722" s="5">
        <v>6156827</v>
      </c>
      <c r="L722" s="5">
        <v>316825</v>
      </c>
      <c r="M722" s="5">
        <v>19</v>
      </c>
      <c r="N722" s="5">
        <v>2</v>
      </c>
      <c r="O722" s="5">
        <v>17.600000000000001</v>
      </c>
      <c r="P722" s="5"/>
    </row>
    <row r="723" spans="1:16" x14ac:dyDescent="0.25">
      <c r="A723" s="4" t="s">
        <v>21</v>
      </c>
      <c r="B723" s="4" t="s">
        <v>344</v>
      </c>
      <c r="C723" s="5">
        <v>36045</v>
      </c>
      <c r="D723" s="4" t="s">
        <v>37</v>
      </c>
      <c r="E723" s="4" t="s">
        <v>349</v>
      </c>
      <c r="F723" s="4" t="s">
        <v>350</v>
      </c>
      <c r="G723" s="4" t="s">
        <v>26</v>
      </c>
      <c r="H723" s="4" t="s">
        <v>27</v>
      </c>
      <c r="I723" s="4" t="s">
        <v>715</v>
      </c>
      <c r="J723" s="4" t="s">
        <v>715</v>
      </c>
      <c r="K723" s="5">
        <v>6167486</v>
      </c>
      <c r="L723" s="5">
        <v>289455</v>
      </c>
      <c r="M723" s="5">
        <v>19</v>
      </c>
      <c r="N723" s="5">
        <v>3</v>
      </c>
      <c r="O723" s="5">
        <v>132.34</v>
      </c>
      <c r="P723" s="5"/>
    </row>
    <row r="724" spans="1:16" x14ac:dyDescent="0.25">
      <c r="A724" s="4" t="s">
        <v>21</v>
      </c>
      <c r="B724" s="4" t="s">
        <v>344</v>
      </c>
      <c r="C724" s="5">
        <v>36047</v>
      </c>
      <c r="D724" s="4" t="s">
        <v>33</v>
      </c>
      <c r="E724" s="4" t="s">
        <v>122</v>
      </c>
      <c r="F724" s="4" t="s">
        <v>122</v>
      </c>
      <c r="G724" s="4" t="s">
        <v>26</v>
      </c>
      <c r="H724" s="4" t="s">
        <v>27</v>
      </c>
      <c r="I724" s="4" t="s">
        <v>715</v>
      </c>
      <c r="J724" s="4" t="s">
        <v>715</v>
      </c>
      <c r="K724" s="5">
        <v>6106170</v>
      </c>
      <c r="L724" s="5">
        <v>294284</v>
      </c>
      <c r="M724" s="5">
        <v>19</v>
      </c>
      <c r="N724" s="5">
        <v>1</v>
      </c>
      <c r="O724" s="5">
        <v>4</v>
      </c>
      <c r="P724" s="5"/>
    </row>
    <row r="725" spans="1:16" x14ac:dyDescent="0.25">
      <c r="A725" s="4" t="s">
        <v>21</v>
      </c>
      <c r="B725" s="4" t="s">
        <v>344</v>
      </c>
      <c r="C725" s="5">
        <v>36050</v>
      </c>
      <c r="D725" s="4" t="s">
        <v>33</v>
      </c>
      <c r="E725" s="4" t="s">
        <v>34</v>
      </c>
      <c r="F725" s="4" t="s">
        <v>34</v>
      </c>
      <c r="G725" s="4" t="s">
        <v>26</v>
      </c>
      <c r="H725" s="4" t="s">
        <v>27</v>
      </c>
      <c r="I725" s="4" t="s">
        <v>715</v>
      </c>
      <c r="J725" s="4" t="s">
        <v>715</v>
      </c>
      <c r="K725" s="5">
        <v>6130270</v>
      </c>
      <c r="L725" s="5">
        <v>299949</v>
      </c>
      <c r="M725" s="5">
        <v>19</v>
      </c>
      <c r="N725" s="5">
        <v>1</v>
      </c>
      <c r="O725" s="5">
        <v>4.55</v>
      </c>
      <c r="P725" s="5"/>
    </row>
    <row r="726" spans="1:16" x14ac:dyDescent="0.25">
      <c r="A726" s="4" t="s">
        <v>21</v>
      </c>
      <c r="B726" s="4" t="s">
        <v>344</v>
      </c>
      <c r="C726" s="5">
        <v>36057</v>
      </c>
      <c r="D726" s="4" t="s">
        <v>33</v>
      </c>
      <c r="E726" s="4" t="s">
        <v>247</v>
      </c>
      <c r="F726" s="4" t="s">
        <v>351</v>
      </c>
      <c r="G726" s="4" t="s">
        <v>26</v>
      </c>
      <c r="H726" s="4" t="s">
        <v>27</v>
      </c>
      <c r="I726" s="4" t="s">
        <v>715</v>
      </c>
      <c r="J726" s="4" t="s">
        <v>638</v>
      </c>
      <c r="K726" s="5">
        <v>6123792</v>
      </c>
      <c r="L726" s="5">
        <v>288660</v>
      </c>
      <c r="M726" s="5">
        <v>19</v>
      </c>
      <c r="N726" s="5">
        <v>1</v>
      </c>
      <c r="O726" s="5">
        <v>9.0500000000000007</v>
      </c>
      <c r="P726" s="5"/>
    </row>
    <row r="727" spans="1:16" x14ac:dyDescent="0.25">
      <c r="A727" s="4" t="s">
        <v>21</v>
      </c>
      <c r="B727" s="4" t="s">
        <v>344</v>
      </c>
      <c r="C727" s="5">
        <v>36061</v>
      </c>
      <c r="D727" s="4" t="s">
        <v>33</v>
      </c>
      <c r="E727" s="4" t="s">
        <v>34</v>
      </c>
      <c r="F727" s="4" t="s">
        <v>352</v>
      </c>
      <c r="G727" s="4" t="s">
        <v>26</v>
      </c>
      <c r="H727" s="4" t="s">
        <v>27</v>
      </c>
      <c r="I727" s="4" t="s">
        <v>715</v>
      </c>
      <c r="J727" s="4" t="s">
        <v>638</v>
      </c>
      <c r="K727" s="5">
        <v>6131792</v>
      </c>
      <c r="L727" s="5">
        <v>293045</v>
      </c>
      <c r="M727" s="5">
        <v>19</v>
      </c>
      <c r="N727" s="5">
        <v>1</v>
      </c>
      <c r="O727" s="5">
        <v>12</v>
      </c>
      <c r="P727" s="5"/>
    </row>
    <row r="728" spans="1:16" x14ac:dyDescent="0.25">
      <c r="A728" s="4" t="s">
        <v>21</v>
      </c>
      <c r="B728" s="4" t="s">
        <v>344</v>
      </c>
      <c r="C728" s="5">
        <v>36072</v>
      </c>
      <c r="D728" s="4" t="s">
        <v>33</v>
      </c>
      <c r="E728" s="4" t="s">
        <v>34</v>
      </c>
      <c r="F728" s="4" t="s">
        <v>353</v>
      </c>
      <c r="G728" s="4" t="s">
        <v>26</v>
      </c>
      <c r="H728" s="4" t="s">
        <v>27</v>
      </c>
      <c r="I728" s="4" t="s">
        <v>715</v>
      </c>
      <c r="J728" s="4" t="s">
        <v>638</v>
      </c>
      <c r="K728" s="5">
        <v>6127389</v>
      </c>
      <c r="L728" s="5">
        <v>290219</v>
      </c>
      <c r="M728" s="5">
        <v>19</v>
      </c>
      <c r="N728" s="5">
        <v>1</v>
      </c>
      <c r="O728" s="5">
        <v>3.05</v>
      </c>
      <c r="P728" s="5"/>
    </row>
    <row r="729" spans="1:16" x14ac:dyDescent="0.25">
      <c r="A729" s="4" t="s">
        <v>21</v>
      </c>
      <c r="B729" s="4" t="s">
        <v>344</v>
      </c>
      <c r="C729" s="5">
        <v>36075</v>
      </c>
      <c r="D729" s="4" t="s">
        <v>33</v>
      </c>
      <c r="E729" s="4" t="s">
        <v>34</v>
      </c>
      <c r="F729" s="4" t="s">
        <v>353</v>
      </c>
      <c r="G729" s="4" t="s">
        <v>26</v>
      </c>
      <c r="H729" s="4" t="s">
        <v>27</v>
      </c>
      <c r="I729" s="4" t="s">
        <v>715</v>
      </c>
      <c r="J729" s="4" t="s">
        <v>638</v>
      </c>
      <c r="K729" s="5">
        <v>6127631</v>
      </c>
      <c r="L729" s="5">
        <v>289939</v>
      </c>
      <c r="M729" s="5">
        <v>19</v>
      </c>
      <c r="N729" s="5">
        <v>1</v>
      </c>
      <c r="O729" s="5">
        <v>6.57</v>
      </c>
      <c r="P729" s="5"/>
    </row>
    <row r="730" spans="1:16" x14ac:dyDescent="0.25">
      <c r="A730" s="4" t="s">
        <v>21</v>
      </c>
      <c r="B730" s="4" t="s">
        <v>344</v>
      </c>
      <c r="C730" s="5">
        <v>36117</v>
      </c>
      <c r="D730" s="4" t="s">
        <v>37</v>
      </c>
      <c r="E730" s="4" t="s">
        <v>349</v>
      </c>
      <c r="F730" s="4" t="s">
        <v>354</v>
      </c>
      <c r="G730" s="4" t="s">
        <v>26</v>
      </c>
      <c r="H730" s="4" t="s">
        <v>27</v>
      </c>
      <c r="I730" s="4" t="s">
        <v>715</v>
      </c>
      <c r="J730" s="4" t="s">
        <v>715</v>
      </c>
      <c r="K730" s="5">
        <v>6165913</v>
      </c>
      <c r="L730" s="5">
        <v>289492</v>
      </c>
      <c r="M730" s="5">
        <v>19</v>
      </c>
      <c r="N730" s="5">
        <v>1</v>
      </c>
      <c r="O730" s="5">
        <v>21.8</v>
      </c>
      <c r="P730" s="5"/>
    </row>
    <row r="731" spans="1:16" x14ac:dyDescent="0.25">
      <c r="A731" s="4" t="s">
        <v>21</v>
      </c>
      <c r="B731" s="4" t="s">
        <v>344</v>
      </c>
      <c r="C731" s="5">
        <v>36119</v>
      </c>
      <c r="D731" s="4" t="s">
        <v>33</v>
      </c>
      <c r="E731" s="4" t="s">
        <v>34</v>
      </c>
      <c r="F731" s="4" t="s">
        <v>355</v>
      </c>
      <c r="G731" s="4" t="s">
        <v>26</v>
      </c>
      <c r="H731" s="4" t="s">
        <v>27</v>
      </c>
      <c r="I731" s="4" t="s">
        <v>715</v>
      </c>
      <c r="J731" s="4" t="s">
        <v>638</v>
      </c>
      <c r="K731" s="5">
        <v>6124198</v>
      </c>
      <c r="L731" s="5">
        <v>292561</v>
      </c>
      <c r="M731" s="5">
        <v>19</v>
      </c>
      <c r="N731" s="5">
        <v>2</v>
      </c>
      <c r="O731" s="5">
        <v>18.91</v>
      </c>
      <c r="P731" s="5"/>
    </row>
    <row r="732" spans="1:16" x14ac:dyDescent="0.25">
      <c r="A732" s="4" t="s">
        <v>21</v>
      </c>
      <c r="B732" s="4" t="s">
        <v>344</v>
      </c>
      <c r="C732" s="5">
        <v>36120</v>
      </c>
      <c r="D732" s="4" t="s">
        <v>23</v>
      </c>
      <c r="E732" s="4" t="s">
        <v>356</v>
      </c>
      <c r="F732" s="4" t="s">
        <v>356</v>
      </c>
      <c r="G732" s="4" t="s">
        <v>26</v>
      </c>
      <c r="H732" s="4" t="s">
        <v>18</v>
      </c>
      <c r="I732" s="4" t="s">
        <v>715</v>
      </c>
      <c r="J732" s="4" t="s">
        <v>715</v>
      </c>
      <c r="K732" s="5">
        <v>6257826</v>
      </c>
      <c r="L732" s="5">
        <v>340086</v>
      </c>
      <c r="M732" s="5">
        <v>19</v>
      </c>
      <c r="N732" s="5">
        <v>1</v>
      </c>
      <c r="O732" s="5">
        <v>0.3</v>
      </c>
      <c r="P732" s="5"/>
    </row>
    <row r="733" spans="1:16" x14ac:dyDescent="0.25">
      <c r="A733" s="4" t="s">
        <v>21</v>
      </c>
      <c r="B733" s="4" t="s">
        <v>344</v>
      </c>
      <c r="C733" s="5">
        <v>36121</v>
      </c>
      <c r="D733" s="4" t="s">
        <v>23</v>
      </c>
      <c r="E733" s="4" t="s">
        <v>357</v>
      </c>
      <c r="F733" s="4" t="s">
        <v>358</v>
      </c>
      <c r="G733" s="4" t="s">
        <v>26</v>
      </c>
      <c r="H733" s="4" t="s">
        <v>18</v>
      </c>
      <c r="I733" s="4" t="s">
        <v>715</v>
      </c>
      <c r="J733" s="4" t="s">
        <v>715</v>
      </c>
      <c r="K733" s="5">
        <v>6278064</v>
      </c>
      <c r="L733" s="5">
        <v>343242</v>
      </c>
      <c r="M733" s="5">
        <v>19</v>
      </c>
      <c r="N733" s="5">
        <v>1</v>
      </c>
      <c r="O733" s="5">
        <v>4</v>
      </c>
      <c r="P733" s="5"/>
    </row>
    <row r="734" spans="1:16" x14ac:dyDescent="0.25">
      <c r="A734" s="4" t="s">
        <v>21</v>
      </c>
      <c r="B734" s="4" t="s">
        <v>344</v>
      </c>
      <c r="C734" s="5">
        <v>36122</v>
      </c>
      <c r="D734" s="4" t="s">
        <v>23</v>
      </c>
      <c r="E734" s="4" t="s">
        <v>356</v>
      </c>
      <c r="F734" s="4" t="s">
        <v>359</v>
      </c>
      <c r="G734" s="4" t="s">
        <v>26</v>
      </c>
      <c r="H734" s="4" t="s">
        <v>18</v>
      </c>
      <c r="I734" s="4" t="s">
        <v>715</v>
      </c>
      <c r="J734" s="4" t="s">
        <v>715</v>
      </c>
      <c r="K734" s="5">
        <v>6246853</v>
      </c>
      <c r="L734" s="5">
        <v>338687</v>
      </c>
      <c r="M734" s="5">
        <v>19</v>
      </c>
      <c r="N734" s="5">
        <v>1</v>
      </c>
      <c r="O734" s="5">
        <v>0.3</v>
      </c>
      <c r="P734" s="5"/>
    </row>
    <row r="735" spans="1:16" x14ac:dyDescent="0.25">
      <c r="A735" s="4" t="s">
        <v>21</v>
      </c>
      <c r="B735" s="4" t="s">
        <v>344</v>
      </c>
      <c r="C735" s="5">
        <v>36123</v>
      </c>
      <c r="D735" s="4" t="s">
        <v>23</v>
      </c>
      <c r="E735" s="4" t="s">
        <v>356</v>
      </c>
      <c r="F735" s="4" t="s">
        <v>359</v>
      </c>
      <c r="G735" s="4" t="s">
        <v>26</v>
      </c>
      <c r="H735" s="4" t="s">
        <v>18</v>
      </c>
      <c r="I735" s="4" t="s">
        <v>715</v>
      </c>
      <c r="J735" s="4" t="s">
        <v>715</v>
      </c>
      <c r="K735" s="5">
        <v>6246736</v>
      </c>
      <c r="L735" s="5">
        <v>338498</v>
      </c>
      <c r="M735" s="5">
        <v>19</v>
      </c>
      <c r="N735" s="5">
        <v>1</v>
      </c>
      <c r="O735" s="5">
        <v>0.5</v>
      </c>
      <c r="P735" s="5"/>
    </row>
    <row r="736" spans="1:16" x14ac:dyDescent="0.25">
      <c r="A736" s="4" t="s">
        <v>21</v>
      </c>
      <c r="B736" s="4" t="s">
        <v>344</v>
      </c>
      <c r="C736" s="5">
        <v>36206</v>
      </c>
      <c r="D736" s="4" t="s">
        <v>23</v>
      </c>
      <c r="E736" s="4" t="s">
        <v>356</v>
      </c>
      <c r="F736" s="4" t="s">
        <v>360</v>
      </c>
      <c r="G736" s="4" t="s">
        <v>26</v>
      </c>
      <c r="H736" s="4" t="s">
        <v>18</v>
      </c>
      <c r="I736" s="4" t="s">
        <v>715</v>
      </c>
      <c r="J736" s="4" t="s">
        <v>715</v>
      </c>
      <c r="K736" s="5">
        <v>6246318</v>
      </c>
      <c r="L736" s="5">
        <v>339004</v>
      </c>
      <c r="M736" s="5">
        <v>19</v>
      </c>
      <c r="N736" s="5">
        <v>1</v>
      </c>
      <c r="O736" s="5">
        <v>0.5</v>
      </c>
      <c r="P736" s="5"/>
    </row>
    <row r="737" spans="1:16" x14ac:dyDescent="0.25">
      <c r="A737" s="4" t="s">
        <v>21</v>
      </c>
      <c r="B737" s="4" t="s">
        <v>344</v>
      </c>
      <c r="C737" s="5">
        <v>36208</v>
      </c>
      <c r="D737" s="4" t="s">
        <v>23</v>
      </c>
      <c r="E737" s="4" t="s">
        <v>356</v>
      </c>
      <c r="F737" s="4" t="s">
        <v>359</v>
      </c>
      <c r="G737" s="4" t="s">
        <v>26</v>
      </c>
      <c r="H737" s="4" t="s">
        <v>18</v>
      </c>
      <c r="I737" s="4" t="s">
        <v>715</v>
      </c>
      <c r="J737" s="4" t="s">
        <v>715</v>
      </c>
      <c r="K737" s="5">
        <v>6245670</v>
      </c>
      <c r="L737" s="5">
        <v>339166</v>
      </c>
      <c r="M737" s="5">
        <v>19</v>
      </c>
      <c r="N737" s="5">
        <v>1</v>
      </c>
      <c r="O737" s="5">
        <v>0.4</v>
      </c>
      <c r="P737" s="5"/>
    </row>
    <row r="738" spans="1:16" x14ac:dyDescent="0.25">
      <c r="A738" s="4" t="s">
        <v>21</v>
      </c>
      <c r="B738" s="4" t="s">
        <v>344</v>
      </c>
      <c r="C738" s="5">
        <v>36218</v>
      </c>
      <c r="D738" s="4" t="s">
        <v>23</v>
      </c>
      <c r="E738" s="4" t="s">
        <v>356</v>
      </c>
      <c r="F738" s="4" t="s">
        <v>359</v>
      </c>
      <c r="G738" s="4" t="s">
        <v>26</v>
      </c>
      <c r="H738" s="4" t="s">
        <v>18</v>
      </c>
      <c r="I738" s="4" t="s">
        <v>715</v>
      </c>
      <c r="J738" s="4" t="s">
        <v>715</v>
      </c>
      <c r="K738" s="5">
        <v>6246034</v>
      </c>
      <c r="L738" s="5">
        <v>338633</v>
      </c>
      <c r="M738" s="5">
        <v>19</v>
      </c>
      <c r="N738" s="5">
        <v>1</v>
      </c>
      <c r="O738" s="5">
        <v>1.1000000000000001</v>
      </c>
      <c r="P738" s="5"/>
    </row>
    <row r="739" spans="1:16" x14ac:dyDescent="0.25">
      <c r="A739" s="4" t="s">
        <v>21</v>
      </c>
      <c r="B739" s="4" t="s">
        <v>344</v>
      </c>
      <c r="C739" s="5">
        <v>36267</v>
      </c>
      <c r="D739" s="4" t="s">
        <v>23</v>
      </c>
      <c r="E739" s="4" t="s">
        <v>357</v>
      </c>
      <c r="F739" s="4" t="s">
        <v>361</v>
      </c>
      <c r="G739" s="4" t="s">
        <v>26</v>
      </c>
      <c r="H739" s="4" t="s">
        <v>27</v>
      </c>
      <c r="I739" s="4" t="s">
        <v>715</v>
      </c>
      <c r="J739" s="4" t="s">
        <v>715</v>
      </c>
      <c r="K739" s="5">
        <v>6273044</v>
      </c>
      <c r="L739" s="5">
        <v>340846</v>
      </c>
      <c r="M739" s="5">
        <v>19</v>
      </c>
      <c r="N739" s="5">
        <v>1</v>
      </c>
      <c r="O739" s="5">
        <v>5</v>
      </c>
      <c r="P739" s="5"/>
    </row>
    <row r="740" spans="1:16" x14ac:dyDescent="0.25">
      <c r="A740" s="4" t="s">
        <v>21</v>
      </c>
      <c r="B740" s="4" t="s">
        <v>344</v>
      </c>
      <c r="C740" s="5">
        <v>36268</v>
      </c>
      <c r="D740" s="4" t="s">
        <v>23</v>
      </c>
      <c r="E740" s="4" t="s">
        <v>357</v>
      </c>
      <c r="F740" s="4" t="s">
        <v>361</v>
      </c>
      <c r="G740" s="4" t="s">
        <v>26</v>
      </c>
      <c r="H740" s="4" t="s">
        <v>27</v>
      </c>
      <c r="I740" s="4" t="s">
        <v>715</v>
      </c>
      <c r="J740" s="4" t="s">
        <v>715</v>
      </c>
      <c r="K740" s="5">
        <v>6273920</v>
      </c>
      <c r="L740" s="5">
        <v>340982</v>
      </c>
      <c r="M740" s="5">
        <v>19</v>
      </c>
      <c r="N740" s="5">
        <v>1</v>
      </c>
      <c r="O740" s="5">
        <v>7</v>
      </c>
      <c r="P740" s="5"/>
    </row>
    <row r="741" spans="1:16" x14ac:dyDescent="0.25">
      <c r="A741" s="4" t="s">
        <v>21</v>
      </c>
      <c r="B741" s="4" t="s">
        <v>344</v>
      </c>
      <c r="C741" s="5">
        <v>36281</v>
      </c>
      <c r="D741" s="4" t="s">
        <v>23</v>
      </c>
      <c r="E741" s="4" t="s">
        <v>262</v>
      </c>
      <c r="F741" s="4" t="s">
        <v>362</v>
      </c>
      <c r="G741" s="4" t="s">
        <v>26</v>
      </c>
      <c r="H741" s="4" t="s">
        <v>27</v>
      </c>
      <c r="I741" s="4" t="s">
        <v>715</v>
      </c>
      <c r="J741" s="4" t="s">
        <v>715</v>
      </c>
      <c r="K741" s="5">
        <v>6278707</v>
      </c>
      <c r="L741" s="5">
        <v>328833</v>
      </c>
      <c r="M741" s="5">
        <v>19</v>
      </c>
      <c r="N741" s="5">
        <v>1</v>
      </c>
      <c r="O741" s="5">
        <v>28</v>
      </c>
      <c r="P741" s="5"/>
    </row>
    <row r="742" spans="1:16" x14ac:dyDescent="0.25">
      <c r="A742" s="4" t="s">
        <v>21</v>
      </c>
      <c r="B742" s="4" t="s">
        <v>344</v>
      </c>
      <c r="C742" s="5">
        <v>36283</v>
      </c>
      <c r="D742" s="4" t="s">
        <v>33</v>
      </c>
      <c r="E742" s="4" t="s">
        <v>247</v>
      </c>
      <c r="F742" s="4" t="s">
        <v>351</v>
      </c>
      <c r="G742" s="4" t="s">
        <v>26</v>
      </c>
      <c r="H742" s="4" t="s">
        <v>27</v>
      </c>
      <c r="I742" s="4" t="s">
        <v>715</v>
      </c>
      <c r="J742" s="4" t="s">
        <v>638</v>
      </c>
      <c r="K742" s="5">
        <v>6123327</v>
      </c>
      <c r="L742" s="5">
        <v>288098</v>
      </c>
      <c r="M742" s="5">
        <v>19</v>
      </c>
      <c r="N742" s="5">
        <v>1</v>
      </c>
      <c r="O742" s="5">
        <v>24.83</v>
      </c>
      <c r="P742" s="5"/>
    </row>
    <row r="743" spans="1:16" x14ac:dyDescent="0.25">
      <c r="A743" s="4" t="s">
        <v>21</v>
      </c>
      <c r="B743" s="4" t="s">
        <v>344</v>
      </c>
      <c r="C743" s="5">
        <v>36298</v>
      </c>
      <c r="D743" s="4" t="s">
        <v>23</v>
      </c>
      <c r="E743" s="4" t="s">
        <v>363</v>
      </c>
      <c r="F743" s="4" t="s">
        <v>364</v>
      </c>
      <c r="G743" s="4" t="s">
        <v>26</v>
      </c>
      <c r="H743" s="4" t="s">
        <v>27</v>
      </c>
      <c r="I743" s="4" t="s">
        <v>715</v>
      </c>
      <c r="J743" s="4" t="s">
        <v>715</v>
      </c>
      <c r="K743" s="5">
        <v>6280630</v>
      </c>
      <c r="L743" s="5">
        <v>348250</v>
      </c>
      <c r="M743" s="5">
        <v>19</v>
      </c>
      <c r="N743" s="5">
        <v>1</v>
      </c>
      <c r="O743" s="5">
        <v>23</v>
      </c>
      <c r="P743" s="5"/>
    </row>
    <row r="744" spans="1:16" x14ac:dyDescent="0.25">
      <c r="A744" s="4" t="s">
        <v>21</v>
      </c>
      <c r="B744" s="4" t="s">
        <v>344</v>
      </c>
      <c r="C744" s="5">
        <v>36305</v>
      </c>
      <c r="D744" s="4" t="s">
        <v>23</v>
      </c>
      <c r="E744" s="4" t="s">
        <v>356</v>
      </c>
      <c r="F744" s="4" t="s">
        <v>359</v>
      </c>
      <c r="G744" s="4" t="s">
        <v>26</v>
      </c>
      <c r="H744" s="4" t="s">
        <v>18</v>
      </c>
      <c r="I744" s="4" t="s">
        <v>715</v>
      </c>
      <c r="J744" s="4" t="s">
        <v>715</v>
      </c>
      <c r="K744" s="5">
        <v>6245636</v>
      </c>
      <c r="L744" s="5">
        <v>338491</v>
      </c>
      <c r="M744" s="5">
        <v>19</v>
      </c>
      <c r="N744" s="5">
        <v>1</v>
      </c>
      <c r="O744" s="5">
        <v>0.4</v>
      </c>
      <c r="P744" s="5"/>
    </row>
    <row r="745" spans="1:16" x14ac:dyDescent="0.25">
      <c r="A745" s="4" t="s">
        <v>21</v>
      </c>
      <c r="B745" s="4" t="s">
        <v>344</v>
      </c>
      <c r="C745" s="5">
        <v>36308</v>
      </c>
      <c r="D745" s="4" t="s">
        <v>23</v>
      </c>
      <c r="E745" s="4" t="s">
        <v>356</v>
      </c>
      <c r="F745" s="4" t="s">
        <v>359</v>
      </c>
      <c r="G745" s="4" t="s">
        <v>26</v>
      </c>
      <c r="H745" s="4" t="s">
        <v>18</v>
      </c>
      <c r="I745" s="4" t="s">
        <v>715</v>
      </c>
      <c r="J745" s="4" t="s">
        <v>715</v>
      </c>
      <c r="K745" s="5">
        <v>6245808</v>
      </c>
      <c r="L745" s="5">
        <v>338364</v>
      </c>
      <c r="M745" s="5">
        <v>19</v>
      </c>
      <c r="N745" s="5">
        <v>1</v>
      </c>
      <c r="O745" s="5">
        <v>0.5</v>
      </c>
      <c r="P745" s="5"/>
    </row>
    <row r="746" spans="1:16" x14ac:dyDescent="0.25">
      <c r="A746" s="4" t="s">
        <v>21</v>
      </c>
      <c r="B746" s="4" t="s">
        <v>344</v>
      </c>
      <c r="C746" s="5">
        <v>36312</v>
      </c>
      <c r="D746" s="4" t="s">
        <v>23</v>
      </c>
      <c r="E746" s="4" t="s">
        <v>356</v>
      </c>
      <c r="F746" s="4" t="s">
        <v>359</v>
      </c>
      <c r="G746" s="4" t="s">
        <v>26</v>
      </c>
      <c r="H746" s="4" t="s">
        <v>18</v>
      </c>
      <c r="I746" s="4" t="s">
        <v>715</v>
      </c>
      <c r="J746" s="4" t="s">
        <v>715</v>
      </c>
      <c r="K746" s="5">
        <v>6245693</v>
      </c>
      <c r="L746" s="5">
        <v>338138</v>
      </c>
      <c r="M746" s="5">
        <v>19</v>
      </c>
      <c r="N746" s="5">
        <v>1</v>
      </c>
      <c r="O746" s="5">
        <v>0.2</v>
      </c>
      <c r="P746" s="5"/>
    </row>
    <row r="747" spans="1:16" x14ac:dyDescent="0.25">
      <c r="A747" s="4" t="s">
        <v>21</v>
      </c>
      <c r="B747" s="4" t="s">
        <v>344</v>
      </c>
      <c r="C747" s="5">
        <v>36329</v>
      </c>
      <c r="D747" s="4" t="s">
        <v>23</v>
      </c>
      <c r="E747" s="4" t="s">
        <v>357</v>
      </c>
      <c r="F747" s="4" t="s">
        <v>361</v>
      </c>
      <c r="G747" s="4" t="s">
        <v>26</v>
      </c>
      <c r="H747" s="4" t="s">
        <v>27</v>
      </c>
      <c r="I747" s="4" t="s">
        <v>715</v>
      </c>
      <c r="J747" s="4" t="s">
        <v>715</v>
      </c>
      <c r="K747" s="5">
        <v>6273795</v>
      </c>
      <c r="L747" s="5">
        <v>340985</v>
      </c>
      <c r="M747" s="5">
        <v>19</v>
      </c>
      <c r="N747" s="5">
        <v>1</v>
      </c>
      <c r="O747" s="5">
        <v>5</v>
      </c>
      <c r="P747" s="5"/>
    </row>
    <row r="748" spans="1:16" x14ac:dyDescent="0.25">
      <c r="A748" s="4" t="s">
        <v>21</v>
      </c>
      <c r="B748" s="4" t="s">
        <v>344</v>
      </c>
      <c r="C748" s="5">
        <v>36330</v>
      </c>
      <c r="D748" s="4" t="s">
        <v>23</v>
      </c>
      <c r="E748" s="4" t="s">
        <v>357</v>
      </c>
      <c r="F748" s="4" t="s">
        <v>361</v>
      </c>
      <c r="G748" s="4" t="s">
        <v>26</v>
      </c>
      <c r="H748" s="4" t="s">
        <v>27</v>
      </c>
      <c r="I748" s="4" t="s">
        <v>715</v>
      </c>
      <c r="J748" s="4" t="s">
        <v>715</v>
      </c>
      <c r="K748" s="5">
        <v>6273639</v>
      </c>
      <c r="L748" s="5">
        <v>341212</v>
      </c>
      <c r="M748" s="5">
        <v>19</v>
      </c>
      <c r="N748" s="5">
        <v>5</v>
      </c>
      <c r="O748" s="5">
        <v>21</v>
      </c>
      <c r="P748" s="5"/>
    </row>
    <row r="749" spans="1:16" x14ac:dyDescent="0.25">
      <c r="A749" s="4" t="s">
        <v>21</v>
      </c>
      <c r="B749" s="4" t="s">
        <v>344</v>
      </c>
      <c r="C749" s="5">
        <v>36334</v>
      </c>
      <c r="D749" s="4" t="s">
        <v>23</v>
      </c>
      <c r="E749" s="4" t="s">
        <v>356</v>
      </c>
      <c r="F749" s="4" t="s">
        <v>359</v>
      </c>
      <c r="G749" s="4" t="s">
        <v>26</v>
      </c>
      <c r="H749" s="4" t="s">
        <v>18</v>
      </c>
      <c r="I749" s="4" t="s">
        <v>715</v>
      </c>
      <c r="J749" s="4" t="s">
        <v>715</v>
      </c>
      <c r="K749" s="5">
        <v>6246437</v>
      </c>
      <c r="L749" s="5">
        <v>337772</v>
      </c>
      <c r="M749" s="5">
        <v>19</v>
      </c>
      <c r="N749" s="5">
        <v>1</v>
      </c>
      <c r="O749" s="5">
        <v>0.4</v>
      </c>
      <c r="P749" s="5"/>
    </row>
    <row r="750" spans="1:16" x14ac:dyDescent="0.25">
      <c r="A750" s="4" t="s">
        <v>21</v>
      </c>
      <c r="B750" s="4" t="s">
        <v>344</v>
      </c>
      <c r="C750" s="5">
        <v>36340</v>
      </c>
      <c r="D750" s="4" t="s">
        <v>23</v>
      </c>
      <c r="E750" s="4" t="s">
        <v>356</v>
      </c>
      <c r="F750" s="4" t="s">
        <v>360</v>
      </c>
      <c r="G750" s="4" t="s">
        <v>26</v>
      </c>
      <c r="H750" s="4" t="s">
        <v>18</v>
      </c>
      <c r="I750" s="4" t="s">
        <v>715</v>
      </c>
      <c r="J750" s="4" t="s">
        <v>715</v>
      </c>
      <c r="K750" s="5">
        <v>6245925</v>
      </c>
      <c r="L750" s="5">
        <v>339075</v>
      </c>
      <c r="M750" s="5">
        <v>19</v>
      </c>
      <c r="N750" s="5">
        <v>1</v>
      </c>
      <c r="O750" s="5">
        <v>0.4</v>
      </c>
      <c r="P750" s="5"/>
    </row>
    <row r="751" spans="1:16" x14ac:dyDescent="0.25">
      <c r="A751" s="4" t="s">
        <v>21</v>
      </c>
      <c r="B751" s="4" t="s">
        <v>344</v>
      </c>
      <c r="C751" s="5">
        <v>36349</v>
      </c>
      <c r="D751" s="4" t="s">
        <v>23</v>
      </c>
      <c r="E751" s="4" t="s">
        <v>356</v>
      </c>
      <c r="F751" s="4" t="s">
        <v>360</v>
      </c>
      <c r="G751" s="4" t="s">
        <v>26</v>
      </c>
      <c r="H751" s="4" t="s">
        <v>18</v>
      </c>
      <c r="I751" s="4" t="s">
        <v>715</v>
      </c>
      <c r="J751" s="4" t="s">
        <v>715</v>
      </c>
      <c r="K751" s="5">
        <v>6246650</v>
      </c>
      <c r="L751" s="5">
        <v>338016</v>
      </c>
      <c r="M751" s="5">
        <v>19</v>
      </c>
      <c r="N751" s="5">
        <v>1</v>
      </c>
      <c r="O751" s="5">
        <v>0.2</v>
      </c>
      <c r="P751" s="5"/>
    </row>
    <row r="752" spans="1:16" x14ac:dyDescent="0.25">
      <c r="A752" s="4" t="s">
        <v>21</v>
      </c>
      <c r="B752" s="4" t="s">
        <v>344</v>
      </c>
      <c r="C752" s="5">
        <v>36352</v>
      </c>
      <c r="D752" s="4" t="s">
        <v>23</v>
      </c>
      <c r="E752" s="4" t="s">
        <v>356</v>
      </c>
      <c r="F752" s="4" t="s">
        <v>360</v>
      </c>
      <c r="G752" s="4" t="s">
        <v>26</v>
      </c>
      <c r="H752" s="4" t="s">
        <v>18</v>
      </c>
      <c r="I752" s="4" t="s">
        <v>715</v>
      </c>
      <c r="J752" s="4" t="s">
        <v>715</v>
      </c>
      <c r="K752" s="5">
        <v>6246833</v>
      </c>
      <c r="L752" s="5">
        <v>338215</v>
      </c>
      <c r="M752" s="5">
        <v>19</v>
      </c>
      <c r="N752" s="5">
        <v>1</v>
      </c>
      <c r="O752" s="5">
        <v>0.3</v>
      </c>
      <c r="P752" s="5"/>
    </row>
    <row r="753" spans="1:16" x14ac:dyDescent="0.25">
      <c r="A753" s="4" t="s">
        <v>21</v>
      </c>
      <c r="B753" s="4" t="s">
        <v>344</v>
      </c>
      <c r="C753" s="5">
        <v>36355</v>
      </c>
      <c r="D753" s="4" t="s">
        <v>23</v>
      </c>
      <c r="E753" s="4" t="s">
        <v>356</v>
      </c>
      <c r="F753" s="4" t="s">
        <v>356</v>
      </c>
      <c r="G753" s="4" t="s">
        <v>26</v>
      </c>
      <c r="H753" s="4" t="s">
        <v>18</v>
      </c>
      <c r="I753" s="4" t="s">
        <v>715</v>
      </c>
      <c r="J753" s="4" t="s">
        <v>715</v>
      </c>
      <c r="K753" s="5">
        <v>6260584</v>
      </c>
      <c r="L753" s="5">
        <v>339066</v>
      </c>
      <c r="M753" s="5">
        <v>19</v>
      </c>
      <c r="N753" s="5">
        <v>1</v>
      </c>
      <c r="O753" s="5">
        <v>0.4</v>
      </c>
      <c r="P753" s="5"/>
    </row>
    <row r="754" spans="1:16" x14ac:dyDescent="0.25">
      <c r="A754" s="4" t="s">
        <v>21</v>
      </c>
      <c r="B754" s="4" t="s">
        <v>344</v>
      </c>
      <c r="C754" s="5">
        <v>36363</v>
      </c>
      <c r="D754" s="4" t="s">
        <v>23</v>
      </c>
      <c r="E754" s="4" t="s">
        <v>356</v>
      </c>
      <c r="F754" s="4" t="s">
        <v>365</v>
      </c>
      <c r="G754" s="4" t="s">
        <v>26</v>
      </c>
      <c r="H754" s="4" t="s">
        <v>128</v>
      </c>
      <c r="I754" s="4" t="s">
        <v>715</v>
      </c>
      <c r="J754" s="4" t="s">
        <v>638</v>
      </c>
      <c r="K754" s="5">
        <v>6251806</v>
      </c>
      <c r="L754" s="5">
        <v>347334</v>
      </c>
      <c r="M754" s="5">
        <v>19</v>
      </c>
      <c r="N754" s="5">
        <v>1</v>
      </c>
      <c r="O754" s="5">
        <v>8</v>
      </c>
      <c r="P754" s="5"/>
    </row>
    <row r="755" spans="1:16" x14ac:dyDescent="0.25">
      <c r="A755" s="4" t="s">
        <v>21</v>
      </c>
      <c r="B755" s="4" t="s">
        <v>344</v>
      </c>
      <c r="C755" s="5">
        <v>36367</v>
      </c>
      <c r="D755" s="4" t="s">
        <v>23</v>
      </c>
      <c r="E755" s="4" t="s">
        <v>366</v>
      </c>
      <c r="F755" s="4" t="s">
        <v>366</v>
      </c>
      <c r="G755" s="4" t="s">
        <v>26</v>
      </c>
      <c r="H755" s="4" t="s">
        <v>18</v>
      </c>
      <c r="I755" s="4" t="s">
        <v>715</v>
      </c>
      <c r="J755" s="4" t="s">
        <v>715</v>
      </c>
      <c r="K755" s="5">
        <v>6288303</v>
      </c>
      <c r="L755" s="5">
        <v>341251</v>
      </c>
      <c r="M755" s="5">
        <v>19</v>
      </c>
      <c r="N755" s="5">
        <v>1</v>
      </c>
      <c r="O755" s="5">
        <v>0.5</v>
      </c>
      <c r="P755" s="5"/>
    </row>
    <row r="756" spans="1:16" x14ac:dyDescent="0.25">
      <c r="A756" s="4" t="s">
        <v>21</v>
      </c>
      <c r="B756" s="4" t="s">
        <v>344</v>
      </c>
      <c r="C756" s="5">
        <v>36368</v>
      </c>
      <c r="D756" s="4" t="s">
        <v>23</v>
      </c>
      <c r="E756" s="4" t="s">
        <v>366</v>
      </c>
      <c r="F756" s="4" t="s">
        <v>366</v>
      </c>
      <c r="G756" s="4" t="s">
        <v>26</v>
      </c>
      <c r="H756" s="4" t="s">
        <v>18</v>
      </c>
      <c r="I756" s="4" t="s">
        <v>715</v>
      </c>
      <c r="J756" s="4" t="s">
        <v>715</v>
      </c>
      <c r="K756" s="5">
        <v>6288063</v>
      </c>
      <c r="L756" s="5">
        <v>341112</v>
      </c>
      <c r="M756" s="5">
        <v>19</v>
      </c>
      <c r="N756" s="5">
        <v>1</v>
      </c>
      <c r="O756" s="5">
        <v>0.5</v>
      </c>
      <c r="P756" s="5"/>
    </row>
    <row r="757" spans="1:16" x14ac:dyDescent="0.25">
      <c r="A757" s="4" t="s">
        <v>21</v>
      </c>
      <c r="B757" s="4" t="s">
        <v>344</v>
      </c>
      <c r="C757" s="5">
        <v>36371</v>
      </c>
      <c r="D757" s="4" t="s">
        <v>23</v>
      </c>
      <c r="E757" s="4" t="s">
        <v>357</v>
      </c>
      <c r="F757" s="4" t="s">
        <v>357</v>
      </c>
      <c r="G757" s="4" t="s">
        <v>26</v>
      </c>
      <c r="H757" s="4" t="s">
        <v>18</v>
      </c>
      <c r="I757" s="4" t="s">
        <v>715</v>
      </c>
      <c r="J757" s="4" t="s">
        <v>715</v>
      </c>
      <c r="K757" s="5">
        <v>6287667</v>
      </c>
      <c r="L757" s="5">
        <v>340357</v>
      </c>
      <c r="M757" s="5">
        <v>19</v>
      </c>
      <c r="N757" s="5">
        <v>1</v>
      </c>
      <c r="O757" s="5">
        <v>0.5</v>
      </c>
      <c r="P757" s="5"/>
    </row>
    <row r="758" spans="1:16" x14ac:dyDescent="0.25">
      <c r="A758" s="4" t="s">
        <v>21</v>
      </c>
      <c r="B758" s="4" t="s">
        <v>344</v>
      </c>
      <c r="C758" s="5">
        <v>36376</v>
      </c>
      <c r="D758" s="4" t="s">
        <v>23</v>
      </c>
      <c r="E758" s="4" t="s">
        <v>357</v>
      </c>
      <c r="F758" s="4" t="s">
        <v>357</v>
      </c>
      <c r="G758" s="4" t="s">
        <v>26</v>
      </c>
      <c r="H758" s="4" t="s">
        <v>18</v>
      </c>
      <c r="I758" s="4" t="s">
        <v>715</v>
      </c>
      <c r="J758" s="4" t="s">
        <v>715</v>
      </c>
      <c r="K758" s="5">
        <v>6287237</v>
      </c>
      <c r="L758" s="5">
        <v>339943</v>
      </c>
      <c r="M758" s="5">
        <v>19</v>
      </c>
      <c r="N758" s="5">
        <v>1</v>
      </c>
      <c r="O758" s="5">
        <v>0.5</v>
      </c>
      <c r="P758" s="5"/>
    </row>
    <row r="759" spans="1:16" x14ac:dyDescent="0.25">
      <c r="A759" s="4" t="s">
        <v>21</v>
      </c>
      <c r="B759" s="4" t="s">
        <v>344</v>
      </c>
      <c r="C759" s="5">
        <v>36378</v>
      </c>
      <c r="D759" s="4" t="s">
        <v>23</v>
      </c>
      <c r="E759" s="4" t="s">
        <v>357</v>
      </c>
      <c r="F759" s="4" t="s">
        <v>357</v>
      </c>
      <c r="G759" s="4" t="s">
        <v>26</v>
      </c>
      <c r="H759" s="4" t="s">
        <v>128</v>
      </c>
      <c r="I759" s="4" t="s">
        <v>715</v>
      </c>
      <c r="J759" s="4" t="s">
        <v>638</v>
      </c>
      <c r="K759" s="5">
        <v>6287018</v>
      </c>
      <c r="L759" s="5">
        <v>340103</v>
      </c>
      <c r="M759" s="5">
        <v>19</v>
      </c>
      <c r="N759" s="5">
        <v>1</v>
      </c>
      <c r="O759" s="5">
        <v>0.5</v>
      </c>
      <c r="P759" s="5"/>
    </row>
    <row r="760" spans="1:16" x14ac:dyDescent="0.25">
      <c r="A760" s="4" t="s">
        <v>21</v>
      </c>
      <c r="B760" s="4" t="s">
        <v>344</v>
      </c>
      <c r="C760" s="5">
        <v>36384</v>
      </c>
      <c r="D760" s="4" t="s">
        <v>23</v>
      </c>
      <c r="E760" s="4" t="s">
        <v>367</v>
      </c>
      <c r="F760" s="4" t="s">
        <v>368</v>
      </c>
      <c r="G760" s="4" t="s">
        <v>26</v>
      </c>
      <c r="H760" s="4" t="s">
        <v>18</v>
      </c>
      <c r="I760" s="4" t="s">
        <v>715</v>
      </c>
      <c r="J760" s="4" t="s">
        <v>715</v>
      </c>
      <c r="K760" s="5">
        <v>6281634</v>
      </c>
      <c r="L760" s="5">
        <v>333657</v>
      </c>
      <c r="M760" s="5">
        <v>19</v>
      </c>
      <c r="N760" s="5">
        <v>1</v>
      </c>
      <c r="O760" s="5">
        <v>0.5</v>
      </c>
      <c r="P760" s="5"/>
    </row>
    <row r="761" spans="1:16" x14ac:dyDescent="0.25">
      <c r="A761" s="4" t="s">
        <v>21</v>
      </c>
      <c r="B761" s="4" t="s">
        <v>344</v>
      </c>
      <c r="C761" s="5">
        <v>36396</v>
      </c>
      <c r="D761" s="4" t="s">
        <v>37</v>
      </c>
      <c r="E761" s="4" t="s">
        <v>295</v>
      </c>
      <c r="F761" s="4" t="s">
        <v>75</v>
      </c>
      <c r="G761" s="4" t="s">
        <v>26</v>
      </c>
      <c r="H761" s="4" t="s">
        <v>27</v>
      </c>
      <c r="I761" s="4" t="s">
        <v>715</v>
      </c>
      <c r="J761" s="4" t="s">
        <v>715</v>
      </c>
      <c r="K761" s="5">
        <v>6226902</v>
      </c>
      <c r="L761" s="5">
        <v>344462</v>
      </c>
      <c r="M761" s="5">
        <v>19</v>
      </c>
      <c r="N761" s="5">
        <v>1</v>
      </c>
      <c r="O761" s="5">
        <v>3</v>
      </c>
      <c r="P761" s="5"/>
    </row>
    <row r="762" spans="1:16" x14ac:dyDescent="0.25">
      <c r="A762" s="4" t="s">
        <v>21</v>
      </c>
      <c r="B762" s="4" t="s">
        <v>344</v>
      </c>
      <c r="C762" s="5">
        <v>36397</v>
      </c>
      <c r="D762" s="4" t="s">
        <v>37</v>
      </c>
      <c r="E762" s="4" t="s">
        <v>169</v>
      </c>
      <c r="F762" s="4" t="s">
        <v>169</v>
      </c>
      <c r="G762" s="4" t="s">
        <v>26</v>
      </c>
      <c r="H762" s="4" t="s">
        <v>27</v>
      </c>
      <c r="I762" s="4" t="s">
        <v>715</v>
      </c>
      <c r="J762" s="4" t="s">
        <v>715</v>
      </c>
      <c r="K762" s="5">
        <v>6215839</v>
      </c>
      <c r="L762" s="5">
        <v>342174</v>
      </c>
      <c r="M762" s="5">
        <v>19</v>
      </c>
      <c r="N762" s="5">
        <v>1</v>
      </c>
      <c r="O762" s="5">
        <v>20</v>
      </c>
      <c r="P762" s="5"/>
    </row>
    <row r="763" spans="1:16" x14ac:dyDescent="0.25">
      <c r="A763" s="4" t="s">
        <v>21</v>
      </c>
      <c r="B763" s="4" t="s">
        <v>344</v>
      </c>
      <c r="C763" s="5">
        <v>36398</v>
      </c>
      <c r="D763" s="4" t="s">
        <v>37</v>
      </c>
      <c r="E763" s="4" t="s">
        <v>169</v>
      </c>
      <c r="F763" s="4" t="s">
        <v>40</v>
      </c>
      <c r="G763" s="4" t="s">
        <v>26</v>
      </c>
      <c r="H763" s="4" t="s">
        <v>27</v>
      </c>
      <c r="I763" s="4" t="s">
        <v>715</v>
      </c>
      <c r="J763" s="4" t="s">
        <v>715</v>
      </c>
      <c r="K763" s="5">
        <v>6216415</v>
      </c>
      <c r="L763" s="5">
        <v>343037</v>
      </c>
      <c r="M763" s="5">
        <v>19</v>
      </c>
      <c r="N763" s="5">
        <v>2</v>
      </c>
      <c r="O763" s="5">
        <v>6</v>
      </c>
      <c r="P763" s="5"/>
    </row>
    <row r="764" spans="1:16" x14ac:dyDescent="0.25">
      <c r="A764" s="4" t="s">
        <v>21</v>
      </c>
      <c r="B764" s="4" t="s">
        <v>344</v>
      </c>
      <c r="C764" s="5">
        <v>36399</v>
      </c>
      <c r="D764" s="4" t="s">
        <v>37</v>
      </c>
      <c r="E764" s="4" t="s">
        <v>169</v>
      </c>
      <c r="F764" s="4" t="s">
        <v>169</v>
      </c>
      <c r="G764" s="4" t="s">
        <v>26</v>
      </c>
      <c r="H764" s="4" t="s">
        <v>27</v>
      </c>
      <c r="I764" s="4" t="s">
        <v>715</v>
      </c>
      <c r="J764" s="4" t="s">
        <v>638</v>
      </c>
      <c r="K764" s="5">
        <v>6216559</v>
      </c>
      <c r="L764" s="5">
        <v>336921</v>
      </c>
      <c r="M764" s="5">
        <v>19</v>
      </c>
      <c r="N764" s="5">
        <v>1</v>
      </c>
      <c r="O764" s="5">
        <v>13</v>
      </c>
      <c r="P764" s="5"/>
    </row>
    <row r="765" spans="1:16" x14ac:dyDescent="0.25">
      <c r="A765" s="4" t="s">
        <v>21</v>
      </c>
      <c r="B765" s="4" t="s">
        <v>344</v>
      </c>
      <c r="C765" s="5">
        <v>36400</v>
      </c>
      <c r="D765" s="4" t="s">
        <v>23</v>
      </c>
      <c r="E765" s="4" t="s">
        <v>357</v>
      </c>
      <c r="F765" s="4" t="s">
        <v>358</v>
      </c>
      <c r="G765" s="4" t="s">
        <v>26</v>
      </c>
      <c r="H765" s="4" t="s">
        <v>27</v>
      </c>
      <c r="I765" s="4" t="s">
        <v>715</v>
      </c>
      <c r="J765" s="4" t="s">
        <v>715</v>
      </c>
      <c r="K765" s="5">
        <v>6277184</v>
      </c>
      <c r="L765" s="5">
        <v>343203</v>
      </c>
      <c r="M765" s="5">
        <v>19</v>
      </c>
      <c r="N765" s="5">
        <v>1</v>
      </c>
      <c r="O765" s="5">
        <v>10</v>
      </c>
      <c r="P765" s="5"/>
    </row>
    <row r="766" spans="1:16" x14ac:dyDescent="0.25">
      <c r="A766" s="4" t="s">
        <v>21</v>
      </c>
      <c r="B766" s="4" t="s">
        <v>344</v>
      </c>
      <c r="C766" s="5">
        <v>36401</v>
      </c>
      <c r="D766" s="4" t="s">
        <v>23</v>
      </c>
      <c r="E766" s="4" t="s">
        <v>363</v>
      </c>
      <c r="F766" s="4" t="s">
        <v>364</v>
      </c>
      <c r="G766" s="4" t="s">
        <v>26</v>
      </c>
      <c r="H766" s="4" t="s">
        <v>27</v>
      </c>
      <c r="I766" s="4" t="s">
        <v>715</v>
      </c>
      <c r="J766" s="4" t="s">
        <v>715</v>
      </c>
      <c r="K766" s="5">
        <v>6280731</v>
      </c>
      <c r="L766" s="5">
        <v>348880</v>
      </c>
      <c r="M766" s="5">
        <v>19</v>
      </c>
      <c r="N766" s="5">
        <v>1</v>
      </c>
      <c r="O766" s="5">
        <v>12</v>
      </c>
      <c r="P766" s="5"/>
    </row>
    <row r="767" spans="1:16" x14ac:dyDescent="0.25">
      <c r="A767" s="4" t="s">
        <v>21</v>
      </c>
      <c r="B767" s="4" t="s">
        <v>344</v>
      </c>
      <c r="C767" s="5">
        <v>36402</v>
      </c>
      <c r="D767" s="4" t="s">
        <v>23</v>
      </c>
      <c r="E767" s="4" t="s">
        <v>357</v>
      </c>
      <c r="F767" s="4" t="s">
        <v>361</v>
      </c>
      <c r="G767" s="4" t="s">
        <v>26</v>
      </c>
      <c r="H767" s="4" t="s">
        <v>27</v>
      </c>
      <c r="I767" s="4" t="s">
        <v>715</v>
      </c>
      <c r="J767" s="4" t="s">
        <v>715</v>
      </c>
      <c r="K767" s="5">
        <v>6273870</v>
      </c>
      <c r="L767" s="5">
        <v>340525</v>
      </c>
      <c r="M767" s="5">
        <v>19</v>
      </c>
      <c r="N767" s="5">
        <v>1</v>
      </c>
      <c r="O767" s="5">
        <v>1</v>
      </c>
      <c r="P767" s="5"/>
    </row>
    <row r="768" spans="1:16" x14ac:dyDescent="0.25">
      <c r="A768" s="4" t="s">
        <v>21</v>
      </c>
      <c r="B768" s="4" t="s">
        <v>344</v>
      </c>
      <c r="C768" s="5">
        <v>36404</v>
      </c>
      <c r="D768" s="4" t="s">
        <v>23</v>
      </c>
      <c r="E768" s="4" t="s">
        <v>357</v>
      </c>
      <c r="F768" s="4" t="s">
        <v>368</v>
      </c>
      <c r="G768" s="4" t="s">
        <v>26</v>
      </c>
      <c r="H768" s="4" t="s">
        <v>27</v>
      </c>
      <c r="I768" s="4" t="s">
        <v>715</v>
      </c>
      <c r="J768" s="4" t="s">
        <v>715</v>
      </c>
      <c r="K768" s="5">
        <v>6282349</v>
      </c>
      <c r="L768" s="5">
        <v>333792</v>
      </c>
      <c r="M768" s="5">
        <v>19</v>
      </c>
      <c r="N768" s="5">
        <v>1</v>
      </c>
      <c r="O768" s="5">
        <v>20</v>
      </c>
      <c r="P768" s="5"/>
    </row>
    <row r="769" spans="1:16" x14ac:dyDescent="0.25">
      <c r="A769" s="4" t="s">
        <v>21</v>
      </c>
      <c r="B769" s="4" t="s">
        <v>344</v>
      </c>
      <c r="C769" s="5">
        <v>36405</v>
      </c>
      <c r="D769" s="4" t="s">
        <v>23</v>
      </c>
      <c r="E769" s="4" t="s">
        <v>357</v>
      </c>
      <c r="F769" s="4" t="s">
        <v>369</v>
      </c>
      <c r="G769" s="4" t="s">
        <v>26</v>
      </c>
      <c r="H769" s="4" t="s">
        <v>27</v>
      </c>
      <c r="I769" s="4" t="s">
        <v>715</v>
      </c>
      <c r="J769" s="4" t="s">
        <v>715</v>
      </c>
      <c r="K769" s="5">
        <v>6267742</v>
      </c>
      <c r="L769" s="5">
        <v>345355</v>
      </c>
      <c r="M769" s="5">
        <v>19</v>
      </c>
      <c r="N769" s="5">
        <v>3</v>
      </c>
      <c r="O769" s="5">
        <v>40</v>
      </c>
      <c r="P769" s="5"/>
    </row>
    <row r="770" spans="1:16" x14ac:dyDescent="0.25">
      <c r="A770" s="4" t="s">
        <v>21</v>
      </c>
      <c r="B770" s="4" t="s">
        <v>344</v>
      </c>
      <c r="C770" s="5">
        <v>36416</v>
      </c>
      <c r="D770" s="4" t="s">
        <v>37</v>
      </c>
      <c r="E770" s="4" t="s">
        <v>370</v>
      </c>
      <c r="F770" s="4" t="s">
        <v>371</v>
      </c>
      <c r="G770" s="4" t="s">
        <v>26</v>
      </c>
      <c r="H770" s="4" t="s">
        <v>18</v>
      </c>
      <c r="I770" s="4" t="s">
        <v>715</v>
      </c>
      <c r="J770" s="4" t="s">
        <v>715</v>
      </c>
      <c r="K770" s="5">
        <v>6200532</v>
      </c>
      <c r="L770" s="5">
        <v>331792</v>
      </c>
      <c r="M770" s="5">
        <v>19</v>
      </c>
      <c r="N770" s="5">
        <v>1</v>
      </c>
      <c r="O770" s="5">
        <v>1</v>
      </c>
      <c r="P770" s="5"/>
    </row>
    <row r="771" spans="1:16" x14ac:dyDescent="0.25">
      <c r="A771" s="4" t="s">
        <v>21</v>
      </c>
      <c r="B771" s="4" t="s">
        <v>344</v>
      </c>
      <c r="C771" s="5">
        <v>36421</v>
      </c>
      <c r="D771" s="4" t="s">
        <v>37</v>
      </c>
      <c r="E771" s="4" t="s">
        <v>370</v>
      </c>
      <c r="F771" s="4" t="s">
        <v>370</v>
      </c>
      <c r="G771" s="4" t="s">
        <v>26</v>
      </c>
      <c r="H771" s="4" t="s">
        <v>18</v>
      </c>
      <c r="I771" s="4" t="s">
        <v>715</v>
      </c>
      <c r="J771" s="4" t="s">
        <v>715</v>
      </c>
      <c r="K771" s="5">
        <v>6193316</v>
      </c>
      <c r="L771" s="5">
        <v>329601</v>
      </c>
      <c r="M771" s="5">
        <v>19</v>
      </c>
      <c r="N771" s="5">
        <v>1</v>
      </c>
      <c r="O771" s="5">
        <v>0.4</v>
      </c>
      <c r="P771" s="5"/>
    </row>
    <row r="772" spans="1:16" x14ac:dyDescent="0.25">
      <c r="A772" s="4" t="s">
        <v>21</v>
      </c>
      <c r="B772" s="4" t="s">
        <v>344</v>
      </c>
      <c r="C772" s="5">
        <v>36441</v>
      </c>
      <c r="D772" s="4" t="s">
        <v>23</v>
      </c>
      <c r="E772" s="4" t="s">
        <v>357</v>
      </c>
      <c r="F772" s="4" t="s">
        <v>357</v>
      </c>
      <c r="G772" s="4" t="s">
        <v>26</v>
      </c>
      <c r="H772" s="4" t="s">
        <v>18</v>
      </c>
      <c r="I772" s="4" t="s">
        <v>715</v>
      </c>
      <c r="J772" s="4" t="s">
        <v>715</v>
      </c>
      <c r="K772" s="5">
        <v>6282042</v>
      </c>
      <c r="L772" s="5">
        <v>340466</v>
      </c>
      <c r="M772" s="5">
        <v>19</v>
      </c>
      <c r="N772" s="5">
        <v>1</v>
      </c>
      <c r="O772" s="5">
        <v>1</v>
      </c>
      <c r="P772" s="5"/>
    </row>
    <row r="773" spans="1:16" x14ac:dyDescent="0.25">
      <c r="A773" s="4" t="s">
        <v>21</v>
      </c>
      <c r="B773" s="4" t="s">
        <v>344</v>
      </c>
      <c r="C773" s="5">
        <v>36448</v>
      </c>
      <c r="D773" s="4" t="s">
        <v>23</v>
      </c>
      <c r="E773" s="4" t="s">
        <v>363</v>
      </c>
      <c r="F773" s="4" t="s">
        <v>363</v>
      </c>
      <c r="G773" s="4" t="s">
        <v>26</v>
      </c>
      <c r="H773" s="4" t="s">
        <v>18</v>
      </c>
      <c r="I773" s="4" t="s">
        <v>715</v>
      </c>
      <c r="J773" s="4" t="s">
        <v>715</v>
      </c>
      <c r="K773" s="5">
        <v>6277327</v>
      </c>
      <c r="L773" s="5">
        <v>347945</v>
      </c>
      <c r="M773" s="5">
        <v>19</v>
      </c>
      <c r="N773" s="5">
        <v>1</v>
      </c>
      <c r="O773" s="5">
        <v>11</v>
      </c>
      <c r="P773" s="5"/>
    </row>
    <row r="774" spans="1:16" x14ac:dyDescent="0.25">
      <c r="A774" s="4" t="s">
        <v>21</v>
      </c>
      <c r="B774" s="4" t="s">
        <v>344</v>
      </c>
      <c r="C774" s="5">
        <v>36449</v>
      </c>
      <c r="D774" s="4" t="s">
        <v>23</v>
      </c>
      <c r="E774" s="4" t="s">
        <v>363</v>
      </c>
      <c r="F774" s="4" t="s">
        <v>363</v>
      </c>
      <c r="G774" s="4" t="s">
        <v>26</v>
      </c>
      <c r="H774" s="4" t="s">
        <v>128</v>
      </c>
      <c r="I774" s="4" t="s">
        <v>715</v>
      </c>
      <c r="J774" s="4" t="s">
        <v>638</v>
      </c>
      <c r="K774" s="5">
        <v>6277327</v>
      </c>
      <c r="L774" s="5">
        <v>347945</v>
      </c>
      <c r="M774" s="5">
        <v>19</v>
      </c>
      <c r="N774" s="5">
        <v>1</v>
      </c>
      <c r="O774" s="5">
        <v>0.4</v>
      </c>
      <c r="P774" s="5"/>
    </row>
    <row r="775" spans="1:16" x14ac:dyDescent="0.25">
      <c r="A775" s="4" t="s">
        <v>21</v>
      </c>
      <c r="B775" s="4" t="s">
        <v>344</v>
      </c>
      <c r="C775" s="5">
        <v>36450</v>
      </c>
      <c r="D775" s="4" t="s">
        <v>23</v>
      </c>
      <c r="E775" s="4" t="s">
        <v>363</v>
      </c>
      <c r="F775" s="4" t="s">
        <v>363</v>
      </c>
      <c r="G775" s="4" t="s">
        <v>26</v>
      </c>
      <c r="H775" s="4" t="s">
        <v>18</v>
      </c>
      <c r="I775" s="4" t="s">
        <v>715</v>
      </c>
      <c r="J775" s="4" t="s">
        <v>715</v>
      </c>
      <c r="K775" s="5">
        <v>6277327</v>
      </c>
      <c r="L775" s="5">
        <v>347945</v>
      </c>
      <c r="M775" s="5">
        <v>19</v>
      </c>
      <c r="N775" s="5">
        <v>1</v>
      </c>
      <c r="O775" s="5">
        <v>0.4</v>
      </c>
      <c r="P775" s="5"/>
    </row>
    <row r="776" spans="1:16" x14ac:dyDescent="0.25">
      <c r="A776" s="4" t="s">
        <v>21</v>
      </c>
      <c r="B776" s="4" t="s">
        <v>344</v>
      </c>
      <c r="C776" s="5">
        <v>36490</v>
      </c>
      <c r="D776" s="4" t="s">
        <v>23</v>
      </c>
      <c r="E776" s="4" t="s">
        <v>356</v>
      </c>
      <c r="F776" s="4" t="s">
        <v>356</v>
      </c>
      <c r="G776" s="4" t="s">
        <v>26</v>
      </c>
      <c r="H776" s="4" t="s">
        <v>18</v>
      </c>
      <c r="I776" s="4" t="s">
        <v>715</v>
      </c>
      <c r="J776" s="4" t="s">
        <v>715</v>
      </c>
      <c r="K776" s="5">
        <v>6260357</v>
      </c>
      <c r="L776" s="5">
        <v>338829</v>
      </c>
      <c r="M776" s="5">
        <v>19</v>
      </c>
      <c r="N776" s="5">
        <v>1</v>
      </c>
      <c r="O776" s="5">
        <v>6</v>
      </c>
      <c r="P776" s="5"/>
    </row>
    <row r="777" spans="1:16" x14ac:dyDescent="0.25">
      <c r="A777" s="4" t="s">
        <v>21</v>
      </c>
      <c r="B777" s="4" t="s">
        <v>344</v>
      </c>
      <c r="C777" s="5">
        <v>36503</v>
      </c>
      <c r="D777" s="4" t="s">
        <v>23</v>
      </c>
      <c r="E777" s="4" t="s">
        <v>357</v>
      </c>
      <c r="F777" s="4" t="s">
        <v>361</v>
      </c>
      <c r="G777" s="4" t="s">
        <v>26</v>
      </c>
      <c r="H777" s="4" t="s">
        <v>18</v>
      </c>
      <c r="I777" s="4" t="s">
        <v>715</v>
      </c>
      <c r="J777" s="4" t="s">
        <v>715</v>
      </c>
      <c r="K777" s="5">
        <v>6271832</v>
      </c>
      <c r="L777" s="5">
        <v>335337</v>
      </c>
      <c r="M777" s="5">
        <v>19</v>
      </c>
      <c r="N777" s="5">
        <v>1</v>
      </c>
      <c r="O777" s="5">
        <v>8</v>
      </c>
      <c r="P777" s="5"/>
    </row>
    <row r="778" spans="1:16" x14ac:dyDescent="0.25">
      <c r="A778" s="4" t="s">
        <v>21</v>
      </c>
      <c r="B778" s="4" t="s">
        <v>344</v>
      </c>
      <c r="C778" s="5">
        <v>36509</v>
      </c>
      <c r="D778" s="4" t="s">
        <v>23</v>
      </c>
      <c r="E778" s="4" t="s">
        <v>356</v>
      </c>
      <c r="F778" s="4" t="s">
        <v>356</v>
      </c>
      <c r="G778" s="4" t="s">
        <v>26</v>
      </c>
      <c r="H778" s="4" t="s">
        <v>27</v>
      </c>
      <c r="I778" s="4" t="s">
        <v>715</v>
      </c>
      <c r="J778" s="4" t="s">
        <v>715</v>
      </c>
      <c r="K778" s="5">
        <v>6257389</v>
      </c>
      <c r="L778" s="5">
        <v>339853</v>
      </c>
      <c r="M778" s="5">
        <v>19</v>
      </c>
      <c r="N778" s="5">
        <v>1</v>
      </c>
      <c r="O778" s="5">
        <v>5</v>
      </c>
      <c r="P778" s="5"/>
    </row>
    <row r="779" spans="1:16" x14ac:dyDescent="0.25">
      <c r="A779" s="4" t="s">
        <v>21</v>
      </c>
      <c r="B779" s="4" t="s">
        <v>344</v>
      </c>
      <c r="C779" s="5">
        <v>36512</v>
      </c>
      <c r="D779" s="4" t="s">
        <v>23</v>
      </c>
      <c r="E779" s="4" t="s">
        <v>356</v>
      </c>
      <c r="F779" s="4" t="s">
        <v>356</v>
      </c>
      <c r="G779" s="4" t="s">
        <v>26</v>
      </c>
      <c r="H779" s="4" t="s">
        <v>27</v>
      </c>
      <c r="I779" s="4" t="s">
        <v>715</v>
      </c>
      <c r="J779" s="4" t="s">
        <v>715</v>
      </c>
      <c r="K779" s="5">
        <v>6260112</v>
      </c>
      <c r="L779" s="5">
        <v>339459</v>
      </c>
      <c r="M779" s="5">
        <v>19</v>
      </c>
      <c r="N779" s="5">
        <v>1</v>
      </c>
      <c r="O779" s="5">
        <v>12</v>
      </c>
      <c r="P779" s="5"/>
    </row>
    <row r="780" spans="1:16" x14ac:dyDescent="0.25">
      <c r="A780" s="4" t="s">
        <v>21</v>
      </c>
      <c r="B780" s="4" t="s">
        <v>344</v>
      </c>
      <c r="C780" s="5">
        <v>36513</v>
      </c>
      <c r="D780" s="4" t="s">
        <v>37</v>
      </c>
      <c r="E780" s="4" t="s">
        <v>370</v>
      </c>
      <c r="F780" s="4" t="s">
        <v>370</v>
      </c>
      <c r="G780" s="4" t="s">
        <v>26</v>
      </c>
      <c r="H780" s="4" t="s">
        <v>18</v>
      </c>
      <c r="I780" s="4" t="s">
        <v>715</v>
      </c>
      <c r="J780" s="4" t="s">
        <v>715</v>
      </c>
      <c r="K780" s="5">
        <v>6198742</v>
      </c>
      <c r="L780" s="5">
        <v>324565</v>
      </c>
      <c r="M780" s="5">
        <v>19</v>
      </c>
      <c r="N780" s="5">
        <v>1</v>
      </c>
      <c r="O780" s="5">
        <v>5</v>
      </c>
      <c r="P780" s="5"/>
    </row>
    <row r="781" spans="1:16" x14ac:dyDescent="0.25">
      <c r="A781" s="4" t="s">
        <v>21</v>
      </c>
      <c r="B781" s="4" t="s">
        <v>344</v>
      </c>
      <c r="C781" s="5">
        <v>36515</v>
      </c>
      <c r="D781" s="4" t="s">
        <v>23</v>
      </c>
      <c r="E781" s="4" t="s">
        <v>357</v>
      </c>
      <c r="F781" s="4" t="s">
        <v>372</v>
      </c>
      <c r="G781" s="4" t="s">
        <v>26</v>
      </c>
      <c r="H781" s="4" t="s">
        <v>27</v>
      </c>
      <c r="I781" s="4" t="s">
        <v>715</v>
      </c>
      <c r="J781" s="4" t="s">
        <v>715</v>
      </c>
      <c r="K781" s="5">
        <v>6267775</v>
      </c>
      <c r="L781" s="5">
        <v>333758</v>
      </c>
      <c r="M781" s="5">
        <v>19</v>
      </c>
      <c r="N781" s="5">
        <v>1</v>
      </c>
      <c r="O781" s="5">
        <v>1.4</v>
      </c>
      <c r="P781" s="5"/>
    </row>
    <row r="782" spans="1:16" x14ac:dyDescent="0.25">
      <c r="A782" s="4" t="s">
        <v>21</v>
      </c>
      <c r="B782" s="4" t="s">
        <v>344</v>
      </c>
      <c r="C782" s="5">
        <v>36516</v>
      </c>
      <c r="D782" s="4" t="s">
        <v>23</v>
      </c>
      <c r="E782" s="4" t="s">
        <v>357</v>
      </c>
      <c r="F782" s="4" t="s">
        <v>372</v>
      </c>
      <c r="G782" s="4" t="s">
        <v>26</v>
      </c>
      <c r="H782" s="4" t="s">
        <v>27</v>
      </c>
      <c r="I782" s="4" t="s">
        <v>715</v>
      </c>
      <c r="J782" s="4" t="s">
        <v>715</v>
      </c>
      <c r="K782" s="5">
        <v>6268196</v>
      </c>
      <c r="L782" s="5">
        <v>333969</v>
      </c>
      <c r="M782" s="5">
        <v>19</v>
      </c>
      <c r="N782" s="5">
        <v>1</v>
      </c>
      <c r="O782" s="5">
        <v>25</v>
      </c>
      <c r="P782" s="5"/>
    </row>
    <row r="783" spans="1:16" x14ac:dyDescent="0.25">
      <c r="A783" s="4" t="s">
        <v>21</v>
      </c>
      <c r="B783" s="4" t="s">
        <v>344</v>
      </c>
      <c r="C783" s="5">
        <v>36518</v>
      </c>
      <c r="D783" s="4" t="s">
        <v>23</v>
      </c>
      <c r="E783" s="4" t="s">
        <v>357</v>
      </c>
      <c r="F783" s="4" t="s">
        <v>372</v>
      </c>
      <c r="G783" s="4" t="s">
        <v>26</v>
      </c>
      <c r="H783" s="4" t="s">
        <v>27</v>
      </c>
      <c r="I783" s="4" t="s">
        <v>715</v>
      </c>
      <c r="J783" s="4" t="s">
        <v>715</v>
      </c>
      <c r="K783" s="5">
        <v>6268536</v>
      </c>
      <c r="L783" s="5">
        <v>334584</v>
      </c>
      <c r="M783" s="5">
        <v>19</v>
      </c>
      <c r="N783" s="5">
        <v>1</v>
      </c>
      <c r="O783" s="5">
        <v>27</v>
      </c>
      <c r="P783" s="5"/>
    </row>
    <row r="784" spans="1:16" x14ac:dyDescent="0.25">
      <c r="A784" s="4" t="s">
        <v>21</v>
      </c>
      <c r="B784" s="4" t="s">
        <v>344</v>
      </c>
      <c r="C784" s="5">
        <v>36521</v>
      </c>
      <c r="D784" s="4" t="s">
        <v>23</v>
      </c>
      <c r="E784" s="4" t="s">
        <v>356</v>
      </c>
      <c r="F784" s="4" t="s">
        <v>356</v>
      </c>
      <c r="G784" s="4" t="s">
        <v>26</v>
      </c>
      <c r="H784" s="4" t="s">
        <v>27</v>
      </c>
      <c r="I784" s="4" t="s">
        <v>715</v>
      </c>
      <c r="J784" s="4" t="s">
        <v>715</v>
      </c>
      <c r="K784" s="5">
        <v>6256348</v>
      </c>
      <c r="L784" s="5">
        <v>344360</v>
      </c>
      <c r="M784" s="5">
        <v>19</v>
      </c>
      <c r="N784" s="5">
        <v>1</v>
      </c>
      <c r="O784" s="5">
        <v>11</v>
      </c>
      <c r="P784" s="5"/>
    </row>
    <row r="785" spans="1:16" x14ac:dyDescent="0.25">
      <c r="A785" s="4" t="s">
        <v>21</v>
      </c>
      <c r="B785" s="4" t="s">
        <v>344</v>
      </c>
      <c r="C785" s="5">
        <v>36522</v>
      </c>
      <c r="D785" s="4" t="s">
        <v>23</v>
      </c>
      <c r="E785" s="4" t="s">
        <v>356</v>
      </c>
      <c r="F785" s="4" t="s">
        <v>365</v>
      </c>
      <c r="G785" s="4" t="s">
        <v>26</v>
      </c>
      <c r="H785" s="4" t="s">
        <v>27</v>
      </c>
      <c r="I785" s="4" t="s">
        <v>715</v>
      </c>
      <c r="J785" s="4" t="s">
        <v>715</v>
      </c>
      <c r="K785" s="5">
        <v>6255936</v>
      </c>
      <c r="L785" s="5">
        <v>344287</v>
      </c>
      <c r="M785" s="5">
        <v>19</v>
      </c>
      <c r="N785" s="5">
        <v>1</v>
      </c>
      <c r="O785" s="5">
        <v>9</v>
      </c>
      <c r="P785" s="5"/>
    </row>
    <row r="786" spans="1:16" x14ac:dyDescent="0.25">
      <c r="A786" s="4" t="s">
        <v>21</v>
      </c>
      <c r="B786" s="4" t="s">
        <v>344</v>
      </c>
      <c r="C786" s="5">
        <v>36523</v>
      </c>
      <c r="D786" s="4" t="s">
        <v>23</v>
      </c>
      <c r="E786" s="4" t="s">
        <v>356</v>
      </c>
      <c r="F786" s="4" t="s">
        <v>356</v>
      </c>
      <c r="G786" s="4" t="s">
        <v>26</v>
      </c>
      <c r="H786" s="4" t="s">
        <v>27</v>
      </c>
      <c r="I786" s="4" t="s">
        <v>715</v>
      </c>
      <c r="J786" s="4" t="s">
        <v>715</v>
      </c>
      <c r="K786" s="5">
        <v>6261743</v>
      </c>
      <c r="L786" s="5">
        <v>339503</v>
      </c>
      <c r="M786" s="5">
        <v>19</v>
      </c>
      <c r="N786" s="5">
        <v>4</v>
      </c>
      <c r="O786" s="5">
        <v>25</v>
      </c>
      <c r="P786" s="5"/>
    </row>
    <row r="787" spans="1:16" x14ac:dyDescent="0.25">
      <c r="A787" s="4" t="s">
        <v>21</v>
      </c>
      <c r="B787" s="4" t="s">
        <v>344</v>
      </c>
      <c r="C787" s="5">
        <v>36581</v>
      </c>
      <c r="D787" s="4" t="s">
        <v>37</v>
      </c>
      <c r="E787" s="4" t="s">
        <v>73</v>
      </c>
      <c r="F787" s="4" t="s">
        <v>73</v>
      </c>
      <c r="G787" s="4" t="s">
        <v>26</v>
      </c>
      <c r="H787" s="4" t="s">
        <v>27</v>
      </c>
      <c r="I787" s="4" t="s">
        <v>715</v>
      </c>
      <c r="J787" s="4" t="s">
        <v>638</v>
      </c>
      <c r="K787" s="5">
        <v>6157592</v>
      </c>
      <c r="L787" s="5">
        <v>316982</v>
      </c>
      <c r="M787" s="5">
        <v>19</v>
      </c>
      <c r="N787" s="5">
        <v>1</v>
      </c>
      <c r="O787" s="5">
        <v>9</v>
      </c>
      <c r="P787" s="5"/>
    </row>
    <row r="788" spans="1:16" x14ac:dyDescent="0.25">
      <c r="A788" s="4" t="s">
        <v>21</v>
      </c>
      <c r="B788" s="4" t="s">
        <v>344</v>
      </c>
      <c r="C788" s="5">
        <v>36582</v>
      </c>
      <c r="D788" s="4" t="s">
        <v>33</v>
      </c>
      <c r="E788" s="4" t="s">
        <v>122</v>
      </c>
      <c r="F788" s="4" t="s">
        <v>373</v>
      </c>
      <c r="G788" s="4" t="s">
        <v>26</v>
      </c>
      <c r="H788" s="4" t="s">
        <v>27</v>
      </c>
      <c r="I788" s="4" t="s">
        <v>715</v>
      </c>
      <c r="J788" s="4" t="s">
        <v>638</v>
      </c>
      <c r="K788" s="5">
        <v>6104106</v>
      </c>
      <c r="L788" s="5">
        <v>297704</v>
      </c>
      <c r="M788" s="5">
        <v>19</v>
      </c>
      <c r="N788" s="5">
        <v>1</v>
      </c>
      <c r="O788" s="5">
        <v>16.600000000000001</v>
      </c>
      <c r="P788" s="5"/>
    </row>
    <row r="789" spans="1:16" x14ac:dyDescent="0.25">
      <c r="A789" s="4" t="s">
        <v>21</v>
      </c>
      <c r="B789" s="4" t="s">
        <v>344</v>
      </c>
      <c r="C789" s="5">
        <v>36583</v>
      </c>
      <c r="D789" s="4" t="s">
        <v>33</v>
      </c>
      <c r="E789" s="4" t="s">
        <v>247</v>
      </c>
      <c r="F789" s="4" t="s">
        <v>247</v>
      </c>
      <c r="G789" s="4" t="s">
        <v>26</v>
      </c>
      <c r="H789" s="4" t="s">
        <v>27</v>
      </c>
      <c r="I789" s="4" t="s">
        <v>715</v>
      </c>
      <c r="J789" s="4" t="s">
        <v>638</v>
      </c>
      <c r="K789" s="5">
        <v>6124388</v>
      </c>
      <c r="L789" s="5">
        <v>284696</v>
      </c>
      <c r="M789" s="5">
        <v>19</v>
      </c>
      <c r="N789" s="5">
        <v>1</v>
      </c>
      <c r="O789" s="5">
        <v>5.42</v>
      </c>
      <c r="P789" s="5"/>
    </row>
    <row r="790" spans="1:16" x14ac:dyDescent="0.25">
      <c r="A790" s="4" t="s">
        <v>21</v>
      </c>
      <c r="B790" s="4" t="s">
        <v>344</v>
      </c>
      <c r="C790" s="5">
        <v>36584</v>
      </c>
      <c r="D790" s="4" t="s">
        <v>33</v>
      </c>
      <c r="E790" s="4" t="s">
        <v>34</v>
      </c>
      <c r="F790" s="4" t="s">
        <v>82</v>
      </c>
      <c r="G790" s="4" t="s">
        <v>26</v>
      </c>
      <c r="H790" s="4" t="s">
        <v>27</v>
      </c>
      <c r="I790" s="4" t="s">
        <v>715</v>
      </c>
      <c r="J790" s="4" t="s">
        <v>638</v>
      </c>
      <c r="K790" s="5">
        <v>6124073</v>
      </c>
      <c r="L790" s="5">
        <v>299924</v>
      </c>
      <c r="M790" s="5">
        <v>19</v>
      </c>
      <c r="N790" s="5">
        <v>1</v>
      </c>
      <c r="O790" s="5">
        <v>31.4</v>
      </c>
      <c r="P790" s="5"/>
    </row>
    <row r="791" spans="1:16" x14ac:dyDescent="0.25">
      <c r="A791" s="4" t="s">
        <v>21</v>
      </c>
      <c r="B791" s="4" t="s">
        <v>344</v>
      </c>
      <c r="C791" s="5">
        <v>36585</v>
      </c>
      <c r="D791" s="4" t="s">
        <v>33</v>
      </c>
      <c r="E791" s="4" t="s">
        <v>34</v>
      </c>
      <c r="F791" s="4" t="s">
        <v>82</v>
      </c>
      <c r="G791" s="4" t="s">
        <v>26</v>
      </c>
      <c r="H791" s="4" t="s">
        <v>27</v>
      </c>
      <c r="I791" s="4" t="s">
        <v>715</v>
      </c>
      <c r="J791" s="4" t="s">
        <v>638</v>
      </c>
      <c r="K791" s="5">
        <v>6124336</v>
      </c>
      <c r="L791" s="5">
        <v>299791</v>
      </c>
      <c r="M791" s="5">
        <v>19</v>
      </c>
      <c r="N791" s="5">
        <v>1</v>
      </c>
      <c r="O791" s="5">
        <v>5.4</v>
      </c>
      <c r="P791" s="5"/>
    </row>
    <row r="792" spans="1:16" x14ac:dyDescent="0.25">
      <c r="A792" s="4" t="s">
        <v>21</v>
      </c>
      <c r="B792" s="4" t="s">
        <v>344</v>
      </c>
      <c r="C792" s="5">
        <v>36586</v>
      </c>
      <c r="D792" s="4" t="s">
        <v>33</v>
      </c>
      <c r="E792" s="4" t="s">
        <v>247</v>
      </c>
      <c r="F792" s="4" t="s">
        <v>324</v>
      </c>
      <c r="G792" s="4" t="s">
        <v>26</v>
      </c>
      <c r="H792" s="4" t="s">
        <v>27</v>
      </c>
      <c r="I792" s="4" t="s">
        <v>715</v>
      </c>
      <c r="J792" s="4" t="s">
        <v>638</v>
      </c>
      <c r="K792" s="5">
        <v>6119492</v>
      </c>
      <c r="L792" s="5">
        <v>291218</v>
      </c>
      <c r="M792" s="5">
        <v>19</v>
      </c>
      <c r="N792" s="5">
        <v>1</v>
      </c>
      <c r="O792" s="5">
        <v>11</v>
      </c>
      <c r="P792" s="5"/>
    </row>
    <row r="793" spans="1:16" x14ac:dyDescent="0.25">
      <c r="A793" s="4" t="s">
        <v>21</v>
      </c>
      <c r="B793" s="4" t="s">
        <v>344</v>
      </c>
      <c r="C793" s="5">
        <v>36587</v>
      </c>
      <c r="D793" s="4" t="s">
        <v>33</v>
      </c>
      <c r="E793" s="4" t="s">
        <v>122</v>
      </c>
      <c r="F793" s="4" t="s">
        <v>122</v>
      </c>
      <c r="G793" s="4" t="s">
        <v>26</v>
      </c>
      <c r="H793" s="4" t="s">
        <v>27</v>
      </c>
      <c r="I793" s="4" t="s">
        <v>715</v>
      </c>
      <c r="J793" s="4" t="s">
        <v>638</v>
      </c>
      <c r="K793" s="5">
        <v>6114417</v>
      </c>
      <c r="L793" s="5">
        <v>292062</v>
      </c>
      <c r="M793" s="5">
        <v>19</v>
      </c>
      <c r="N793" s="5">
        <v>1</v>
      </c>
      <c r="O793" s="5">
        <v>16.45</v>
      </c>
      <c r="P793" s="5"/>
    </row>
    <row r="794" spans="1:16" x14ac:dyDescent="0.25">
      <c r="A794" s="4" t="s">
        <v>21</v>
      </c>
      <c r="B794" s="4" t="s">
        <v>344</v>
      </c>
      <c r="C794" s="5">
        <v>36588</v>
      </c>
      <c r="D794" s="4" t="s">
        <v>33</v>
      </c>
      <c r="E794" s="4" t="s">
        <v>122</v>
      </c>
      <c r="F794" s="4" t="s">
        <v>122</v>
      </c>
      <c r="G794" s="4" t="s">
        <v>26</v>
      </c>
      <c r="H794" s="4" t="s">
        <v>27</v>
      </c>
      <c r="I794" s="4" t="s">
        <v>715</v>
      </c>
      <c r="J794" s="4" t="s">
        <v>638</v>
      </c>
      <c r="K794" s="5">
        <v>6114861</v>
      </c>
      <c r="L794" s="5">
        <v>292282</v>
      </c>
      <c r="M794" s="5">
        <v>19</v>
      </c>
      <c r="N794" s="5">
        <v>1</v>
      </c>
      <c r="O794" s="5">
        <v>3.2</v>
      </c>
      <c r="P794" s="5"/>
    </row>
    <row r="795" spans="1:16" x14ac:dyDescent="0.25">
      <c r="A795" s="4" t="s">
        <v>21</v>
      </c>
      <c r="B795" s="4" t="s">
        <v>344</v>
      </c>
      <c r="C795" s="5">
        <v>36589</v>
      </c>
      <c r="D795" s="4" t="s">
        <v>33</v>
      </c>
      <c r="E795" s="4" t="s">
        <v>122</v>
      </c>
      <c r="F795" s="4" t="s">
        <v>122</v>
      </c>
      <c r="G795" s="4" t="s">
        <v>26</v>
      </c>
      <c r="H795" s="4" t="s">
        <v>27</v>
      </c>
      <c r="I795" s="4" t="s">
        <v>715</v>
      </c>
      <c r="J795" s="4" t="s">
        <v>638</v>
      </c>
      <c r="K795" s="5">
        <v>6103495</v>
      </c>
      <c r="L795" s="5">
        <v>298185</v>
      </c>
      <c r="M795" s="5">
        <v>19</v>
      </c>
      <c r="N795" s="5">
        <v>1</v>
      </c>
      <c r="O795" s="5">
        <v>4.5</v>
      </c>
      <c r="P795" s="5"/>
    </row>
    <row r="796" spans="1:16" x14ac:dyDescent="0.25">
      <c r="A796" s="4" t="s">
        <v>21</v>
      </c>
      <c r="B796" s="4" t="s">
        <v>344</v>
      </c>
      <c r="C796" s="5">
        <v>36590</v>
      </c>
      <c r="D796" s="4" t="s">
        <v>33</v>
      </c>
      <c r="E796" s="4" t="s">
        <v>247</v>
      </c>
      <c r="F796" s="4" t="s">
        <v>247</v>
      </c>
      <c r="G796" s="4" t="s">
        <v>26</v>
      </c>
      <c r="H796" s="4" t="s">
        <v>27</v>
      </c>
      <c r="I796" s="4" t="s">
        <v>715</v>
      </c>
      <c r="J796" s="4" t="s">
        <v>638</v>
      </c>
      <c r="K796" s="5">
        <v>6124402</v>
      </c>
      <c r="L796" s="5">
        <v>285589</v>
      </c>
      <c r="M796" s="5">
        <v>19</v>
      </c>
      <c r="N796" s="5">
        <v>3</v>
      </c>
      <c r="O796" s="5">
        <v>9.1999999999999993</v>
      </c>
      <c r="P796" s="5"/>
    </row>
    <row r="797" spans="1:16" x14ac:dyDescent="0.25">
      <c r="A797" s="4" t="s">
        <v>21</v>
      </c>
      <c r="B797" s="4" t="s">
        <v>344</v>
      </c>
      <c r="C797" s="5">
        <v>36591</v>
      </c>
      <c r="D797" s="4" t="s">
        <v>33</v>
      </c>
      <c r="E797" s="4" t="s">
        <v>167</v>
      </c>
      <c r="F797" s="4" t="s">
        <v>374</v>
      </c>
      <c r="G797" s="4" t="s">
        <v>26</v>
      </c>
      <c r="H797" s="4" t="s">
        <v>27</v>
      </c>
      <c r="I797" s="4" t="s">
        <v>715</v>
      </c>
      <c r="J797" s="4" t="s">
        <v>638</v>
      </c>
      <c r="K797" s="5">
        <v>6103741</v>
      </c>
      <c r="L797" s="5">
        <v>293667</v>
      </c>
      <c r="M797" s="5">
        <v>19</v>
      </c>
      <c r="N797" s="5">
        <v>1</v>
      </c>
      <c r="O797" s="5">
        <v>21</v>
      </c>
      <c r="P797" s="5"/>
    </row>
    <row r="798" spans="1:16" x14ac:dyDescent="0.25">
      <c r="A798" s="4" t="s">
        <v>21</v>
      </c>
      <c r="B798" s="4" t="s">
        <v>344</v>
      </c>
      <c r="C798" s="5">
        <v>36592</v>
      </c>
      <c r="D798" s="4" t="s">
        <v>33</v>
      </c>
      <c r="E798" s="4" t="s">
        <v>34</v>
      </c>
      <c r="F798" s="4" t="s">
        <v>251</v>
      </c>
      <c r="G798" s="4" t="s">
        <v>26</v>
      </c>
      <c r="H798" s="4" t="s">
        <v>27</v>
      </c>
      <c r="I798" s="4" t="s">
        <v>715</v>
      </c>
      <c r="J798" s="4" t="s">
        <v>638</v>
      </c>
      <c r="K798" s="5">
        <v>6114682</v>
      </c>
      <c r="L798" s="5">
        <v>307252</v>
      </c>
      <c r="M798" s="5">
        <v>19</v>
      </c>
      <c r="N798" s="5">
        <v>4</v>
      </c>
      <c r="O798" s="5">
        <v>36.5</v>
      </c>
      <c r="P798" s="5"/>
    </row>
    <row r="799" spans="1:16" x14ac:dyDescent="0.25">
      <c r="A799" s="4" t="s">
        <v>21</v>
      </c>
      <c r="B799" s="4" t="s">
        <v>344</v>
      </c>
      <c r="C799" s="5">
        <v>36601</v>
      </c>
      <c r="D799" s="4" t="s">
        <v>33</v>
      </c>
      <c r="E799" s="4" t="s">
        <v>43</v>
      </c>
      <c r="F799" s="4" t="s">
        <v>375</v>
      </c>
      <c r="G799" s="4" t="s">
        <v>26</v>
      </c>
      <c r="H799" s="4" t="s">
        <v>27</v>
      </c>
      <c r="I799" s="4" t="s">
        <v>715</v>
      </c>
      <c r="J799" s="4" t="s">
        <v>638</v>
      </c>
      <c r="K799" s="5">
        <v>6073131</v>
      </c>
      <c r="L799" s="5">
        <v>272021</v>
      </c>
      <c r="M799" s="5">
        <v>19</v>
      </c>
      <c r="N799" s="5">
        <v>1</v>
      </c>
      <c r="O799" s="5">
        <v>4.5</v>
      </c>
      <c r="P799" s="5"/>
    </row>
    <row r="800" spans="1:16" x14ac:dyDescent="0.25">
      <c r="A800" s="4" t="s">
        <v>21</v>
      </c>
      <c r="B800" s="4" t="s">
        <v>344</v>
      </c>
      <c r="C800" s="5">
        <v>36602</v>
      </c>
      <c r="D800" s="4" t="s">
        <v>33</v>
      </c>
      <c r="E800" s="4" t="s">
        <v>43</v>
      </c>
      <c r="F800" s="4" t="s">
        <v>43</v>
      </c>
      <c r="G800" s="4" t="s">
        <v>26</v>
      </c>
      <c r="H800" s="4" t="s">
        <v>27</v>
      </c>
      <c r="I800" s="4" t="s">
        <v>715</v>
      </c>
      <c r="J800" s="4" t="s">
        <v>638</v>
      </c>
      <c r="K800" s="5">
        <v>6068816</v>
      </c>
      <c r="L800" s="5">
        <v>277151</v>
      </c>
      <c r="M800" s="5">
        <v>19</v>
      </c>
      <c r="N800" s="5">
        <v>1</v>
      </c>
      <c r="O800" s="5">
        <v>30</v>
      </c>
      <c r="P800" s="5"/>
    </row>
    <row r="801" spans="1:16" x14ac:dyDescent="0.25">
      <c r="A801" s="4" t="s">
        <v>21</v>
      </c>
      <c r="B801" s="4" t="s">
        <v>344</v>
      </c>
      <c r="C801" s="5">
        <v>36603</v>
      </c>
      <c r="D801" s="4" t="s">
        <v>33</v>
      </c>
      <c r="E801" s="4" t="s">
        <v>144</v>
      </c>
      <c r="F801" s="4" t="s">
        <v>376</v>
      </c>
      <c r="G801" s="4" t="s">
        <v>26</v>
      </c>
      <c r="H801" s="4" t="s">
        <v>27</v>
      </c>
      <c r="I801" s="4" t="s">
        <v>715</v>
      </c>
      <c r="J801" s="4" t="s">
        <v>638</v>
      </c>
      <c r="K801" s="5">
        <v>6059568</v>
      </c>
      <c r="L801" s="5">
        <v>253469</v>
      </c>
      <c r="M801" s="5">
        <v>19</v>
      </c>
      <c r="N801" s="5">
        <v>1</v>
      </c>
      <c r="O801" s="5">
        <v>25</v>
      </c>
      <c r="P801" s="5"/>
    </row>
    <row r="802" spans="1:16" x14ac:dyDescent="0.25">
      <c r="A802" s="4" t="s">
        <v>21</v>
      </c>
      <c r="B802" s="4" t="s">
        <v>344</v>
      </c>
      <c r="C802" s="5">
        <v>36604</v>
      </c>
      <c r="D802" s="4" t="s">
        <v>33</v>
      </c>
      <c r="E802" s="4" t="s">
        <v>43</v>
      </c>
      <c r="F802" s="4" t="s">
        <v>43</v>
      </c>
      <c r="G802" s="4" t="s">
        <v>26</v>
      </c>
      <c r="H802" s="4" t="s">
        <v>27</v>
      </c>
      <c r="I802" s="4" t="s">
        <v>715</v>
      </c>
      <c r="J802" s="4" t="s">
        <v>638</v>
      </c>
      <c r="K802" s="5">
        <v>6069183</v>
      </c>
      <c r="L802" s="5">
        <v>275598</v>
      </c>
      <c r="M802" s="5">
        <v>19</v>
      </c>
      <c r="N802" s="5">
        <v>1</v>
      </c>
      <c r="O802" s="5">
        <v>9.5</v>
      </c>
      <c r="P802" s="5"/>
    </row>
    <row r="803" spans="1:16" x14ac:dyDescent="0.25">
      <c r="A803" s="4" t="s">
        <v>21</v>
      </c>
      <c r="B803" s="4" t="s">
        <v>344</v>
      </c>
      <c r="C803" s="5">
        <v>36605</v>
      </c>
      <c r="D803" s="4" t="s">
        <v>33</v>
      </c>
      <c r="E803" s="4" t="s">
        <v>43</v>
      </c>
      <c r="F803" s="4" t="s">
        <v>43</v>
      </c>
      <c r="G803" s="4" t="s">
        <v>26</v>
      </c>
      <c r="H803" s="4" t="s">
        <v>27</v>
      </c>
      <c r="I803" s="4" t="s">
        <v>715</v>
      </c>
      <c r="J803" s="4" t="s">
        <v>638</v>
      </c>
      <c r="K803" s="5">
        <v>6069267</v>
      </c>
      <c r="L803" s="5">
        <v>276381</v>
      </c>
      <c r="M803" s="5">
        <v>19</v>
      </c>
      <c r="N803" s="5">
        <v>1</v>
      </c>
      <c r="O803" s="5">
        <v>21</v>
      </c>
      <c r="P803" s="5"/>
    </row>
    <row r="804" spans="1:16" x14ac:dyDescent="0.25">
      <c r="A804" s="4" t="s">
        <v>21</v>
      </c>
      <c r="B804" s="4" t="s">
        <v>344</v>
      </c>
      <c r="C804" s="5">
        <v>36723</v>
      </c>
      <c r="D804" s="4" t="s">
        <v>33</v>
      </c>
      <c r="E804" s="4" t="s">
        <v>35</v>
      </c>
      <c r="F804" s="4" t="s">
        <v>377</v>
      </c>
      <c r="G804" s="4" t="s">
        <v>26</v>
      </c>
      <c r="H804" s="4" t="s">
        <v>18</v>
      </c>
      <c r="I804" s="4" t="s">
        <v>715</v>
      </c>
      <c r="J804" s="4" t="s">
        <v>715</v>
      </c>
      <c r="K804" s="5">
        <v>6133138</v>
      </c>
      <c r="L804" s="5">
        <v>311091</v>
      </c>
      <c r="M804" s="5">
        <v>19</v>
      </c>
      <c r="N804" s="5">
        <v>1</v>
      </c>
      <c r="O804" s="5">
        <v>0.5</v>
      </c>
      <c r="P804" s="5"/>
    </row>
    <row r="805" spans="1:16" x14ac:dyDescent="0.25">
      <c r="A805" s="4" t="s">
        <v>21</v>
      </c>
      <c r="B805" s="4" t="s">
        <v>344</v>
      </c>
      <c r="C805" s="5">
        <v>36749</v>
      </c>
      <c r="D805" s="4" t="s">
        <v>33</v>
      </c>
      <c r="E805" s="4" t="s">
        <v>35</v>
      </c>
      <c r="F805" s="4" t="s">
        <v>377</v>
      </c>
      <c r="G805" s="4" t="s">
        <v>26</v>
      </c>
      <c r="H805" s="4" t="s">
        <v>18</v>
      </c>
      <c r="I805" s="4" t="s">
        <v>715</v>
      </c>
      <c r="J805" s="4" t="s">
        <v>715</v>
      </c>
      <c r="K805" s="5">
        <v>6133360</v>
      </c>
      <c r="L805" s="5">
        <v>311253</v>
      </c>
      <c r="M805" s="5">
        <v>19</v>
      </c>
      <c r="N805" s="5">
        <v>1</v>
      </c>
      <c r="O805" s="5">
        <v>0.5</v>
      </c>
      <c r="P805" s="5"/>
    </row>
    <row r="806" spans="1:16" x14ac:dyDescent="0.25">
      <c r="A806" s="4" t="s">
        <v>21</v>
      </c>
      <c r="B806" s="4" t="s">
        <v>344</v>
      </c>
      <c r="C806" s="5">
        <v>36754</v>
      </c>
      <c r="D806" s="4" t="s">
        <v>33</v>
      </c>
      <c r="E806" s="4" t="s">
        <v>35</v>
      </c>
      <c r="F806" s="4" t="s">
        <v>377</v>
      </c>
      <c r="G806" s="4" t="s">
        <v>26</v>
      </c>
      <c r="H806" s="4" t="s">
        <v>18</v>
      </c>
      <c r="I806" s="4" t="s">
        <v>715</v>
      </c>
      <c r="J806" s="4" t="s">
        <v>715</v>
      </c>
      <c r="K806" s="5">
        <v>6128742</v>
      </c>
      <c r="L806" s="5">
        <v>319810</v>
      </c>
      <c r="M806" s="5">
        <v>19</v>
      </c>
      <c r="N806" s="5">
        <v>1</v>
      </c>
      <c r="O806" s="5">
        <v>0.5</v>
      </c>
      <c r="P806" s="5"/>
    </row>
    <row r="807" spans="1:16" x14ac:dyDescent="0.25">
      <c r="A807" s="4" t="s">
        <v>21</v>
      </c>
      <c r="B807" s="4" t="s">
        <v>344</v>
      </c>
      <c r="C807" s="5">
        <v>36774</v>
      </c>
      <c r="D807" s="4" t="s">
        <v>23</v>
      </c>
      <c r="E807" s="4" t="s">
        <v>357</v>
      </c>
      <c r="F807" s="4" t="s">
        <v>358</v>
      </c>
      <c r="G807" s="4" t="s">
        <v>26</v>
      </c>
      <c r="H807" s="4" t="s">
        <v>27</v>
      </c>
      <c r="I807" s="4" t="s">
        <v>715</v>
      </c>
      <c r="J807" s="4" t="s">
        <v>715</v>
      </c>
      <c r="K807" s="5">
        <v>6277224</v>
      </c>
      <c r="L807" s="5">
        <v>343599</v>
      </c>
      <c r="M807" s="5">
        <v>19</v>
      </c>
      <c r="N807" s="5">
        <v>6</v>
      </c>
      <c r="O807" s="5">
        <v>40</v>
      </c>
      <c r="P807" s="5"/>
    </row>
    <row r="808" spans="1:16" x14ac:dyDescent="0.25">
      <c r="A808" s="4" t="s">
        <v>21</v>
      </c>
      <c r="B808" s="4" t="s">
        <v>344</v>
      </c>
      <c r="C808" s="5">
        <v>36775</v>
      </c>
      <c r="D808" s="4" t="s">
        <v>33</v>
      </c>
      <c r="E808" s="4" t="s">
        <v>35</v>
      </c>
      <c r="F808" s="4" t="s">
        <v>377</v>
      </c>
      <c r="G808" s="4" t="s">
        <v>26</v>
      </c>
      <c r="H808" s="4" t="s">
        <v>18</v>
      </c>
      <c r="I808" s="4" t="s">
        <v>715</v>
      </c>
      <c r="J808" s="4" t="s">
        <v>715</v>
      </c>
      <c r="K808" s="5">
        <v>6129005</v>
      </c>
      <c r="L808" s="5">
        <v>319927</v>
      </c>
      <c r="M808" s="5">
        <v>19</v>
      </c>
      <c r="N808" s="5">
        <v>1</v>
      </c>
      <c r="O808" s="5">
        <v>0.5</v>
      </c>
      <c r="P808" s="5"/>
    </row>
    <row r="809" spans="1:16" x14ac:dyDescent="0.25">
      <c r="A809" s="4" t="s">
        <v>21</v>
      </c>
      <c r="B809" s="4" t="s">
        <v>344</v>
      </c>
      <c r="C809" s="5">
        <v>36801</v>
      </c>
      <c r="D809" s="4" t="s">
        <v>23</v>
      </c>
      <c r="E809" s="4" t="s">
        <v>357</v>
      </c>
      <c r="F809" s="4" t="s">
        <v>369</v>
      </c>
      <c r="G809" s="4" t="s">
        <v>26</v>
      </c>
      <c r="H809" s="4" t="s">
        <v>27</v>
      </c>
      <c r="I809" s="4" t="s">
        <v>715</v>
      </c>
      <c r="J809" s="4" t="s">
        <v>638</v>
      </c>
      <c r="K809" s="5">
        <v>6276323</v>
      </c>
      <c r="L809" s="5">
        <v>347680</v>
      </c>
      <c r="M809" s="5">
        <v>19</v>
      </c>
      <c r="N809" s="5">
        <v>3</v>
      </c>
      <c r="O809" s="5">
        <v>25</v>
      </c>
      <c r="P809" s="5"/>
    </row>
    <row r="810" spans="1:16" x14ac:dyDescent="0.25">
      <c r="A810" s="4" t="s">
        <v>21</v>
      </c>
      <c r="B810" s="4" t="s">
        <v>344</v>
      </c>
      <c r="C810" s="5">
        <v>36809</v>
      </c>
      <c r="D810" s="4" t="s">
        <v>33</v>
      </c>
      <c r="E810" s="4" t="s">
        <v>43</v>
      </c>
      <c r="F810" s="4" t="s">
        <v>162</v>
      </c>
      <c r="G810" s="4" t="s">
        <v>26</v>
      </c>
      <c r="H810" s="4" t="s">
        <v>18</v>
      </c>
      <c r="I810" s="4" t="s">
        <v>715</v>
      </c>
      <c r="J810" s="4" t="s">
        <v>715</v>
      </c>
      <c r="K810" s="5">
        <v>6061922</v>
      </c>
      <c r="L810" s="5">
        <v>283011</v>
      </c>
      <c r="M810" s="5">
        <v>19</v>
      </c>
      <c r="N810" s="5">
        <v>1</v>
      </c>
      <c r="O810" s="5">
        <v>3</v>
      </c>
      <c r="P810" s="5"/>
    </row>
    <row r="811" spans="1:16" x14ac:dyDescent="0.25">
      <c r="A811" s="4" t="s">
        <v>21</v>
      </c>
      <c r="B811" s="4" t="s">
        <v>344</v>
      </c>
      <c r="C811" s="5">
        <v>36819</v>
      </c>
      <c r="D811" s="4" t="s">
        <v>33</v>
      </c>
      <c r="E811" s="4" t="s">
        <v>43</v>
      </c>
      <c r="F811" s="4" t="s">
        <v>136</v>
      </c>
      <c r="G811" s="4" t="s">
        <v>26</v>
      </c>
      <c r="H811" s="4" t="s">
        <v>18</v>
      </c>
      <c r="I811" s="4" t="s">
        <v>715</v>
      </c>
      <c r="J811" s="4" t="s">
        <v>715</v>
      </c>
      <c r="K811" s="5">
        <v>6067329</v>
      </c>
      <c r="L811" s="5">
        <v>283153</v>
      </c>
      <c r="M811" s="5">
        <v>19</v>
      </c>
      <c r="N811" s="5">
        <v>1</v>
      </c>
      <c r="O811" s="5">
        <v>0.4</v>
      </c>
      <c r="P811" s="5"/>
    </row>
    <row r="812" spans="1:16" x14ac:dyDescent="0.25">
      <c r="A812" s="4" t="s">
        <v>21</v>
      </c>
      <c r="B812" s="4" t="s">
        <v>344</v>
      </c>
      <c r="C812" s="5">
        <v>36820</v>
      </c>
      <c r="D812" s="4" t="s">
        <v>33</v>
      </c>
      <c r="E812" s="4" t="s">
        <v>43</v>
      </c>
      <c r="F812" s="4" t="s">
        <v>136</v>
      </c>
      <c r="G812" s="4" t="s">
        <v>26</v>
      </c>
      <c r="H812" s="4" t="s">
        <v>18</v>
      </c>
      <c r="I812" s="4" t="s">
        <v>715</v>
      </c>
      <c r="J812" s="4" t="s">
        <v>715</v>
      </c>
      <c r="K812" s="5">
        <v>6071307</v>
      </c>
      <c r="L812" s="5">
        <v>285162</v>
      </c>
      <c r="M812" s="5">
        <v>19</v>
      </c>
      <c r="N812" s="5">
        <v>1</v>
      </c>
      <c r="O812" s="5">
        <v>0.4</v>
      </c>
      <c r="P812" s="5"/>
    </row>
    <row r="813" spans="1:16" x14ac:dyDescent="0.25">
      <c r="A813" s="4" t="s">
        <v>21</v>
      </c>
      <c r="B813" s="4" t="s">
        <v>344</v>
      </c>
      <c r="C813" s="5">
        <v>36821</v>
      </c>
      <c r="D813" s="4" t="s">
        <v>33</v>
      </c>
      <c r="E813" s="4" t="s">
        <v>43</v>
      </c>
      <c r="F813" s="4" t="s">
        <v>136</v>
      </c>
      <c r="G813" s="4" t="s">
        <v>26</v>
      </c>
      <c r="H813" s="4" t="s">
        <v>18</v>
      </c>
      <c r="I813" s="4" t="s">
        <v>715</v>
      </c>
      <c r="J813" s="4" t="s">
        <v>715</v>
      </c>
      <c r="K813" s="5">
        <v>6067688</v>
      </c>
      <c r="L813" s="5">
        <v>283068</v>
      </c>
      <c r="M813" s="5">
        <v>19</v>
      </c>
      <c r="N813" s="5">
        <v>1</v>
      </c>
      <c r="O813" s="5">
        <v>0.4</v>
      </c>
      <c r="P813" s="5"/>
    </row>
    <row r="814" spans="1:16" x14ac:dyDescent="0.25">
      <c r="A814" s="4" t="s">
        <v>21</v>
      </c>
      <c r="B814" s="4" t="s">
        <v>344</v>
      </c>
      <c r="C814" s="5">
        <v>36823</v>
      </c>
      <c r="D814" s="4" t="s">
        <v>33</v>
      </c>
      <c r="E814" s="4" t="s">
        <v>43</v>
      </c>
      <c r="F814" s="4" t="s">
        <v>378</v>
      </c>
      <c r="G814" s="4" t="s">
        <v>26</v>
      </c>
      <c r="H814" s="4" t="s">
        <v>18</v>
      </c>
      <c r="I814" s="4" t="s">
        <v>715</v>
      </c>
      <c r="J814" s="4" t="s">
        <v>715</v>
      </c>
      <c r="K814" s="5">
        <v>6057955</v>
      </c>
      <c r="L814" s="5">
        <v>284900</v>
      </c>
      <c r="M814" s="5">
        <v>19</v>
      </c>
      <c r="N814" s="5">
        <v>1</v>
      </c>
      <c r="O814" s="5">
        <v>0.4</v>
      </c>
      <c r="P814" s="5"/>
    </row>
    <row r="815" spans="1:16" x14ac:dyDescent="0.25">
      <c r="A815" s="4" t="s">
        <v>21</v>
      </c>
      <c r="B815" s="4" t="s">
        <v>344</v>
      </c>
      <c r="C815" s="5">
        <v>36824</v>
      </c>
      <c r="D815" s="4" t="s">
        <v>33</v>
      </c>
      <c r="E815" s="4" t="s">
        <v>43</v>
      </c>
      <c r="F815" s="4" t="s">
        <v>378</v>
      </c>
      <c r="G815" s="4" t="s">
        <v>26</v>
      </c>
      <c r="H815" s="4" t="s">
        <v>18</v>
      </c>
      <c r="I815" s="4" t="s">
        <v>715</v>
      </c>
      <c r="J815" s="4" t="s">
        <v>715</v>
      </c>
      <c r="K815" s="5">
        <v>6058156</v>
      </c>
      <c r="L815" s="5">
        <v>285110</v>
      </c>
      <c r="M815" s="5">
        <v>19</v>
      </c>
      <c r="N815" s="5">
        <v>1</v>
      </c>
      <c r="O815" s="5">
        <v>0.4</v>
      </c>
      <c r="P815" s="5"/>
    </row>
    <row r="816" spans="1:16" x14ac:dyDescent="0.25">
      <c r="A816" s="4" t="s">
        <v>21</v>
      </c>
      <c r="B816" s="4" t="s">
        <v>344</v>
      </c>
      <c r="C816" s="5">
        <v>36843</v>
      </c>
      <c r="D816" s="4" t="s">
        <v>23</v>
      </c>
      <c r="E816" s="4" t="s">
        <v>367</v>
      </c>
      <c r="F816" s="4" t="s">
        <v>368</v>
      </c>
      <c r="G816" s="4" t="s">
        <v>26</v>
      </c>
      <c r="H816" s="4" t="s">
        <v>27</v>
      </c>
      <c r="I816" s="4" t="s">
        <v>715</v>
      </c>
      <c r="J816" s="4" t="s">
        <v>715</v>
      </c>
      <c r="K816" s="5">
        <v>6278561</v>
      </c>
      <c r="L816" s="5">
        <v>333378</v>
      </c>
      <c r="M816" s="5">
        <v>19</v>
      </c>
      <c r="N816" s="5">
        <v>5</v>
      </c>
      <c r="O816" s="5">
        <v>23.97</v>
      </c>
      <c r="P816" s="5"/>
    </row>
    <row r="817" spans="1:16" x14ac:dyDescent="0.25">
      <c r="A817" s="4" t="s">
        <v>21</v>
      </c>
      <c r="B817" s="4" t="s">
        <v>344</v>
      </c>
      <c r="C817" s="5">
        <v>36846</v>
      </c>
      <c r="D817" s="4" t="s">
        <v>23</v>
      </c>
      <c r="E817" s="4" t="s">
        <v>357</v>
      </c>
      <c r="F817" s="4" t="s">
        <v>361</v>
      </c>
      <c r="G817" s="4" t="s">
        <v>26</v>
      </c>
      <c r="H817" s="4" t="s">
        <v>27</v>
      </c>
      <c r="I817" s="4" t="s">
        <v>715</v>
      </c>
      <c r="J817" s="4" t="s">
        <v>638</v>
      </c>
      <c r="K817" s="5">
        <v>6273006</v>
      </c>
      <c r="L817" s="5">
        <v>335805</v>
      </c>
      <c r="M817" s="5">
        <v>19</v>
      </c>
      <c r="N817" s="5">
        <v>1</v>
      </c>
      <c r="O817" s="5">
        <v>20</v>
      </c>
      <c r="P817" s="5"/>
    </row>
    <row r="818" spans="1:16" x14ac:dyDescent="0.25">
      <c r="A818" s="4" t="s">
        <v>21</v>
      </c>
      <c r="B818" s="4" t="s">
        <v>344</v>
      </c>
      <c r="C818" s="5">
        <v>36850</v>
      </c>
      <c r="D818" s="4" t="s">
        <v>23</v>
      </c>
      <c r="E818" s="4" t="s">
        <v>357</v>
      </c>
      <c r="F818" s="4" t="s">
        <v>361</v>
      </c>
      <c r="G818" s="4" t="s">
        <v>26</v>
      </c>
      <c r="H818" s="4" t="s">
        <v>27</v>
      </c>
      <c r="I818" s="4" t="s">
        <v>715</v>
      </c>
      <c r="J818" s="4" t="s">
        <v>638</v>
      </c>
      <c r="K818" s="5">
        <v>6272371</v>
      </c>
      <c r="L818" s="5">
        <v>335712</v>
      </c>
      <c r="M818" s="5">
        <v>19</v>
      </c>
      <c r="N818" s="5">
        <v>2</v>
      </c>
      <c r="O818" s="5">
        <v>20</v>
      </c>
      <c r="P818" s="5"/>
    </row>
    <row r="819" spans="1:16" x14ac:dyDescent="0.25">
      <c r="A819" s="4" t="s">
        <v>21</v>
      </c>
      <c r="B819" s="4" t="s">
        <v>344</v>
      </c>
      <c r="C819" s="5">
        <v>36855</v>
      </c>
      <c r="D819" s="4" t="s">
        <v>23</v>
      </c>
      <c r="E819" s="4" t="s">
        <v>31</v>
      </c>
      <c r="F819" s="4" t="s">
        <v>31</v>
      </c>
      <c r="G819" s="4" t="s">
        <v>26</v>
      </c>
      <c r="H819" s="4" t="s">
        <v>27</v>
      </c>
      <c r="I819" s="4" t="s">
        <v>715</v>
      </c>
      <c r="J819" s="4" t="s">
        <v>638</v>
      </c>
      <c r="K819" s="5">
        <v>6286362</v>
      </c>
      <c r="L819" s="5">
        <v>336872</v>
      </c>
      <c r="M819" s="5">
        <v>19</v>
      </c>
      <c r="N819" s="5">
        <v>1</v>
      </c>
      <c r="O819" s="5">
        <v>9</v>
      </c>
      <c r="P819" s="5"/>
    </row>
    <row r="820" spans="1:16" x14ac:dyDescent="0.25">
      <c r="A820" s="4" t="s">
        <v>21</v>
      </c>
      <c r="B820" s="4" t="s">
        <v>344</v>
      </c>
      <c r="C820" s="5">
        <v>36939</v>
      </c>
      <c r="D820" s="4" t="s">
        <v>23</v>
      </c>
      <c r="E820" s="4" t="s">
        <v>379</v>
      </c>
      <c r="F820" s="4" t="s">
        <v>362</v>
      </c>
      <c r="G820" s="4" t="s">
        <v>26</v>
      </c>
      <c r="H820" s="4" t="s">
        <v>27</v>
      </c>
      <c r="I820" s="4" t="s">
        <v>715</v>
      </c>
      <c r="J820" s="4" t="s">
        <v>715</v>
      </c>
      <c r="K820" s="5">
        <v>6279250</v>
      </c>
      <c r="L820" s="5">
        <v>329247</v>
      </c>
      <c r="M820" s="5">
        <v>19</v>
      </c>
      <c r="N820" s="5">
        <v>6</v>
      </c>
      <c r="O820" s="5">
        <v>48</v>
      </c>
      <c r="P820" s="5"/>
    </row>
    <row r="821" spans="1:16" x14ac:dyDescent="0.25">
      <c r="A821" s="4" t="s">
        <v>54</v>
      </c>
      <c r="B821" s="4" t="s">
        <v>344</v>
      </c>
      <c r="C821" s="5">
        <v>37004</v>
      </c>
      <c r="D821" s="4" t="s">
        <v>23</v>
      </c>
      <c r="E821" s="4" t="s">
        <v>28</v>
      </c>
      <c r="F821" s="4" t="s">
        <v>380</v>
      </c>
      <c r="G821" s="4" t="s">
        <v>26</v>
      </c>
      <c r="H821" s="4" t="s">
        <v>641</v>
      </c>
      <c r="I821" s="4" t="s">
        <v>715</v>
      </c>
      <c r="J821" s="4" t="s">
        <v>715</v>
      </c>
      <c r="K821" s="5">
        <v>6258846</v>
      </c>
      <c r="L821" s="5">
        <v>335863</v>
      </c>
      <c r="M821" s="5">
        <v>19</v>
      </c>
      <c r="N821" s="5">
        <v>2</v>
      </c>
      <c r="O821" s="5">
        <v>0.14000000000000001</v>
      </c>
      <c r="P821" s="5"/>
    </row>
    <row r="822" spans="1:16" x14ac:dyDescent="0.25">
      <c r="A822" s="4" t="s">
        <v>21</v>
      </c>
      <c r="B822" s="4" t="s">
        <v>344</v>
      </c>
      <c r="C822" s="5">
        <v>37083</v>
      </c>
      <c r="D822" s="4" t="s">
        <v>23</v>
      </c>
      <c r="E822" s="4" t="s">
        <v>262</v>
      </c>
      <c r="F822" s="4" t="s">
        <v>362</v>
      </c>
      <c r="G822" s="4" t="s">
        <v>26</v>
      </c>
      <c r="H822" s="4" t="s">
        <v>27</v>
      </c>
      <c r="I822" s="4" t="s">
        <v>715</v>
      </c>
      <c r="J822" s="4" t="s">
        <v>715</v>
      </c>
      <c r="K822" s="5">
        <v>6278382</v>
      </c>
      <c r="L822" s="5">
        <v>329548</v>
      </c>
      <c r="M822" s="5">
        <v>19</v>
      </c>
      <c r="N822" s="5">
        <v>3</v>
      </c>
      <c r="O822" s="5">
        <v>27</v>
      </c>
      <c r="P822" s="5"/>
    </row>
    <row r="823" spans="1:16" x14ac:dyDescent="0.25">
      <c r="A823" s="4" t="s">
        <v>54</v>
      </c>
      <c r="B823" s="4" t="s">
        <v>344</v>
      </c>
      <c r="C823" s="5">
        <v>37092</v>
      </c>
      <c r="D823" s="4" t="s">
        <v>97</v>
      </c>
      <c r="E823" s="4" t="s">
        <v>346</v>
      </c>
      <c r="F823" s="4" t="s">
        <v>347</v>
      </c>
      <c r="G823" s="4" t="s">
        <v>57</v>
      </c>
      <c r="H823" s="4" t="s">
        <v>641</v>
      </c>
      <c r="I823" s="4" t="s">
        <v>715</v>
      </c>
      <c r="J823" s="4" t="s">
        <v>715</v>
      </c>
      <c r="K823" s="5">
        <v>5721486</v>
      </c>
      <c r="L823" s="5">
        <v>721501</v>
      </c>
      <c r="M823" s="5">
        <v>18</v>
      </c>
      <c r="N823" s="5">
        <v>1</v>
      </c>
      <c r="O823" s="5">
        <v>4</v>
      </c>
      <c r="P823" s="5"/>
    </row>
    <row r="824" spans="1:16" x14ac:dyDescent="0.25">
      <c r="A824" s="4" t="s">
        <v>21</v>
      </c>
      <c r="B824" s="4" t="s">
        <v>344</v>
      </c>
      <c r="C824" s="5">
        <v>37093</v>
      </c>
      <c r="D824" s="4" t="s">
        <v>23</v>
      </c>
      <c r="E824" s="4" t="s">
        <v>262</v>
      </c>
      <c r="F824" s="4" t="s">
        <v>362</v>
      </c>
      <c r="G824" s="4" t="s">
        <v>26</v>
      </c>
      <c r="H824" s="4" t="s">
        <v>27</v>
      </c>
      <c r="I824" s="4" t="s">
        <v>715</v>
      </c>
      <c r="J824" s="4" t="s">
        <v>638</v>
      </c>
      <c r="K824" s="5">
        <v>6278118</v>
      </c>
      <c r="L824" s="5">
        <v>327934</v>
      </c>
      <c r="M824" s="5">
        <v>19</v>
      </c>
      <c r="N824" s="5">
        <v>1</v>
      </c>
      <c r="O824" s="5">
        <v>10</v>
      </c>
      <c r="P824" s="5"/>
    </row>
    <row r="825" spans="1:16" x14ac:dyDescent="0.25">
      <c r="A825" s="4" t="s">
        <v>21</v>
      </c>
      <c r="B825" s="4" t="s">
        <v>344</v>
      </c>
      <c r="C825" s="5">
        <v>37097</v>
      </c>
      <c r="D825" s="4" t="s">
        <v>23</v>
      </c>
      <c r="E825" s="4" t="s">
        <v>76</v>
      </c>
      <c r="F825" s="4" t="s">
        <v>76</v>
      </c>
      <c r="G825" s="4" t="s">
        <v>26</v>
      </c>
      <c r="H825" s="4" t="s">
        <v>27</v>
      </c>
      <c r="I825" s="4" t="s">
        <v>715</v>
      </c>
      <c r="J825" s="4" t="s">
        <v>715</v>
      </c>
      <c r="K825" s="5">
        <v>6268929</v>
      </c>
      <c r="L825" s="5">
        <v>321286</v>
      </c>
      <c r="M825" s="5">
        <v>19</v>
      </c>
      <c r="N825" s="5">
        <v>2</v>
      </c>
      <c r="O825" s="5">
        <v>34</v>
      </c>
      <c r="P825" s="5"/>
    </row>
    <row r="826" spans="1:16" x14ac:dyDescent="0.25">
      <c r="A826" s="4" t="s">
        <v>21</v>
      </c>
      <c r="B826" s="4" t="s">
        <v>344</v>
      </c>
      <c r="C826" s="5">
        <v>37117</v>
      </c>
      <c r="D826" s="4" t="s">
        <v>23</v>
      </c>
      <c r="E826" s="4" t="s">
        <v>357</v>
      </c>
      <c r="F826" s="4" t="s">
        <v>357</v>
      </c>
      <c r="G826" s="4" t="s">
        <v>26</v>
      </c>
      <c r="H826" s="4" t="s">
        <v>27</v>
      </c>
      <c r="I826" s="4" t="s">
        <v>715</v>
      </c>
      <c r="J826" s="4" t="s">
        <v>715</v>
      </c>
      <c r="K826" s="5">
        <v>6282792</v>
      </c>
      <c r="L826" s="5">
        <v>339973</v>
      </c>
      <c r="M826" s="5">
        <v>19</v>
      </c>
      <c r="N826" s="5">
        <v>7</v>
      </c>
      <c r="O826" s="5">
        <v>35.869999999999997</v>
      </c>
      <c r="P826" s="5"/>
    </row>
    <row r="827" spans="1:16" x14ac:dyDescent="0.25">
      <c r="A827" s="4" t="s">
        <v>21</v>
      </c>
      <c r="B827" s="4" t="s">
        <v>344</v>
      </c>
      <c r="C827" s="5">
        <v>37124</v>
      </c>
      <c r="D827" s="4" t="s">
        <v>23</v>
      </c>
      <c r="E827" s="4" t="s">
        <v>381</v>
      </c>
      <c r="F827" s="4" t="s">
        <v>382</v>
      </c>
      <c r="G827" s="4" t="s">
        <v>26</v>
      </c>
      <c r="H827" s="4" t="s">
        <v>27</v>
      </c>
      <c r="I827" s="4" t="s">
        <v>715</v>
      </c>
      <c r="J827" s="4" t="s">
        <v>715</v>
      </c>
      <c r="K827" s="5">
        <v>6266587</v>
      </c>
      <c r="L827" s="5">
        <v>320754</v>
      </c>
      <c r="M827" s="5">
        <v>19</v>
      </c>
      <c r="N827" s="5">
        <v>1</v>
      </c>
      <c r="O827" s="5">
        <v>32</v>
      </c>
      <c r="P827" s="5"/>
    </row>
    <row r="828" spans="1:16" x14ac:dyDescent="0.25">
      <c r="A828" s="4" t="s">
        <v>21</v>
      </c>
      <c r="B828" s="4" t="s">
        <v>344</v>
      </c>
      <c r="C828" s="5">
        <v>37129</v>
      </c>
      <c r="D828" s="4" t="s">
        <v>23</v>
      </c>
      <c r="E828" s="4" t="s">
        <v>25</v>
      </c>
      <c r="F828" s="4" t="s">
        <v>345</v>
      </c>
      <c r="G828" s="4" t="s">
        <v>26</v>
      </c>
      <c r="H828" s="4" t="s">
        <v>27</v>
      </c>
      <c r="I828" s="4" t="s">
        <v>715</v>
      </c>
      <c r="J828" s="4" t="s">
        <v>715</v>
      </c>
      <c r="K828" s="5">
        <v>6276163</v>
      </c>
      <c r="L828" s="5">
        <v>298391</v>
      </c>
      <c r="M828" s="5">
        <v>19</v>
      </c>
      <c r="N828" s="5">
        <v>2</v>
      </c>
      <c r="O828" s="5">
        <v>16</v>
      </c>
      <c r="P828" s="5"/>
    </row>
    <row r="829" spans="1:16" x14ac:dyDescent="0.25">
      <c r="A829" s="4" t="s">
        <v>21</v>
      </c>
      <c r="B829" s="4" t="s">
        <v>344</v>
      </c>
      <c r="C829" s="5">
        <v>37132</v>
      </c>
      <c r="D829" s="4" t="s">
        <v>23</v>
      </c>
      <c r="E829" s="4" t="s">
        <v>25</v>
      </c>
      <c r="F829" s="4" t="s">
        <v>345</v>
      </c>
      <c r="G829" s="4" t="s">
        <v>26</v>
      </c>
      <c r="H829" s="4" t="s">
        <v>27</v>
      </c>
      <c r="I829" s="4" t="s">
        <v>715</v>
      </c>
      <c r="J829" s="4" t="s">
        <v>715</v>
      </c>
      <c r="K829" s="5">
        <v>6275562</v>
      </c>
      <c r="L829" s="5">
        <v>299082</v>
      </c>
      <c r="M829" s="5">
        <v>19</v>
      </c>
      <c r="N829" s="5">
        <v>1</v>
      </c>
      <c r="O829" s="5">
        <v>4</v>
      </c>
      <c r="P829" s="5"/>
    </row>
    <row r="830" spans="1:16" x14ac:dyDescent="0.25">
      <c r="A830" s="4" t="s">
        <v>21</v>
      </c>
      <c r="B830" s="4" t="s">
        <v>344</v>
      </c>
      <c r="C830" s="5">
        <v>37143</v>
      </c>
      <c r="D830" s="4" t="s">
        <v>37</v>
      </c>
      <c r="E830" s="4" t="s">
        <v>295</v>
      </c>
      <c r="F830" s="4" t="s">
        <v>75</v>
      </c>
      <c r="G830" s="4" t="s">
        <v>26</v>
      </c>
      <c r="H830" s="4" t="s">
        <v>27</v>
      </c>
      <c r="I830" s="4" t="s">
        <v>715</v>
      </c>
      <c r="J830" s="4" t="s">
        <v>715</v>
      </c>
      <c r="K830" s="5">
        <v>6226848</v>
      </c>
      <c r="L830" s="5">
        <v>344213</v>
      </c>
      <c r="M830" s="5">
        <v>19</v>
      </c>
      <c r="N830" s="5">
        <v>3</v>
      </c>
      <c r="O830" s="5">
        <v>26</v>
      </c>
      <c r="P830" s="5"/>
    </row>
    <row r="831" spans="1:16" x14ac:dyDescent="0.25">
      <c r="A831" s="4" t="s">
        <v>21</v>
      </c>
      <c r="B831" s="4" t="s">
        <v>344</v>
      </c>
      <c r="C831" s="5">
        <v>37144</v>
      </c>
      <c r="D831" s="4" t="s">
        <v>37</v>
      </c>
      <c r="E831" s="4" t="s">
        <v>295</v>
      </c>
      <c r="F831" s="4" t="s">
        <v>75</v>
      </c>
      <c r="G831" s="4" t="s">
        <v>26</v>
      </c>
      <c r="H831" s="4" t="s">
        <v>27</v>
      </c>
      <c r="I831" s="4" t="s">
        <v>715</v>
      </c>
      <c r="J831" s="4" t="s">
        <v>638</v>
      </c>
      <c r="K831" s="5">
        <v>6224978</v>
      </c>
      <c r="L831" s="5">
        <v>346621</v>
      </c>
      <c r="M831" s="5">
        <v>19</v>
      </c>
      <c r="N831" s="5">
        <v>3</v>
      </c>
      <c r="O831" s="5">
        <v>15</v>
      </c>
      <c r="P831" s="5"/>
    </row>
    <row r="832" spans="1:16" x14ac:dyDescent="0.25">
      <c r="A832" s="4" t="s">
        <v>21</v>
      </c>
      <c r="B832" s="4" t="s">
        <v>344</v>
      </c>
      <c r="C832" s="5">
        <v>37145</v>
      </c>
      <c r="D832" s="4" t="s">
        <v>23</v>
      </c>
      <c r="E832" s="4" t="s">
        <v>356</v>
      </c>
      <c r="F832" s="4" t="s">
        <v>356</v>
      </c>
      <c r="G832" s="4" t="s">
        <v>26</v>
      </c>
      <c r="H832" s="4" t="s">
        <v>27</v>
      </c>
      <c r="I832" s="4" t="s">
        <v>715</v>
      </c>
      <c r="J832" s="4" t="s">
        <v>715</v>
      </c>
      <c r="K832" s="5">
        <v>6260824</v>
      </c>
      <c r="L832" s="5">
        <v>339673</v>
      </c>
      <c r="M832" s="5">
        <v>19</v>
      </c>
      <c r="N832" s="5">
        <v>3</v>
      </c>
      <c r="O832" s="5">
        <v>40</v>
      </c>
      <c r="P832" s="5"/>
    </row>
    <row r="833" spans="1:16" x14ac:dyDescent="0.25">
      <c r="A833" s="4" t="s">
        <v>21</v>
      </c>
      <c r="B833" s="4" t="s">
        <v>344</v>
      </c>
      <c r="C833" s="5">
        <v>37146</v>
      </c>
      <c r="D833" s="4" t="s">
        <v>23</v>
      </c>
      <c r="E833" s="4" t="s">
        <v>357</v>
      </c>
      <c r="F833" s="4" t="s">
        <v>361</v>
      </c>
      <c r="G833" s="4" t="s">
        <v>26</v>
      </c>
      <c r="H833" s="4" t="s">
        <v>27</v>
      </c>
      <c r="I833" s="4" t="s">
        <v>715</v>
      </c>
      <c r="J833" s="4" t="s">
        <v>638</v>
      </c>
      <c r="K833" s="5">
        <v>6273462</v>
      </c>
      <c r="L833" s="5">
        <v>342992</v>
      </c>
      <c r="M833" s="5">
        <v>19</v>
      </c>
      <c r="N833" s="5">
        <v>1</v>
      </c>
      <c r="O833" s="5">
        <v>17</v>
      </c>
      <c r="P833" s="5"/>
    </row>
    <row r="834" spans="1:16" x14ac:dyDescent="0.25">
      <c r="A834" s="4" t="s">
        <v>21</v>
      </c>
      <c r="B834" s="4" t="s">
        <v>344</v>
      </c>
      <c r="C834" s="5">
        <v>37147</v>
      </c>
      <c r="D834" s="4" t="s">
        <v>23</v>
      </c>
      <c r="E834" s="4" t="s">
        <v>28</v>
      </c>
      <c r="F834" s="4" t="s">
        <v>383</v>
      </c>
      <c r="G834" s="4" t="s">
        <v>26</v>
      </c>
      <c r="H834" s="4" t="s">
        <v>27</v>
      </c>
      <c r="I834" s="4" t="s">
        <v>715</v>
      </c>
      <c r="J834" s="4" t="s">
        <v>638</v>
      </c>
      <c r="K834" s="5">
        <v>6261524</v>
      </c>
      <c r="L834" s="5">
        <v>333087</v>
      </c>
      <c r="M834" s="5">
        <v>19</v>
      </c>
      <c r="N834" s="5">
        <v>2</v>
      </c>
      <c r="O834" s="5">
        <v>12</v>
      </c>
      <c r="P834" s="5"/>
    </row>
    <row r="835" spans="1:16" x14ac:dyDescent="0.25">
      <c r="A835" s="4" t="s">
        <v>21</v>
      </c>
      <c r="B835" s="4" t="s">
        <v>344</v>
      </c>
      <c r="C835" s="5">
        <v>37161</v>
      </c>
      <c r="D835" s="4" t="s">
        <v>23</v>
      </c>
      <c r="E835" s="4" t="s">
        <v>367</v>
      </c>
      <c r="F835" s="4" t="s">
        <v>384</v>
      </c>
      <c r="G835" s="4" t="s">
        <v>26</v>
      </c>
      <c r="H835" s="4" t="s">
        <v>27</v>
      </c>
      <c r="I835" s="4" t="s">
        <v>715</v>
      </c>
      <c r="J835" s="4" t="s">
        <v>715</v>
      </c>
      <c r="K835" s="5">
        <v>6275054</v>
      </c>
      <c r="L835" s="5">
        <v>327769</v>
      </c>
      <c r="M835" s="5">
        <v>19</v>
      </c>
      <c r="N835" s="5">
        <v>6</v>
      </c>
      <c r="O835" s="5">
        <v>21</v>
      </c>
      <c r="P835" s="5"/>
    </row>
    <row r="836" spans="1:16" x14ac:dyDescent="0.25">
      <c r="A836" s="4" t="s">
        <v>21</v>
      </c>
      <c r="B836" s="4" t="s">
        <v>344</v>
      </c>
      <c r="C836" s="5">
        <v>37162</v>
      </c>
      <c r="D836" s="4" t="s">
        <v>23</v>
      </c>
      <c r="E836" s="4" t="s">
        <v>357</v>
      </c>
      <c r="F836" s="4" t="s">
        <v>372</v>
      </c>
      <c r="G836" s="4" t="s">
        <v>26</v>
      </c>
      <c r="H836" s="4" t="s">
        <v>27</v>
      </c>
      <c r="I836" s="4" t="s">
        <v>715</v>
      </c>
      <c r="J836" s="4" t="s">
        <v>715</v>
      </c>
      <c r="K836" s="5">
        <v>6268564</v>
      </c>
      <c r="L836" s="5">
        <v>334894</v>
      </c>
      <c r="M836" s="5">
        <v>19</v>
      </c>
      <c r="N836" s="5">
        <v>1</v>
      </c>
      <c r="O836" s="5">
        <v>4</v>
      </c>
      <c r="P836" s="5"/>
    </row>
    <row r="837" spans="1:16" x14ac:dyDescent="0.25">
      <c r="A837" s="4" t="s">
        <v>21</v>
      </c>
      <c r="B837" s="4" t="s">
        <v>344</v>
      </c>
      <c r="C837" s="5">
        <v>37164</v>
      </c>
      <c r="D837" s="4" t="s">
        <v>23</v>
      </c>
      <c r="E837" s="4" t="s">
        <v>356</v>
      </c>
      <c r="F837" s="4" t="s">
        <v>356</v>
      </c>
      <c r="G837" s="4" t="s">
        <v>26</v>
      </c>
      <c r="H837" s="4" t="s">
        <v>128</v>
      </c>
      <c r="I837" s="4" t="s">
        <v>715</v>
      </c>
      <c r="J837" s="4" t="s">
        <v>638</v>
      </c>
      <c r="K837" s="5">
        <v>6247829</v>
      </c>
      <c r="L837" s="5">
        <v>346960</v>
      </c>
      <c r="M837" s="5">
        <v>19</v>
      </c>
      <c r="N837" s="5">
        <v>1</v>
      </c>
      <c r="O837" s="5">
        <v>0.4</v>
      </c>
      <c r="P837" s="5"/>
    </row>
    <row r="838" spans="1:16" x14ac:dyDescent="0.25">
      <c r="A838" s="4" t="s">
        <v>21</v>
      </c>
      <c r="B838" s="4" t="s">
        <v>344</v>
      </c>
      <c r="C838" s="5">
        <v>37165</v>
      </c>
      <c r="D838" s="4" t="s">
        <v>23</v>
      </c>
      <c r="E838" s="4" t="s">
        <v>356</v>
      </c>
      <c r="F838" s="4" t="s">
        <v>356</v>
      </c>
      <c r="G838" s="4" t="s">
        <v>26</v>
      </c>
      <c r="H838" s="4" t="s">
        <v>18</v>
      </c>
      <c r="I838" s="4" t="s">
        <v>715</v>
      </c>
      <c r="J838" s="4" t="s">
        <v>715</v>
      </c>
      <c r="K838" s="5">
        <v>6252925</v>
      </c>
      <c r="L838" s="5">
        <v>346729</v>
      </c>
      <c r="M838" s="5">
        <v>19</v>
      </c>
      <c r="N838" s="5">
        <v>1</v>
      </c>
      <c r="O838" s="5">
        <v>10</v>
      </c>
      <c r="P838" s="5"/>
    </row>
    <row r="839" spans="1:16" x14ac:dyDescent="0.25">
      <c r="A839" s="4" t="s">
        <v>21</v>
      </c>
      <c r="B839" s="4" t="s">
        <v>344</v>
      </c>
      <c r="C839" s="5">
        <v>37166</v>
      </c>
      <c r="D839" s="4" t="s">
        <v>23</v>
      </c>
      <c r="E839" s="4" t="s">
        <v>356</v>
      </c>
      <c r="F839" s="4" t="s">
        <v>360</v>
      </c>
      <c r="G839" s="4" t="s">
        <v>26</v>
      </c>
      <c r="H839" s="4" t="s">
        <v>18</v>
      </c>
      <c r="I839" s="4" t="s">
        <v>715</v>
      </c>
      <c r="J839" s="4" t="s">
        <v>715</v>
      </c>
      <c r="K839" s="5">
        <v>6246252</v>
      </c>
      <c r="L839" s="5">
        <v>337600</v>
      </c>
      <c r="M839" s="5">
        <v>19</v>
      </c>
      <c r="N839" s="5">
        <v>1</v>
      </c>
      <c r="O839" s="5">
        <v>0.4</v>
      </c>
      <c r="P839" s="5"/>
    </row>
    <row r="840" spans="1:16" x14ac:dyDescent="0.25">
      <c r="A840" s="4" t="s">
        <v>21</v>
      </c>
      <c r="B840" s="4" t="s">
        <v>344</v>
      </c>
      <c r="C840" s="5">
        <v>37167</v>
      </c>
      <c r="D840" s="4" t="s">
        <v>23</v>
      </c>
      <c r="E840" s="4" t="s">
        <v>356</v>
      </c>
      <c r="F840" s="4" t="s">
        <v>360</v>
      </c>
      <c r="G840" s="4" t="s">
        <v>26</v>
      </c>
      <c r="H840" s="4" t="s">
        <v>18</v>
      </c>
      <c r="I840" s="4" t="s">
        <v>715</v>
      </c>
      <c r="J840" s="4" t="s">
        <v>715</v>
      </c>
      <c r="K840" s="5">
        <v>6246785</v>
      </c>
      <c r="L840" s="5">
        <v>339344</v>
      </c>
      <c r="M840" s="5">
        <v>19</v>
      </c>
      <c r="N840" s="5">
        <v>1</v>
      </c>
      <c r="O840" s="5">
        <v>0.5</v>
      </c>
      <c r="P840" s="5"/>
    </row>
    <row r="841" spans="1:16" x14ac:dyDescent="0.25">
      <c r="A841" s="4" t="s">
        <v>21</v>
      </c>
      <c r="B841" s="4" t="s">
        <v>344</v>
      </c>
      <c r="C841" s="5">
        <v>37168</v>
      </c>
      <c r="D841" s="4" t="s">
        <v>23</v>
      </c>
      <c r="E841" s="4" t="s">
        <v>356</v>
      </c>
      <c r="F841" s="4" t="s">
        <v>356</v>
      </c>
      <c r="G841" s="4" t="s">
        <v>26</v>
      </c>
      <c r="H841" s="4" t="s">
        <v>128</v>
      </c>
      <c r="I841" s="4" t="s">
        <v>715</v>
      </c>
      <c r="J841" s="4" t="s">
        <v>638</v>
      </c>
      <c r="K841" s="5">
        <v>6252425</v>
      </c>
      <c r="L841" s="5">
        <v>349357</v>
      </c>
      <c r="M841" s="5">
        <v>19</v>
      </c>
      <c r="N841" s="5">
        <v>1</v>
      </c>
      <c r="O841" s="5">
        <v>2.5</v>
      </c>
      <c r="P841" s="5"/>
    </row>
    <row r="842" spans="1:16" x14ac:dyDescent="0.25">
      <c r="A842" s="4" t="s">
        <v>21</v>
      </c>
      <c r="B842" s="4" t="s">
        <v>344</v>
      </c>
      <c r="C842" s="5">
        <v>37169</v>
      </c>
      <c r="D842" s="4" t="s">
        <v>23</v>
      </c>
      <c r="E842" s="4" t="s">
        <v>356</v>
      </c>
      <c r="F842" s="4" t="s">
        <v>356</v>
      </c>
      <c r="G842" s="4" t="s">
        <v>26</v>
      </c>
      <c r="H842" s="4" t="s">
        <v>18</v>
      </c>
      <c r="I842" s="4" t="s">
        <v>715</v>
      </c>
      <c r="J842" s="4" t="s">
        <v>715</v>
      </c>
      <c r="K842" s="5">
        <v>6255404</v>
      </c>
      <c r="L842" s="5">
        <v>341672</v>
      </c>
      <c r="M842" s="5">
        <v>19</v>
      </c>
      <c r="N842" s="5">
        <v>1</v>
      </c>
      <c r="O842" s="5">
        <v>6</v>
      </c>
      <c r="P842" s="5"/>
    </row>
    <row r="843" spans="1:16" x14ac:dyDescent="0.25">
      <c r="A843" s="4" t="s">
        <v>21</v>
      </c>
      <c r="B843" s="4" t="s">
        <v>344</v>
      </c>
      <c r="C843" s="5">
        <v>37170</v>
      </c>
      <c r="D843" s="4" t="s">
        <v>23</v>
      </c>
      <c r="E843" s="4" t="s">
        <v>356</v>
      </c>
      <c r="F843" s="4" t="s">
        <v>360</v>
      </c>
      <c r="G843" s="4" t="s">
        <v>26</v>
      </c>
      <c r="H843" s="4" t="s">
        <v>18</v>
      </c>
      <c r="I843" s="4" t="s">
        <v>715</v>
      </c>
      <c r="J843" s="4" t="s">
        <v>715</v>
      </c>
      <c r="K843" s="5">
        <v>6245849</v>
      </c>
      <c r="L843" s="5">
        <v>338880</v>
      </c>
      <c r="M843" s="5">
        <v>19</v>
      </c>
      <c r="N843" s="5">
        <v>1</v>
      </c>
      <c r="O843" s="5">
        <v>0.5</v>
      </c>
      <c r="P843" s="5"/>
    </row>
    <row r="844" spans="1:16" x14ac:dyDescent="0.25">
      <c r="A844" s="4" t="s">
        <v>21</v>
      </c>
      <c r="B844" s="4" t="s">
        <v>344</v>
      </c>
      <c r="C844" s="5">
        <v>37171</v>
      </c>
      <c r="D844" s="4" t="s">
        <v>23</v>
      </c>
      <c r="E844" s="4" t="s">
        <v>356</v>
      </c>
      <c r="F844" s="4" t="s">
        <v>356</v>
      </c>
      <c r="G844" s="4" t="s">
        <v>26</v>
      </c>
      <c r="H844" s="4" t="s">
        <v>18</v>
      </c>
      <c r="I844" s="4" t="s">
        <v>715</v>
      </c>
      <c r="J844" s="4" t="s">
        <v>715</v>
      </c>
      <c r="K844" s="5">
        <v>6260401</v>
      </c>
      <c r="L844" s="5">
        <v>338940</v>
      </c>
      <c r="M844" s="5">
        <v>19</v>
      </c>
      <c r="N844" s="5">
        <v>1</v>
      </c>
      <c r="O844" s="5">
        <v>0.3</v>
      </c>
      <c r="P844" s="5"/>
    </row>
    <row r="845" spans="1:16" x14ac:dyDescent="0.25">
      <c r="A845" s="4" t="s">
        <v>54</v>
      </c>
      <c r="B845" s="4" t="s">
        <v>344</v>
      </c>
      <c r="C845" s="5">
        <v>37203</v>
      </c>
      <c r="D845" s="4" t="s">
        <v>37</v>
      </c>
      <c r="E845" s="4" t="s">
        <v>295</v>
      </c>
      <c r="F845" s="4" t="s">
        <v>385</v>
      </c>
      <c r="G845" s="4" t="s">
        <v>26</v>
      </c>
      <c r="H845" s="4" t="s">
        <v>641</v>
      </c>
      <c r="I845" s="4" t="s">
        <v>715</v>
      </c>
      <c r="J845" s="4" t="s">
        <v>715</v>
      </c>
      <c r="K845" s="5">
        <v>6229266</v>
      </c>
      <c r="L845" s="5">
        <v>337095</v>
      </c>
      <c r="M845" s="5">
        <v>19</v>
      </c>
      <c r="N845" s="5">
        <v>1</v>
      </c>
      <c r="O845" s="5">
        <v>1.8</v>
      </c>
      <c r="P845" s="5"/>
    </row>
    <row r="846" spans="1:16" x14ac:dyDescent="0.25">
      <c r="A846" s="4" t="s">
        <v>54</v>
      </c>
      <c r="B846" s="4" t="s">
        <v>344</v>
      </c>
      <c r="C846" s="5">
        <v>37251</v>
      </c>
      <c r="D846" s="4" t="s">
        <v>37</v>
      </c>
      <c r="E846" s="4" t="s">
        <v>75</v>
      </c>
      <c r="F846" s="4" t="s">
        <v>386</v>
      </c>
      <c r="G846" s="4" t="s">
        <v>26</v>
      </c>
      <c r="H846" s="4" t="s">
        <v>641</v>
      </c>
      <c r="I846" s="4" t="s">
        <v>715</v>
      </c>
      <c r="J846" s="4" t="s">
        <v>715</v>
      </c>
      <c r="K846" s="5">
        <v>6231886</v>
      </c>
      <c r="L846" s="5">
        <v>342992</v>
      </c>
      <c r="M846" s="5">
        <v>19</v>
      </c>
      <c r="N846" s="5">
        <v>1</v>
      </c>
      <c r="O846" s="5">
        <v>12.25</v>
      </c>
      <c r="P846" s="5"/>
    </row>
    <row r="847" spans="1:16" x14ac:dyDescent="0.25">
      <c r="A847" s="4" t="s">
        <v>21</v>
      </c>
      <c r="B847" s="4" t="s">
        <v>344</v>
      </c>
      <c r="C847" s="5">
        <v>37281</v>
      </c>
      <c r="D847" s="4" t="s">
        <v>33</v>
      </c>
      <c r="E847" s="4" t="s">
        <v>43</v>
      </c>
      <c r="F847" s="4" t="s">
        <v>387</v>
      </c>
      <c r="G847" s="4" t="s">
        <v>26</v>
      </c>
      <c r="H847" s="4" t="s">
        <v>27</v>
      </c>
      <c r="I847" s="4" t="s">
        <v>715</v>
      </c>
      <c r="J847" s="4" t="s">
        <v>715</v>
      </c>
      <c r="K847" s="5">
        <v>6068670</v>
      </c>
      <c r="L847" s="5">
        <v>278330</v>
      </c>
      <c r="M847" s="5">
        <v>19</v>
      </c>
      <c r="N847" s="5">
        <v>2</v>
      </c>
      <c r="O847" s="5">
        <v>33</v>
      </c>
      <c r="P847" s="5"/>
    </row>
    <row r="848" spans="1:16" x14ac:dyDescent="0.25">
      <c r="A848" s="4" t="s">
        <v>21</v>
      </c>
      <c r="B848" s="4" t="s">
        <v>344</v>
      </c>
      <c r="C848" s="5">
        <v>37282</v>
      </c>
      <c r="D848" s="4" t="s">
        <v>37</v>
      </c>
      <c r="E848" s="4" t="s">
        <v>169</v>
      </c>
      <c r="F848" s="4" t="s">
        <v>169</v>
      </c>
      <c r="G848" s="4" t="s">
        <v>26</v>
      </c>
      <c r="H848" s="4" t="s">
        <v>27</v>
      </c>
      <c r="I848" s="4" t="s">
        <v>715</v>
      </c>
      <c r="J848" s="4" t="s">
        <v>638</v>
      </c>
      <c r="K848" s="5">
        <v>6216773</v>
      </c>
      <c r="L848" s="5">
        <v>336639</v>
      </c>
      <c r="M848" s="5">
        <v>19</v>
      </c>
      <c r="N848" s="5">
        <v>2</v>
      </c>
      <c r="O848" s="5">
        <v>15</v>
      </c>
      <c r="P848" s="5"/>
    </row>
    <row r="849" spans="1:16" x14ac:dyDescent="0.25">
      <c r="A849" s="4" t="s">
        <v>21</v>
      </c>
      <c r="B849" s="4" t="s">
        <v>344</v>
      </c>
      <c r="C849" s="5">
        <v>37283</v>
      </c>
      <c r="D849" s="4" t="s">
        <v>37</v>
      </c>
      <c r="E849" s="4" t="s">
        <v>169</v>
      </c>
      <c r="F849" s="4" t="s">
        <v>169</v>
      </c>
      <c r="G849" s="4" t="s">
        <v>26</v>
      </c>
      <c r="H849" s="4" t="s">
        <v>27</v>
      </c>
      <c r="I849" s="4" t="s">
        <v>715</v>
      </c>
      <c r="J849" s="4" t="s">
        <v>715</v>
      </c>
      <c r="K849" s="5">
        <v>6215260</v>
      </c>
      <c r="L849" s="5">
        <v>340067</v>
      </c>
      <c r="M849" s="5">
        <v>19</v>
      </c>
      <c r="N849" s="5">
        <v>3</v>
      </c>
      <c r="O849" s="5">
        <v>22</v>
      </c>
      <c r="P849" s="5"/>
    </row>
    <row r="850" spans="1:16" x14ac:dyDescent="0.25">
      <c r="A850" s="4" t="s">
        <v>21</v>
      </c>
      <c r="B850" s="4" t="s">
        <v>344</v>
      </c>
      <c r="C850" s="5">
        <v>37284</v>
      </c>
      <c r="D850" s="4" t="s">
        <v>37</v>
      </c>
      <c r="E850" s="4" t="s">
        <v>295</v>
      </c>
      <c r="F850" s="4" t="s">
        <v>75</v>
      </c>
      <c r="G850" s="4" t="s">
        <v>26</v>
      </c>
      <c r="H850" s="4" t="s">
        <v>27</v>
      </c>
      <c r="I850" s="4" t="s">
        <v>715</v>
      </c>
      <c r="J850" s="4" t="s">
        <v>638</v>
      </c>
      <c r="K850" s="5">
        <v>6224543</v>
      </c>
      <c r="L850" s="5">
        <v>345460</v>
      </c>
      <c r="M850" s="5">
        <v>19</v>
      </c>
      <c r="N850" s="5">
        <v>3</v>
      </c>
      <c r="O850" s="5">
        <v>21</v>
      </c>
      <c r="P850" s="5"/>
    </row>
    <row r="851" spans="1:16" x14ac:dyDescent="0.25">
      <c r="A851" s="4" t="s">
        <v>21</v>
      </c>
      <c r="B851" s="4" t="s">
        <v>344</v>
      </c>
      <c r="C851" s="5">
        <v>37286</v>
      </c>
      <c r="D851" s="4" t="s">
        <v>37</v>
      </c>
      <c r="E851" s="4" t="s">
        <v>151</v>
      </c>
      <c r="F851" s="4" t="s">
        <v>151</v>
      </c>
      <c r="G851" s="4" t="s">
        <v>26</v>
      </c>
      <c r="H851" s="4" t="s">
        <v>27</v>
      </c>
      <c r="I851" s="4" t="s">
        <v>715</v>
      </c>
      <c r="J851" s="4" t="s">
        <v>715</v>
      </c>
      <c r="K851" s="5">
        <v>6233707</v>
      </c>
      <c r="L851" s="5">
        <v>341977</v>
      </c>
      <c r="M851" s="5">
        <v>19</v>
      </c>
      <c r="N851" s="5">
        <v>2</v>
      </c>
      <c r="O851" s="5">
        <v>11.5</v>
      </c>
      <c r="P851" s="5"/>
    </row>
    <row r="852" spans="1:16" x14ac:dyDescent="0.25">
      <c r="A852" s="4" t="s">
        <v>21</v>
      </c>
      <c r="B852" s="4" t="s">
        <v>344</v>
      </c>
      <c r="C852" s="5">
        <v>37287</v>
      </c>
      <c r="D852" s="4" t="s">
        <v>33</v>
      </c>
      <c r="E852" s="4" t="s">
        <v>118</v>
      </c>
      <c r="F852" s="4" t="s">
        <v>388</v>
      </c>
      <c r="G852" s="4" t="s">
        <v>26</v>
      </c>
      <c r="H852" s="4" t="s">
        <v>27</v>
      </c>
      <c r="I852" s="4" t="s">
        <v>715</v>
      </c>
      <c r="J852" s="4" t="s">
        <v>715</v>
      </c>
      <c r="K852" s="5">
        <v>6030396</v>
      </c>
      <c r="L852" s="5">
        <v>268830</v>
      </c>
      <c r="M852" s="5">
        <v>19</v>
      </c>
      <c r="N852" s="5">
        <v>1</v>
      </c>
      <c r="O852" s="5">
        <v>47</v>
      </c>
      <c r="P852" s="5"/>
    </row>
    <row r="853" spans="1:16" x14ac:dyDescent="0.25">
      <c r="A853" s="4" t="s">
        <v>54</v>
      </c>
      <c r="B853" s="4" t="s">
        <v>344</v>
      </c>
      <c r="C853" s="5">
        <v>37291</v>
      </c>
      <c r="D853" s="4" t="s">
        <v>37</v>
      </c>
      <c r="E853" s="4" t="s">
        <v>295</v>
      </c>
      <c r="F853" s="4" t="s">
        <v>385</v>
      </c>
      <c r="G853" s="4" t="s">
        <v>26</v>
      </c>
      <c r="H853" s="4" t="s">
        <v>641</v>
      </c>
      <c r="I853" s="4" t="s">
        <v>715</v>
      </c>
      <c r="J853" s="4" t="s">
        <v>715</v>
      </c>
      <c r="K853" s="5">
        <v>6229177</v>
      </c>
      <c r="L853" s="5">
        <v>337748</v>
      </c>
      <c r="M853" s="5">
        <v>19</v>
      </c>
      <c r="N853" s="5">
        <v>1</v>
      </c>
      <c r="O853" s="5">
        <v>1.5</v>
      </c>
      <c r="P853" s="5"/>
    </row>
    <row r="854" spans="1:16" x14ac:dyDescent="0.25">
      <c r="A854" s="4" t="s">
        <v>54</v>
      </c>
      <c r="B854" s="4" t="s">
        <v>344</v>
      </c>
      <c r="C854" s="5">
        <v>37296</v>
      </c>
      <c r="D854" s="4" t="s">
        <v>37</v>
      </c>
      <c r="E854" s="4" t="s">
        <v>169</v>
      </c>
      <c r="F854" s="4" t="s">
        <v>389</v>
      </c>
      <c r="G854" s="4" t="s">
        <v>26</v>
      </c>
      <c r="H854" s="4" t="s">
        <v>641</v>
      </c>
      <c r="I854" s="4" t="s">
        <v>715</v>
      </c>
      <c r="J854" s="4" t="s">
        <v>715</v>
      </c>
      <c r="K854" s="5">
        <v>6221763</v>
      </c>
      <c r="L854" s="5">
        <v>341862</v>
      </c>
      <c r="M854" s="5">
        <v>19</v>
      </c>
      <c r="N854" s="5">
        <v>1</v>
      </c>
      <c r="O854" s="5">
        <v>1.27</v>
      </c>
      <c r="P854" s="5"/>
    </row>
    <row r="855" spans="1:16" x14ac:dyDescent="0.25">
      <c r="A855" s="4" t="s">
        <v>21</v>
      </c>
      <c r="B855" s="4" t="s">
        <v>344</v>
      </c>
      <c r="C855" s="5">
        <v>37363</v>
      </c>
      <c r="D855" s="4" t="s">
        <v>23</v>
      </c>
      <c r="E855" s="4" t="s">
        <v>366</v>
      </c>
      <c r="F855" s="4" t="s">
        <v>366</v>
      </c>
      <c r="G855" s="4" t="s">
        <v>26</v>
      </c>
      <c r="H855" s="4" t="s">
        <v>18</v>
      </c>
      <c r="I855" s="4" t="s">
        <v>715</v>
      </c>
      <c r="J855" s="4" t="s">
        <v>715</v>
      </c>
      <c r="K855" s="5">
        <v>6288450</v>
      </c>
      <c r="L855" s="5">
        <v>341005</v>
      </c>
      <c r="M855" s="5">
        <v>19</v>
      </c>
      <c r="N855" s="5">
        <v>1</v>
      </c>
      <c r="O855" s="5">
        <v>0.5</v>
      </c>
      <c r="P855" s="5"/>
    </row>
    <row r="856" spans="1:16" x14ac:dyDescent="0.25">
      <c r="A856" s="4" t="s">
        <v>21</v>
      </c>
      <c r="B856" s="4" t="s">
        <v>344</v>
      </c>
      <c r="C856" s="5">
        <v>37365</v>
      </c>
      <c r="D856" s="4" t="s">
        <v>23</v>
      </c>
      <c r="E856" s="4" t="s">
        <v>366</v>
      </c>
      <c r="F856" s="4" t="s">
        <v>366</v>
      </c>
      <c r="G856" s="4" t="s">
        <v>26</v>
      </c>
      <c r="H856" s="4" t="s">
        <v>18</v>
      </c>
      <c r="I856" s="4" t="s">
        <v>715</v>
      </c>
      <c r="J856" s="4" t="s">
        <v>715</v>
      </c>
      <c r="K856" s="5">
        <v>6288216</v>
      </c>
      <c r="L856" s="5">
        <v>340862</v>
      </c>
      <c r="M856" s="5">
        <v>19</v>
      </c>
      <c r="N856" s="5">
        <v>1</v>
      </c>
      <c r="O856" s="5">
        <v>0.5</v>
      </c>
      <c r="P856" s="5"/>
    </row>
    <row r="857" spans="1:16" x14ac:dyDescent="0.25">
      <c r="A857" s="4" t="s">
        <v>21</v>
      </c>
      <c r="B857" s="4" t="s">
        <v>344</v>
      </c>
      <c r="C857" s="5">
        <v>37366</v>
      </c>
      <c r="D857" s="4" t="s">
        <v>23</v>
      </c>
      <c r="E857" s="4" t="s">
        <v>363</v>
      </c>
      <c r="F857" s="4" t="s">
        <v>363</v>
      </c>
      <c r="G857" s="4" t="s">
        <v>26</v>
      </c>
      <c r="H857" s="4" t="s">
        <v>18</v>
      </c>
      <c r="I857" s="4" t="s">
        <v>715</v>
      </c>
      <c r="J857" s="4" t="s">
        <v>715</v>
      </c>
      <c r="K857" s="5">
        <v>6276932</v>
      </c>
      <c r="L857" s="5">
        <v>349794</v>
      </c>
      <c r="M857" s="5">
        <v>19</v>
      </c>
      <c r="N857" s="5">
        <v>1</v>
      </c>
      <c r="O857" s="5">
        <v>2.5</v>
      </c>
      <c r="P857" s="5"/>
    </row>
    <row r="858" spans="1:16" x14ac:dyDescent="0.25">
      <c r="A858" s="4" t="s">
        <v>21</v>
      </c>
      <c r="B858" s="4" t="s">
        <v>344</v>
      </c>
      <c r="C858" s="5">
        <v>37367</v>
      </c>
      <c r="D858" s="4" t="s">
        <v>23</v>
      </c>
      <c r="E858" s="4" t="s">
        <v>367</v>
      </c>
      <c r="F858" s="4" t="s">
        <v>368</v>
      </c>
      <c r="G858" s="4" t="s">
        <v>26</v>
      </c>
      <c r="H858" s="4" t="s">
        <v>18</v>
      </c>
      <c r="I858" s="4" t="s">
        <v>715</v>
      </c>
      <c r="J858" s="4" t="s">
        <v>715</v>
      </c>
      <c r="K858" s="5">
        <v>6285969</v>
      </c>
      <c r="L858" s="5">
        <v>335074</v>
      </c>
      <c r="M858" s="5">
        <v>19</v>
      </c>
      <c r="N858" s="5">
        <v>1</v>
      </c>
      <c r="O858" s="5">
        <v>2</v>
      </c>
      <c r="P858" s="5"/>
    </row>
    <row r="859" spans="1:16" x14ac:dyDescent="0.25">
      <c r="A859" s="4" t="s">
        <v>21</v>
      </c>
      <c r="B859" s="4" t="s">
        <v>344</v>
      </c>
      <c r="C859" s="5">
        <v>37368</v>
      </c>
      <c r="D859" s="4" t="s">
        <v>23</v>
      </c>
      <c r="E859" s="4" t="s">
        <v>367</v>
      </c>
      <c r="F859" s="4" t="s">
        <v>368</v>
      </c>
      <c r="G859" s="4" t="s">
        <v>26</v>
      </c>
      <c r="H859" s="4" t="s">
        <v>18</v>
      </c>
      <c r="I859" s="4" t="s">
        <v>715</v>
      </c>
      <c r="J859" s="4" t="s">
        <v>715</v>
      </c>
      <c r="K859" s="5">
        <v>6285969</v>
      </c>
      <c r="L859" s="5">
        <v>335074</v>
      </c>
      <c r="M859" s="5">
        <v>19</v>
      </c>
      <c r="N859" s="5">
        <v>1</v>
      </c>
      <c r="O859" s="5">
        <v>0.4</v>
      </c>
      <c r="P859" s="5"/>
    </row>
    <row r="860" spans="1:16" x14ac:dyDescent="0.25">
      <c r="A860" s="4" t="s">
        <v>21</v>
      </c>
      <c r="B860" s="4" t="s">
        <v>344</v>
      </c>
      <c r="C860" s="5">
        <v>37369</v>
      </c>
      <c r="D860" s="4" t="s">
        <v>23</v>
      </c>
      <c r="E860" s="4" t="s">
        <v>366</v>
      </c>
      <c r="F860" s="4" t="s">
        <v>366</v>
      </c>
      <c r="G860" s="4" t="s">
        <v>26</v>
      </c>
      <c r="H860" s="4" t="s">
        <v>18</v>
      </c>
      <c r="I860" s="4" t="s">
        <v>715</v>
      </c>
      <c r="J860" s="4" t="s">
        <v>715</v>
      </c>
      <c r="K860" s="5">
        <v>6287229</v>
      </c>
      <c r="L860" s="5">
        <v>340811</v>
      </c>
      <c r="M860" s="5">
        <v>19</v>
      </c>
      <c r="N860" s="5">
        <v>1</v>
      </c>
      <c r="O860" s="5">
        <v>0.5</v>
      </c>
      <c r="P860" s="5"/>
    </row>
    <row r="861" spans="1:16" x14ac:dyDescent="0.25">
      <c r="A861" s="4" t="s">
        <v>21</v>
      </c>
      <c r="B861" s="4" t="s">
        <v>344</v>
      </c>
      <c r="C861" s="5">
        <v>37370</v>
      </c>
      <c r="D861" s="4" t="s">
        <v>23</v>
      </c>
      <c r="E861" s="4" t="s">
        <v>357</v>
      </c>
      <c r="F861" s="4" t="s">
        <v>357</v>
      </c>
      <c r="G861" s="4" t="s">
        <v>26</v>
      </c>
      <c r="H861" s="4" t="s">
        <v>18</v>
      </c>
      <c r="I861" s="4" t="s">
        <v>715</v>
      </c>
      <c r="J861" s="4" t="s">
        <v>715</v>
      </c>
      <c r="K861" s="5">
        <v>6287830</v>
      </c>
      <c r="L861" s="5">
        <v>340113</v>
      </c>
      <c r="M861" s="5">
        <v>19</v>
      </c>
      <c r="N861" s="5">
        <v>1</v>
      </c>
      <c r="O861" s="5">
        <v>0.5</v>
      </c>
      <c r="P861" s="5"/>
    </row>
    <row r="862" spans="1:16" x14ac:dyDescent="0.25">
      <c r="A862" s="4" t="s">
        <v>21</v>
      </c>
      <c r="B862" s="4" t="s">
        <v>344</v>
      </c>
      <c r="C862" s="5">
        <v>37400</v>
      </c>
      <c r="D862" s="4" t="s">
        <v>33</v>
      </c>
      <c r="E862" s="4" t="s">
        <v>43</v>
      </c>
      <c r="F862" s="4" t="s">
        <v>43</v>
      </c>
      <c r="G862" s="4" t="s">
        <v>26</v>
      </c>
      <c r="H862" s="4" t="s">
        <v>27</v>
      </c>
      <c r="I862" s="4" t="s">
        <v>715</v>
      </c>
      <c r="J862" s="4" t="s">
        <v>715</v>
      </c>
      <c r="K862" s="5">
        <v>6066772</v>
      </c>
      <c r="L862" s="5">
        <v>273697</v>
      </c>
      <c r="M862" s="5">
        <v>19</v>
      </c>
      <c r="N862" s="5">
        <v>3</v>
      </c>
      <c r="O862" s="5">
        <v>45</v>
      </c>
      <c r="P862" s="5"/>
    </row>
    <row r="863" spans="1:16" x14ac:dyDescent="0.25">
      <c r="A863" s="4" t="s">
        <v>21</v>
      </c>
      <c r="B863" s="4" t="s">
        <v>344</v>
      </c>
      <c r="C863" s="5">
        <v>37402</v>
      </c>
      <c r="D863" s="4" t="s">
        <v>33</v>
      </c>
      <c r="E863" s="4" t="s">
        <v>43</v>
      </c>
      <c r="F863" s="4" t="s">
        <v>375</v>
      </c>
      <c r="G863" s="4" t="s">
        <v>26</v>
      </c>
      <c r="H863" s="4" t="s">
        <v>27</v>
      </c>
      <c r="I863" s="4" t="s">
        <v>715</v>
      </c>
      <c r="J863" s="4" t="s">
        <v>638</v>
      </c>
      <c r="K863" s="5">
        <v>6073597</v>
      </c>
      <c r="L863" s="5">
        <v>272217</v>
      </c>
      <c r="M863" s="5">
        <v>19</v>
      </c>
      <c r="N863" s="5">
        <v>1</v>
      </c>
      <c r="O863" s="5">
        <v>3.3</v>
      </c>
      <c r="P863" s="5"/>
    </row>
    <row r="864" spans="1:16" x14ac:dyDescent="0.25">
      <c r="A864" s="4" t="s">
        <v>21</v>
      </c>
      <c r="B864" s="4" t="s">
        <v>344</v>
      </c>
      <c r="C864" s="5">
        <v>37409</v>
      </c>
      <c r="D864" s="4" t="s">
        <v>33</v>
      </c>
      <c r="E864" s="4" t="s">
        <v>43</v>
      </c>
      <c r="F864" s="4" t="s">
        <v>162</v>
      </c>
      <c r="G864" s="4" t="s">
        <v>26</v>
      </c>
      <c r="H864" s="4" t="s">
        <v>27</v>
      </c>
      <c r="I864" s="4" t="s">
        <v>715</v>
      </c>
      <c r="J864" s="4" t="s">
        <v>715</v>
      </c>
      <c r="K864" s="5">
        <v>6068519</v>
      </c>
      <c r="L864" s="5">
        <v>271668</v>
      </c>
      <c r="M864" s="5">
        <v>19</v>
      </c>
      <c r="N864" s="5">
        <v>1</v>
      </c>
      <c r="O864" s="5">
        <v>6.5</v>
      </c>
      <c r="P864" s="5"/>
    </row>
    <row r="865" spans="1:16" x14ac:dyDescent="0.25">
      <c r="A865" s="4" t="s">
        <v>21</v>
      </c>
      <c r="B865" s="4" t="s">
        <v>344</v>
      </c>
      <c r="C865" s="5">
        <v>37487</v>
      </c>
      <c r="D865" s="4" t="s">
        <v>33</v>
      </c>
      <c r="E865" s="4" t="s">
        <v>43</v>
      </c>
      <c r="F865" s="4" t="s">
        <v>162</v>
      </c>
      <c r="G865" s="4" t="s">
        <v>26</v>
      </c>
      <c r="H865" s="4" t="s">
        <v>27</v>
      </c>
      <c r="I865" s="4" t="s">
        <v>715</v>
      </c>
      <c r="J865" s="4" t="s">
        <v>638</v>
      </c>
      <c r="K865" s="5">
        <v>6064906</v>
      </c>
      <c r="L865" s="5">
        <v>280445</v>
      </c>
      <c r="M865" s="5">
        <v>19</v>
      </c>
      <c r="N865" s="5">
        <v>1</v>
      </c>
      <c r="O865" s="5">
        <v>15</v>
      </c>
      <c r="P865" s="5"/>
    </row>
    <row r="866" spans="1:16" x14ac:dyDescent="0.25">
      <c r="A866" s="4" t="s">
        <v>21</v>
      </c>
      <c r="B866" s="4" t="s">
        <v>344</v>
      </c>
      <c r="C866" s="5">
        <v>37496</v>
      </c>
      <c r="D866" s="4" t="s">
        <v>33</v>
      </c>
      <c r="E866" s="4" t="s">
        <v>144</v>
      </c>
      <c r="F866" s="4" t="s">
        <v>376</v>
      </c>
      <c r="G866" s="4" t="s">
        <v>26</v>
      </c>
      <c r="H866" s="4" t="s">
        <v>27</v>
      </c>
      <c r="I866" s="4" t="s">
        <v>715</v>
      </c>
      <c r="J866" s="4" t="s">
        <v>715</v>
      </c>
      <c r="K866" s="5">
        <v>6056627</v>
      </c>
      <c r="L866" s="5">
        <v>243828</v>
      </c>
      <c r="M866" s="5">
        <v>19</v>
      </c>
      <c r="N866" s="5">
        <v>1</v>
      </c>
      <c r="O866" s="5">
        <v>26</v>
      </c>
      <c r="P866" s="5"/>
    </row>
    <row r="867" spans="1:16" x14ac:dyDescent="0.25">
      <c r="A867" s="4" t="s">
        <v>21</v>
      </c>
      <c r="B867" s="4" t="s">
        <v>344</v>
      </c>
      <c r="C867" s="5">
        <v>37531</v>
      </c>
      <c r="D867" s="4" t="s">
        <v>33</v>
      </c>
      <c r="E867" s="4" t="s">
        <v>137</v>
      </c>
      <c r="F867" s="4" t="s">
        <v>165</v>
      </c>
      <c r="G867" s="4" t="s">
        <v>26</v>
      </c>
      <c r="H867" s="4" t="s">
        <v>27</v>
      </c>
      <c r="I867" s="4" t="s">
        <v>715</v>
      </c>
      <c r="J867" s="4" t="s">
        <v>715</v>
      </c>
      <c r="K867" s="5">
        <v>6052139</v>
      </c>
      <c r="L867" s="5">
        <v>279181</v>
      </c>
      <c r="M867" s="5">
        <v>19</v>
      </c>
      <c r="N867" s="5">
        <v>1</v>
      </c>
      <c r="O867" s="5">
        <v>41</v>
      </c>
      <c r="P867" s="5"/>
    </row>
    <row r="868" spans="1:16" x14ac:dyDescent="0.25">
      <c r="A868" s="4" t="s">
        <v>21</v>
      </c>
      <c r="B868" s="4" t="s">
        <v>344</v>
      </c>
      <c r="C868" s="5">
        <v>37545</v>
      </c>
      <c r="D868" s="4" t="s">
        <v>33</v>
      </c>
      <c r="E868" s="4" t="s">
        <v>118</v>
      </c>
      <c r="F868" s="4" t="s">
        <v>388</v>
      </c>
      <c r="G868" s="4" t="s">
        <v>26</v>
      </c>
      <c r="H868" s="4" t="s">
        <v>27</v>
      </c>
      <c r="I868" s="4" t="s">
        <v>715</v>
      </c>
      <c r="J868" s="4" t="s">
        <v>715</v>
      </c>
      <c r="K868" s="5">
        <v>6029841</v>
      </c>
      <c r="L868" s="5">
        <v>269235</v>
      </c>
      <c r="M868" s="5">
        <v>19</v>
      </c>
      <c r="N868" s="5">
        <v>1</v>
      </c>
      <c r="O868" s="5">
        <v>14</v>
      </c>
      <c r="P868" s="5"/>
    </row>
    <row r="869" spans="1:16" x14ac:dyDescent="0.25">
      <c r="A869" s="4" t="s">
        <v>21</v>
      </c>
      <c r="B869" s="4" t="s">
        <v>344</v>
      </c>
      <c r="C869" s="5">
        <v>37549</v>
      </c>
      <c r="D869" s="4" t="s">
        <v>33</v>
      </c>
      <c r="E869" s="4" t="s">
        <v>118</v>
      </c>
      <c r="F869" s="4" t="s">
        <v>388</v>
      </c>
      <c r="G869" s="4" t="s">
        <v>26</v>
      </c>
      <c r="H869" s="4" t="s">
        <v>27</v>
      </c>
      <c r="I869" s="4" t="s">
        <v>715</v>
      </c>
      <c r="J869" s="4" t="s">
        <v>715</v>
      </c>
      <c r="K869" s="5">
        <v>6030151</v>
      </c>
      <c r="L869" s="5">
        <v>269381</v>
      </c>
      <c r="M869" s="5">
        <v>19</v>
      </c>
      <c r="N869" s="5">
        <v>1</v>
      </c>
      <c r="O869" s="5">
        <v>14</v>
      </c>
      <c r="P869" s="5"/>
    </row>
    <row r="870" spans="1:16" x14ac:dyDescent="0.25">
      <c r="A870" s="4" t="s">
        <v>21</v>
      </c>
      <c r="B870" s="4" t="s">
        <v>344</v>
      </c>
      <c r="C870" s="5">
        <v>37558</v>
      </c>
      <c r="D870" s="4" t="s">
        <v>33</v>
      </c>
      <c r="E870" s="4" t="s">
        <v>137</v>
      </c>
      <c r="F870" s="4" t="s">
        <v>390</v>
      </c>
      <c r="G870" s="4" t="s">
        <v>26</v>
      </c>
      <c r="H870" s="4" t="s">
        <v>27</v>
      </c>
      <c r="I870" s="4" t="s">
        <v>715</v>
      </c>
      <c r="J870" s="4" t="s">
        <v>638</v>
      </c>
      <c r="K870" s="5">
        <v>6046691</v>
      </c>
      <c r="L870" s="5">
        <v>280444</v>
      </c>
      <c r="M870" s="5">
        <v>19</v>
      </c>
      <c r="N870" s="5">
        <v>1</v>
      </c>
      <c r="O870" s="5">
        <v>25</v>
      </c>
      <c r="P870" s="5"/>
    </row>
    <row r="871" spans="1:16" x14ac:dyDescent="0.25">
      <c r="A871" s="4" t="s">
        <v>21</v>
      </c>
      <c r="B871" s="4" t="s">
        <v>344</v>
      </c>
      <c r="C871" s="5">
        <v>37559</v>
      </c>
      <c r="D871" s="4" t="s">
        <v>33</v>
      </c>
      <c r="E871" s="4" t="s">
        <v>137</v>
      </c>
      <c r="F871" s="4" t="s">
        <v>390</v>
      </c>
      <c r="G871" s="4" t="s">
        <v>26</v>
      </c>
      <c r="H871" s="4" t="s">
        <v>27</v>
      </c>
      <c r="I871" s="4" t="s">
        <v>715</v>
      </c>
      <c r="J871" s="4" t="s">
        <v>638</v>
      </c>
      <c r="K871" s="5">
        <v>6046644</v>
      </c>
      <c r="L871" s="5">
        <v>280899</v>
      </c>
      <c r="M871" s="5">
        <v>19</v>
      </c>
      <c r="N871" s="5">
        <v>1</v>
      </c>
      <c r="O871" s="5">
        <v>12</v>
      </c>
      <c r="P871" s="5"/>
    </row>
    <row r="872" spans="1:16" x14ac:dyDescent="0.25">
      <c r="A872" s="4" t="s">
        <v>21</v>
      </c>
      <c r="B872" s="4" t="s">
        <v>344</v>
      </c>
      <c r="C872" s="5">
        <v>37561</v>
      </c>
      <c r="D872" s="4" t="s">
        <v>33</v>
      </c>
      <c r="E872" s="4" t="s">
        <v>43</v>
      </c>
      <c r="F872" s="4" t="s">
        <v>43</v>
      </c>
      <c r="G872" s="4" t="s">
        <v>26</v>
      </c>
      <c r="H872" s="4" t="s">
        <v>27</v>
      </c>
      <c r="I872" s="4" t="s">
        <v>715</v>
      </c>
      <c r="J872" s="4" t="s">
        <v>638</v>
      </c>
      <c r="K872" s="5">
        <v>6069294</v>
      </c>
      <c r="L872" s="5">
        <v>273987</v>
      </c>
      <c r="M872" s="5">
        <v>19</v>
      </c>
      <c r="N872" s="5">
        <v>4</v>
      </c>
      <c r="O872" s="5">
        <v>46.58</v>
      </c>
      <c r="P872" s="5"/>
    </row>
    <row r="873" spans="1:16" x14ac:dyDescent="0.25">
      <c r="A873" s="4" t="s">
        <v>21</v>
      </c>
      <c r="B873" s="4" t="s">
        <v>344</v>
      </c>
      <c r="C873" s="5">
        <v>37563</v>
      </c>
      <c r="D873" s="4" t="s">
        <v>33</v>
      </c>
      <c r="E873" s="4" t="s">
        <v>43</v>
      </c>
      <c r="F873" s="4" t="s">
        <v>43</v>
      </c>
      <c r="G873" s="4" t="s">
        <v>26</v>
      </c>
      <c r="H873" s="4" t="s">
        <v>27</v>
      </c>
      <c r="I873" s="4" t="s">
        <v>715</v>
      </c>
      <c r="J873" s="4" t="s">
        <v>715</v>
      </c>
      <c r="K873" s="5">
        <v>6069563</v>
      </c>
      <c r="L873" s="5">
        <v>277309</v>
      </c>
      <c r="M873" s="5">
        <v>19</v>
      </c>
      <c r="N873" s="5">
        <v>1</v>
      </c>
      <c r="O873" s="5">
        <v>10</v>
      </c>
      <c r="P873" s="5"/>
    </row>
    <row r="874" spans="1:16" x14ac:dyDescent="0.25">
      <c r="A874" s="4" t="s">
        <v>21</v>
      </c>
      <c r="B874" s="4" t="s">
        <v>344</v>
      </c>
      <c r="C874" s="5">
        <v>37565</v>
      </c>
      <c r="D874" s="4" t="s">
        <v>33</v>
      </c>
      <c r="E874" s="4" t="s">
        <v>43</v>
      </c>
      <c r="F874" s="4" t="s">
        <v>162</v>
      </c>
      <c r="G874" s="4" t="s">
        <v>26</v>
      </c>
      <c r="H874" s="4" t="s">
        <v>27</v>
      </c>
      <c r="I874" s="4" t="s">
        <v>715</v>
      </c>
      <c r="J874" s="4" t="s">
        <v>638</v>
      </c>
      <c r="K874" s="5">
        <v>6064765</v>
      </c>
      <c r="L874" s="5">
        <v>280780</v>
      </c>
      <c r="M874" s="5">
        <v>19</v>
      </c>
      <c r="N874" s="5">
        <v>1</v>
      </c>
      <c r="O874" s="5">
        <v>12</v>
      </c>
      <c r="P874" s="5"/>
    </row>
    <row r="875" spans="1:16" x14ac:dyDescent="0.25">
      <c r="A875" s="4" t="s">
        <v>21</v>
      </c>
      <c r="B875" s="4" t="s">
        <v>344</v>
      </c>
      <c r="C875" s="5">
        <v>37566</v>
      </c>
      <c r="D875" s="4" t="s">
        <v>33</v>
      </c>
      <c r="E875" s="4" t="s">
        <v>43</v>
      </c>
      <c r="F875" s="4" t="s">
        <v>161</v>
      </c>
      <c r="G875" s="4" t="s">
        <v>26</v>
      </c>
      <c r="H875" s="4" t="s">
        <v>27</v>
      </c>
      <c r="I875" s="4" t="s">
        <v>715</v>
      </c>
      <c r="J875" s="4" t="s">
        <v>715</v>
      </c>
      <c r="K875" s="5">
        <v>6073304</v>
      </c>
      <c r="L875" s="5">
        <v>279473</v>
      </c>
      <c r="M875" s="5">
        <v>19</v>
      </c>
      <c r="N875" s="5">
        <v>1</v>
      </c>
      <c r="O875" s="5">
        <v>18</v>
      </c>
      <c r="P875" s="5"/>
    </row>
    <row r="876" spans="1:16" x14ac:dyDescent="0.25">
      <c r="A876" s="4" t="s">
        <v>21</v>
      </c>
      <c r="B876" s="4" t="s">
        <v>344</v>
      </c>
      <c r="C876" s="5">
        <v>37567</v>
      </c>
      <c r="D876" s="4" t="s">
        <v>33</v>
      </c>
      <c r="E876" s="4" t="s">
        <v>43</v>
      </c>
      <c r="F876" s="4" t="s">
        <v>162</v>
      </c>
      <c r="G876" s="4" t="s">
        <v>26</v>
      </c>
      <c r="H876" s="4" t="s">
        <v>27</v>
      </c>
      <c r="I876" s="4" t="s">
        <v>715</v>
      </c>
      <c r="J876" s="4" t="s">
        <v>638</v>
      </c>
      <c r="K876" s="5">
        <v>6064542</v>
      </c>
      <c r="L876" s="5">
        <v>279357</v>
      </c>
      <c r="M876" s="5">
        <v>19</v>
      </c>
      <c r="N876" s="5">
        <v>2</v>
      </c>
      <c r="O876" s="5">
        <v>58</v>
      </c>
      <c r="P876" s="5"/>
    </row>
    <row r="877" spans="1:16" x14ac:dyDescent="0.25">
      <c r="A877" s="4" t="s">
        <v>21</v>
      </c>
      <c r="B877" s="4" t="s">
        <v>344</v>
      </c>
      <c r="C877" s="5">
        <v>37590</v>
      </c>
      <c r="D877" s="4" t="s">
        <v>33</v>
      </c>
      <c r="E877" s="4" t="s">
        <v>137</v>
      </c>
      <c r="F877" s="4" t="s">
        <v>391</v>
      </c>
      <c r="G877" s="4" t="s">
        <v>26</v>
      </c>
      <c r="H877" s="4" t="s">
        <v>27</v>
      </c>
      <c r="I877" s="4" t="s">
        <v>715</v>
      </c>
      <c r="J877" s="4" t="s">
        <v>638</v>
      </c>
      <c r="K877" s="5">
        <v>6048001</v>
      </c>
      <c r="L877" s="5">
        <v>279720</v>
      </c>
      <c r="M877" s="5">
        <v>19</v>
      </c>
      <c r="N877" s="5">
        <v>1</v>
      </c>
      <c r="O877" s="5">
        <v>15</v>
      </c>
      <c r="P877" s="5"/>
    </row>
    <row r="878" spans="1:16" x14ac:dyDescent="0.25">
      <c r="A878" s="4" t="s">
        <v>21</v>
      </c>
      <c r="B878" s="4" t="s">
        <v>344</v>
      </c>
      <c r="C878" s="5">
        <v>37598</v>
      </c>
      <c r="D878" s="4" t="s">
        <v>33</v>
      </c>
      <c r="E878" s="4" t="s">
        <v>43</v>
      </c>
      <c r="F878" s="4" t="s">
        <v>392</v>
      </c>
      <c r="G878" s="4" t="s">
        <v>26</v>
      </c>
      <c r="H878" s="4" t="s">
        <v>27</v>
      </c>
      <c r="I878" s="4" t="s">
        <v>715</v>
      </c>
      <c r="J878" s="4" t="s">
        <v>638</v>
      </c>
      <c r="K878" s="5">
        <v>6072080</v>
      </c>
      <c r="L878" s="5">
        <v>273026</v>
      </c>
      <c r="M878" s="5">
        <v>19</v>
      </c>
      <c r="N878" s="5">
        <v>1</v>
      </c>
      <c r="O878" s="5">
        <v>40</v>
      </c>
      <c r="P878" s="5"/>
    </row>
    <row r="879" spans="1:16" x14ac:dyDescent="0.25">
      <c r="A879" s="4" t="s">
        <v>54</v>
      </c>
      <c r="B879" s="4" t="s">
        <v>344</v>
      </c>
      <c r="C879" s="5">
        <v>37649</v>
      </c>
      <c r="D879" s="4" t="s">
        <v>33</v>
      </c>
      <c r="E879" s="4" t="s">
        <v>122</v>
      </c>
      <c r="F879" s="4" t="s">
        <v>300</v>
      </c>
      <c r="G879" s="4" t="s">
        <v>26</v>
      </c>
      <c r="H879" s="4" t="s">
        <v>641</v>
      </c>
      <c r="I879" s="4" t="s">
        <v>715</v>
      </c>
      <c r="J879" s="4" t="s">
        <v>715</v>
      </c>
      <c r="K879" s="5">
        <v>6107985</v>
      </c>
      <c r="L879" s="5">
        <v>291731</v>
      </c>
      <c r="M879" s="5">
        <v>19</v>
      </c>
      <c r="N879" s="5">
        <v>1</v>
      </c>
      <c r="O879" s="5">
        <v>3</v>
      </c>
      <c r="P879" s="5"/>
    </row>
    <row r="880" spans="1:16" x14ac:dyDescent="0.25">
      <c r="A880" s="4" t="s">
        <v>54</v>
      </c>
      <c r="B880" s="4" t="s">
        <v>344</v>
      </c>
      <c r="C880" s="5">
        <v>37651</v>
      </c>
      <c r="D880" s="4" t="s">
        <v>23</v>
      </c>
      <c r="E880" s="4" t="s">
        <v>28</v>
      </c>
      <c r="F880" s="4" t="s">
        <v>380</v>
      </c>
      <c r="G880" s="4" t="s">
        <v>26</v>
      </c>
      <c r="H880" s="4" t="s">
        <v>641</v>
      </c>
      <c r="I880" s="4" t="s">
        <v>715</v>
      </c>
      <c r="J880" s="4" t="s">
        <v>715</v>
      </c>
      <c r="K880" s="5">
        <v>6258917</v>
      </c>
      <c r="L880" s="5">
        <v>336095</v>
      </c>
      <c r="M880" s="5">
        <v>19</v>
      </c>
      <c r="N880" s="5">
        <v>2</v>
      </c>
      <c r="O880" s="5">
        <v>2.16</v>
      </c>
      <c r="P880" s="5"/>
    </row>
    <row r="881" spans="1:16" x14ac:dyDescent="0.25">
      <c r="A881" s="4" t="s">
        <v>13</v>
      </c>
      <c r="B881" s="4" t="s">
        <v>344</v>
      </c>
      <c r="C881" s="5">
        <v>37661</v>
      </c>
      <c r="D881" s="4" t="s">
        <v>23</v>
      </c>
      <c r="E881" s="4" t="s">
        <v>28</v>
      </c>
      <c r="F881" s="4" t="s">
        <v>380</v>
      </c>
      <c r="G881" s="4" t="s">
        <v>26</v>
      </c>
      <c r="H881" s="4" t="s">
        <v>173</v>
      </c>
      <c r="I881" s="4" t="s">
        <v>638</v>
      </c>
      <c r="J881" s="4" t="s">
        <v>715</v>
      </c>
      <c r="K881" s="5">
        <v>6259202</v>
      </c>
      <c r="L881" s="5">
        <v>335935</v>
      </c>
      <c r="M881" s="5">
        <v>19</v>
      </c>
      <c r="N881" s="5">
        <v>1</v>
      </c>
      <c r="O881" s="5">
        <v>0.13</v>
      </c>
      <c r="P881" s="5"/>
    </row>
    <row r="882" spans="1:16" x14ac:dyDescent="0.25">
      <c r="A882" s="4" t="s">
        <v>21</v>
      </c>
      <c r="B882" s="4" t="s">
        <v>344</v>
      </c>
      <c r="C882" s="5">
        <v>37663</v>
      </c>
      <c r="D882" s="4" t="s">
        <v>23</v>
      </c>
      <c r="E882" s="4" t="s">
        <v>357</v>
      </c>
      <c r="F882" s="4" t="s">
        <v>357</v>
      </c>
      <c r="G882" s="4" t="s">
        <v>26</v>
      </c>
      <c r="H882" s="4" t="s">
        <v>18</v>
      </c>
      <c r="I882" s="4" t="s">
        <v>715</v>
      </c>
      <c r="J882" s="4" t="s">
        <v>715</v>
      </c>
      <c r="K882" s="5">
        <v>6287680</v>
      </c>
      <c r="L882" s="5">
        <v>340353</v>
      </c>
      <c r="M882" s="5">
        <v>19</v>
      </c>
      <c r="N882" s="5">
        <v>1</v>
      </c>
      <c r="O882" s="5">
        <v>0.5</v>
      </c>
      <c r="P882" s="5"/>
    </row>
    <row r="883" spans="1:16" x14ac:dyDescent="0.25">
      <c r="A883" s="4" t="s">
        <v>21</v>
      </c>
      <c r="B883" s="4" t="s">
        <v>344</v>
      </c>
      <c r="C883" s="5">
        <v>37668</v>
      </c>
      <c r="D883" s="4" t="s">
        <v>23</v>
      </c>
      <c r="E883" s="4" t="s">
        <v>357</v>
      </c>
      <c r="F883" s="4" t="s">
        <v>357</v>
      </c>
      <c r="G883" s="4" t="s">
        <v>26</v>
      </c>
      <c r="H883" s="4" t="s">
        <v>18</v>
      </c>
      <c r="I883" s="4" t="s">
        <v>715</v>
      </c>
      <c r="J883" s="4" t="s">
        <v>715</v>
      </c>
      <c r="K883" s="5">
        <v>6287981</v>
      </c>
      <c r="L883" s="5">
        <v>339863</v>
      </c>
      <c r="M883" s="5">
        <v>19</v>
      </c>
      <c r="N883" s="5">
        <v>1</v>
      </c>
      <c r="O883" s="5">
        <v>1.5</v>
      </c>
      <c r="P883" s="5"/>
    </row>
    <row r="884" spans="1:16" x14ac:dyDescent="0.25">
      <c r="A884" s="4" t="s">
        <v>21</v>
      </c>
      <c r="B884" s="4" t="s">
        <v>344</v>
      </c>
      <c r="C884" s="5">
        <v>37670</v>
      </c>
      <c r="D884" s="4" t="s">
        <v>23</v>
      </c>
      <c r="E884" s="4" t="s">
        <v>367</v>
      </c>
      <c r="F884" s="4" t="s">
        <v>393</v>
      </c>
      <c r="G884" s="4" t="s">
        <v>26</v>
      </c>
      <c r="H884" s="4" t="s">
        <v>18</v>
      </c>
      <c r="I884" s="4" t="s">
        <v>715</v>
      </c>
      <c r="J884" s="4" t="s">
        <v>715</v>
      </c>
      <c r="K884" s="5">
        <v>6285804</v>
      </c>
      <c r="L884" s="5">
        <v>336454</v>
      </c>
      <c r="M884" s="5">
        <v>19</v>
      </c>
      <c r="N884" s="5">
        <v>1</v>
      </c>
      <c r="O884" s="5">
        <v>0.5</v>
      </c>
      <c r="P884" s="5"/>
    </row>
    <row r="885" spans="1:16" x14ac:dyDescent="0.25">
      <c r="A885" s="4" t="s">
        <v>21</v>
      </c>
      <c r="B885" s="4" t="s">
        <v>344</v>
      </c>
      <c r="C885" s="5">
        <v>37673</v>
      </c>
      <c r="D885" s="4" t="s">
        <v>23</v>
      </c>
      <c r="E885" s="4" t="s">
        <v>367</v>
      </c>
      <c r="F885" s="4" t="s">
        <v>393</v>
      </c>
      <c r="G885" s="4" t="s">
        <v>26</v>
      </c>
      <c r="H885" s="4" t="s">
        <v>18</v>
      </c>
      <c r="I885" s="4" t="s">
        <v>715</v>
      </c>
      <c r="J885" s="4" t="s">
        <v>715</v>
      </c>
      <c r="K885" s="5">
        <v>6285823</v>
      </c>
      <c r="L885" s="5">
        <v>336268</v>
      </c>
      <c r="M885" s="5">
        <v>19</v>
      </c>
      <c r="N885" s="5">
        <v>1</v>
      </c>
      <c r="O885" s="5">
        <v>0.5</v>
      </c>
      <c r="P885" s="5"/>
    </row>
    <row r="886" spans="1:16" x14ac:dyDescent="0.25">
      <c r="A886" s="4" t="s">
        <v>21</v>
      </c>
      <c r="B886" s="4" t="s">
        <v>344</v>
      </c>
      <c r="C886" s="5">
        <v>37675</v>
      </c>
      <c r="D886" s="4" t="s">
        <v>23</v>
      </c>
      <c r="E886" s="4" t="s">
        <v>76</v>
      </c>
      <c r="F886" s="4" t="s">
        <v>394</v>
      </c>
      <c r="G886" s="4" t="s">
        <v>26</v>
      </c>
      <c r="H886" s="4" t="s">
        <v>18</v>
      </c>
      <c r="I886" s="4" t="s">
        <v>715</v>
      </c>
      <c r="J886" s="4" t="s">
        <v>715</v>
      </c>
      <c r="K886" s="5">
        <v>6273110</v>
      </c>
      <c r="L886" s="5">
        <v>329966</v>
      </c>
      <c r="M886" s="5">
        <v>19</v>
      </c>
      <c r="N886" s="5">
        <v>1</v>
      </c>
      <c r="O886" s="5">
        <v>4</v>
      </c>
      <c r="P886" s="5"/>
    </row>
    <row r="887" spans="1:16" x14ac:dyDescent="0.25">
      <c r="A887" s="4" t="s">
        <v>21</v>
      </c>
      <c r="B887" s="4" t="s">
        <v>344</v>
      </c>
      <c r="C887" s="5">
        <v>37677</v>
      </c>
      <c r="D887" s="4" t="s">
        <v>23</v>
      </c>
      <c r="E887" s="4" t="s">
        <v>76</v>
      </c>
      <c r="F887" s="4" t="s">
        <v>144</v>
      </c>
      <c r="G887" s="4" t="s">
        <v>26</v>
      </c>
      <c r="H887" s="4" t="s">
        <v>18</v>
      </c>
      <c r="I887" s="4" t="s">
        <v>715</v>
      </c>
      <c r="J887" s="4" t="s">
        <v>715</v>
      </c>
      <c r="K887" s="5">
        <v>6277714</v>
      </c>
      <c r="L887" s="5">
        <v>328741</v>
      </c>
      <c r="M887" s="5">
        <v>19</v>
      </c>
      <c r="N887" s="5">
        <v>1</v>
      </c>
      <c r="O887" s="5">
        <v>0.4</v>
      </c>
      <c r="P887" s="5"/>
    </row>
    <row r="888" spans="1:16" x14ac:dyDescent="0.25">
      <c r="A888" s="4" t="s">
        <v>21</v>
      </c>
      <c r="B888" s="4" t="s">
        <v>344</v>
      </c>
      <c r="C888" s="5">
        <v>37680</v>
      </c>
      <c r="D888" s="4" t="s">
        <v>23</v>
      </c>
      <c r="E888" s="4" t="s">
        <v>76</v>
      </c>
      <c r="F888" s="4" t="s">
        <v>144</v>
      </c>
      <c r="G888" s="4" t="s">
        <v>26</v>
      </c>
      <c r="H888" s="4" t="s">
        <v>18</v>
      </c>
      <c r="I888" s="4" t="s">
        <v>715</v>
      </c>
      <c r="J888" s="4" t="s">
        <v>715</v>
      </c>
      <c r="K888" s="5">
        <v>6277551</v>
      </c>
      <c r="L888" s="5">
        <v>328510</v>
      </c>
      <c r="M888" s="5">
        <v>19</v>
      </c>
      <c r="N888" s="5">
        <v>1</v>
      </c>
      <c r="O888" s="5">
        <v>3</v>
      </c>
      <c r="P888" s="5"/>
    </row>
    <row r="889" spans="1:16" x14ac:dyDescent="0.25">
      <c r="A889" s="4" t="s">
        <v>21</v>
      </c>
      <c r="B889" s="4" t="s">
        <v>344</v>
      </c>
      <c r="C889" s="5">
        <v>37683</v>
      </c>
      <c r="D889" s="4" t="s">
        <v>23</v>
      </c>
      <c r="E889" s="4" t="s">
        <v>76</v>
      </c>
      <c r="F889" s="4" t="s">
        <v>76</v>
      </c>
      <c r="G889" s="4" t="s">
        <v>26</v>
      </c>
      <c r="H889" s="4" t="s">
        <v>128</v>
      </c>
      <c r="I889" s="4" t="s">
        <v>715</v>
      </c>
      <c r="J889" s="4" t="s">
        <v>638</v>
      </c>
      <c r="K889" s="5">
        <v>6259028</v>
      </c>
      <c r="L889" s="5">
        <v>331256</v>
      </c>
      <c r="M889" s="5">
        <v>19</v>
      </c>
      <c r="N889" s="5">
        <v>1</v>
      </c>
      <c r="O889" s="5">
        <v>7</v>
      </c>
      <c r="P889" s="5"/>
    </row>
    <row r="890" spans="1:16" x14ac:dyDescent="0.25">
      <c r="A890" s="4" t="s">
        <v>21</v>
      </c>
      <c r="B890" s="4" t="s">
        <v>344</v>
      </c>
      <c r="C890" s="5">
        <v>37685</v>
      </c>
      <c r="D890" s="4" t="s">
        <v>37</v>
      </c>
      <c r="E890" s="4" t="s">
        <v>370</v>
      </c>
      <c r="F890" s="4" t="s">
        <v>370</v>
      </c>
      <c r="G890" s="4" t="s">
        <v>26</v>
      </c>
      <c r="H890" s="4" t="s">
        <v>18</v>
      </c>
      <c r="I890" s="4" t="s">
        <v>715</v>
      </c>
      <c r="J890" s="4" t="s">
        <v>715</v>
      </c>
      <c r="K890" s="5">
        <v>6188953</v>
      </c>
      <c r="L890" s="5">
        <v>327979</v>
      </c>
      <c r="M890" s="5">
        <v>19</v>
      </c>
      <c r="N890" s="5">
        <v>1</v>
      </c>
      <c r="O890" s="5">
        <v>0.5</v>
      </c>
      <c r="P890" s="5"/>
    </row>
    <row r="891" spans="1:16" x14ac:dyDescent="0.25">
      <c r="A891" s="4" t="s">
        <v>21</v>
      </c>
      <c r="B891" s="4" t="s">
        <v>344</v>
      </c>
      <c r="C891" s="5">
        <v>37686</v>
      </c>
      <c r="D891" s="4" t="s">
        <v>37</v>
      </c>
      <c r="E891" s="4" t="s">
        <v>370</v>
      </c>
      <c r="F891" s="4" t="s">
        <v>370</v>
      </c>
      <c r="G891" s="4" t="s">
        <v>26</v>
      </c>
      <c r="H891" s="4" t="s">
        <v>18</v>
      </c>
      <c r="I891" s="4" t="s">
        <v>715</v>
      </c>
      <c r="J891" s="4" t="s">
        <v>715</v>
      </c>
      <c r="K891" s="5">
        <v>6188946</v>
      </c>
      <c r="L891" s="5">
        <v>327994</v>
      </c>
      <c r="M891" s="5">
        <v>19</v>
      </c>
      <c r="N891" s="5">
        <v>1</v>
      </c>
      <c r="O891" s="5">
        <v>0.5</v>
      </c>
      <c r="P891" s="5"/>
    </row>
    <row r="892" spans="1:16" x14ac:dyDescent="0.25">
      <c r="A892" s="4" t="s">
        <v>21</v>
      </c>
      <c r="B892" s="4" t="s">
        <v>344</v>
      </c>
      <c r="C892" s="5">
        <v>37688</v>
      </c>
      <c r="D892" s="4" t="s">
        <v>23</v>
      </c>
      <c r="E892" s="4" t="s">
        <v>367</v>
      </c>
      <c r="F892" s="4" t="s">
        <v>393</v>
      </c>
      <c r="G892" s="4" t="s">
        <v>26</v>
      </c>
      <c r="H892" s="4" t="s">
        <v>18</v>
      </c>
      <c r="I892" s="4" t="s">
        <v>715</v>
      </c>
      <c r="J892" s="4" t="s">
        <v>715</v>
      </c>
      <c r="K892" s="5">
        <v>6273771</v>
      </c>
      <c r="L892" s="5">
        <v>329663</v>
      </c>
      <c r="M892" s="5">
        <v>19</v>
      </c>
      <c r="N892" s="5">
        <v>1</v>
      </c>
      <c r="O892" s="5">
        <v>3.5</v>
      </c>
      <c r="P892" s="5"/>
    </row>
    <row r="893" spans="1:16" x14ac:dyDescent="0.25">
      <c r="A893" s="4" t="s">
        <v>21</v>
      </c>
      <c r="B893" s="4" t="s">
        <v>344</v>
      </c>
      <c r="C893" s="5">
        <v>37692</v>
      </c>
      <c r="D893" s="4" t="s">
        <v>23</v>
      </c>
      <c r="E893" s="4" t="s">
        <v>367</v>
      </c>
      <c r="F893" s="4" t="s">
        <v>393</v>
      </c>
      <c r="G893" s="4" t="s">
        <v>26</v>
      </c>
      <c r="H893" s="4" t="s">
        <v>18</v>
      </c>
      <c r="I893" s="4" t="s">
        <v>715</v>
      </c>
      <c r="J893" s="4" t="s">
        <v>715</v>
      </c>
      <c r="K893" s="5">
        <v>6282343</v>
      </c>
      <c r="L893" s="5">
        <v>336433</v>
      </c>
      <c r="M893" s="5">
        <v>19</v>
      </c>
      <c r="N893" s="5">
        <v>1</v>
      </c>
      <c r="O893" s="5">
        <v>4.5</v>
      </c>
      <c r="P893" s="5"/>
    </row>
    <row r="894" spans="1:16" x14ac:dyDescent="0.25">
      <c r="A894" s="4" t="s">
        <v>21</v>
      </c>
      <c r="B894" s="4" t="s">
        <v>344</v>
      </c>
      <c r="C894" s="5">
        <v>37693</v>
      </c>
      <c r="D894" s="4" t="s">
        <v>37</v>
      </c>
      <c r="E894" s="4" t="s">
        <v>73</v>
      </c>
      <c r="F894" s="4" t="s">
        <v>273</v>
      </c>
      <c r="G894" s="4" t="s">
        <v>26</v>
      </c>
      <c r="H894" s="4" t="s">
        <v>27</v>
      </c>
      <c r="I894" s="4" t="s">
        <v>715</v>
      </c>
      <c r="J894" s="4" t="s">
        <v>715</v>
      </c>
      <c r="K894" s="5">
        <v>6151274</v>
      </c>
      <c r="L894" s="5">
        <v>312714</v>
      </c>
      <c r="M894" s="5">
        <v>19</v>
      </c>
      <c r="N894" s="5">
        <v>1</v>
      </c>
      <c r="O894" s="5">
        <v>22</v>
      </c>
      <c r="P894" s="5"/>
    </row>
    <row r="895" spans="1:16" x14ac:dyDescent="0.25">
      <c r="A895" s="4" t="s">
        <v>21</v>
      </c>
      <c r="B895" s="4" t="s">
        <v>344</v>
      </c>
      <c r="C895" s="5">
        <v>37710</v>
      </c>
      <c r="D895" s="4" t="s">
        <v>37</v>
      </c>
      <c r="E895" s="4" t="s">
        <v>73</v>
      </c>
      <c r="F895" s="4" t="s">
        <v>73</v>
      </c>
      <c r="G895" s="4" t="s">
        <v>26</v>
      </c>
      <c r="H895" s="4" t="s">
        <v>27</v>
      </c>
      <c r="I895" s="4" t="s">
        <v>715</v>
      </c>
      <c r="J895" s="4" t="s">
        <v>715</v>
      </c>
      <c r="K895" s="5">
        <v>6162214</v>
      </c>
      <c r="L895" s="5">
        <v>314202</v>
      </c>
      <c r="M895" s="5">
        <v>19</v>
      </c>
      <c r="N895" s="5">
        <v>3</v>
      </c>
      <c r="O895" s="5">
        <v>26.62</v>
      </c>
      <c r="P895" s="5"/>
    </row>
    <row r="896" spans="1:16" x14ac:dyDescent="0.25">
      <c r="A896" s="4" t="s">
        <v>21</v>
      </c>
      <c r="B896" s="4" t="s">
        <v>344</v>
      </c>
      <c r="C896" s="5">
        <v>37725</v>
      </c>
      <c r="D896" s="4" t="s">
        <v>37</v>
      </c>
      <c r="E896" s="4" t="s">
        <v>73</v>
      </c>
      <c r="F896" s="4" t="s">
        <v>395</v>
      </c>
      <c r="G896" s="4" t="s">
        <v>26</v>
      </c>
      <c r="H896" s="4" t="s">
        <v>27</v>
      </c>
      <c r="I896" s="4" t="s">
        <v>715</v>
      </c>
      <c r="J896" s="4" t="s">
        <v>715</v>
      </c>
      <c r="K896" s="5">
        <v>6155351</v>
      </c>
      <c r="L896" s="5">
        <v>318108</v>
      </c>
      <c r="M896" s="5">
        <v>19</v>
      </c>
      <c r="N896" s="5">
        <v>1</v>
      </c>
      <c r="O896" s="5">
        <v>11</v>
      </c>
      <c r="P896" s="5"/>
    </row>
    <row r="897" spans="1:16" x14ac:dyDescent="0.25">
      <c r="A897" s="4" t="s">
        <v>21</v>
      </c>
      <c r="B897" s="4" t="s">
        <v>344</v>
      </c>
      <c r="C897" s="5">
        <v>37728</v>
      </c>
      <c r="D897" s="4" t="s">
        <v>37</v>
      </c>
      <c r="E897" s="4" t="s">
        <v>73</v>
      </c>
      <c r="F897" s="4" t="s">
        <v>73</v>
      </c>
      <c r="G897" s="4" t="s">
        <v>26</v>
      </c>
      <c r="H897" s="4" t="s">
        <v>27</v>
      </c>
      <c r="I897" s="4" t="s">
        <v>715</v>
      </c>
      <c r="J897" s="4" t="s">
        <v>715</v>
      </c>
      <c r="K897" s="5">
        <v>6156260</v>
      </c>
      <c r="L897" s="5">
        <v>316998</v>
      </c>
      <c r="M897" s="5">
        <v>19</v>
      </c>
      <c r="N897" s="5">
        <v>6</v>
      </c>
      <c r="O897" s="5">
        <v>51.93</v>
      </c>
      <c r="P897" s="5"/>
    </row>
    <row r="898" spans="1:16" x14ac:dyDescent="0.25">
      <c r="A898" s="4" t="s">
        <v>21</v>
      </c>
      <c r="B898" s="4" t="s">
        <v>344</v>
      </c>
      <c r="C898" s="5">
        <v>37729</v>
      </c>
      <c r="D898" s="4" t="s">
        <v>37</v>
      </c>
      <c r="E898" s="4" t="s">
        <v>38</v>
      </c>
      <c r="F898" s="4" t="s">
        <v>396</v>
      </c>
      <c r="G898" s="4" t="s">
        <v>26</v>
      </c>
      <c r="H898" s="4" t="s">
        <v>27</v>
      </c>
      <c r="I898" s="4" t="s">
        <v>715</v>
      </c>
      <c r="J898" s="4" t="s">
        <v>715</v>
      </c>
      <c r="K898" s="5">
        <v>6175906</v>
      </c>
      <c r="L898" s="5">
        <v>318112</v>
      </c>
      <c r="M898" s="5">
        <v>19</v>
      </c>
      <c r="N898" s="5">
        <v>1</v>
      </c>
      <c r="O898" s="5">
        <v>10.28</v>
      </c>
      <c r="P898" s="5"/>
    </row>
    <row r="899" spans="1:16" x14ac:dyDescent="0.25">
      <c r="A899" s="4" t="s">
        <v>21</v>
      </c>
      <c r="B899" s="4" t="s">
        <v>344</v>
      </c>
      <c r="C899" s="5">
        <v>37731</v>
      </c>
      <c r="D899" s="4" t="s">
        <v>37</v>
      </c>
      <c r="E899" s="4" t="s">
        <v>38</v>
      </c>
      <c r="F899" s="4" t="s">
        <v>289</v>
      </c>
      <c r="G899" s="4" t="s">
        <v>26</v>
      </c>
      <c r="H899" s="4" t="s">
        <v>27</v>
      </c>
      <c r="I899" s="4" t="s">
        <v>715</v>
      </c>
      <c r="J899" s="4" t="s">
        <v>638</v>
      </c>
      <c r="K899" s="5">
        <v>6170545</v>
      </c>
      <c r="L899" s="5">
        <v>320965</v>
      </c>
      <c r="M899" s="5">
        <v>19</v>
      </c>
      <c r="N899" s="5">
        <v>2</v>
      </c>
      <c r="O899" s="5">
        <v>6.2</v>
      </c>
      <c r="P899" s="5"/>
    </row>
    <row r="900" spans="1:16" x14ac:dyDescent="0.25">
      <c r="A900" s="4" t="s">
        <v>21</v>
      </c>
      <c r="B900" s="4" t="s">
        <v>344</v>
      </c>
      <c r="C900" s="5">
        <v>37751</v>
      </c>
      <c r="D900" s="4" t="s">
        <v>33</v>
      </c>
      <c r="E900" s="4" t="s">
        <v>43</v>
      </c>
      <c r="F900" s="4" t="s">
        <v>162</v>
      </c>
      <c r="G900" s="4" t="s">
        <v>26</v>
      </c>
      <c r="H900" s="4" t="s">
        <v>27</v>
      </c>
      <c r="I900" s="4" t="s">
        <v>715</v>
      </c>
      <c r="J900" s="4" t="s">
        <v>638</v>
      </c>
      <c r="K900" s="5">
        <v>6063583</v>
      </c>
      <c r="L900" s="5">
        <v>280330</v>
      </c>
      <c r="M900" s="5">
        <v>19</v>
      </c>
      <c r="N900" s="5">
        <v>1</v>
      </c>
      <c r="O900" s="5">
        <v>8</v>
      </c>
      <c r="P900" s="5"/>
    </row>
    <row r="901" spans="1:16" x14ac:dyDescent="0.25">
      <c r="A901" s="4" t="s">
        <v>21</v>
      </c>
      <c r="B901" s="4" t="s">
        <v>344</v>
      </c>
      <c r="C901" s="5">
        <v>37768</v>
      </c>
      <c r="D901" s="4" t="s">
        <v>33</v>
      </c>
      <c r="E901" s="4" t="s">
        <v>34</v>
      </c>
      <c r="F901" s="4" t="s">
        <v>251</v>
      </c>
      <c r="G901" s="4" t="s">
        <v>26</v>
      </c>
      <c r="H901" s="4" t="s">
        <v>27</v>
      </c>
      <c r="I901" s="4" t="s">
        <v>715</v>
      </c>
      <c r="J901" s="4" t="s">
        <v>638</v>
      </c>
      <c r="K901" s="5">
        <v>6114165</v>
      </c>
      <c r="L901" s="5">
        <v>306941</v>
      </c>
      <c r="M901" s="5">
        <v>19</v>
      </c>
      <c r="N901" s="5">
        <v>3</v>
      </c>
      <c r="O901" s="5">
        <v>25.5</v>
      </c>
      <c r="P901" s="5"/>
    </row>
    <row r="902" spans="1:16" x14ac:dyDescent="0.25">
      <c r="A902" s="4" t="s">
        <v>21</v>
      </c>
      <c r="B902" s="4" t="s">
        <v>344</v>
      </c>
      <c r="C902" s="5">
        <v>37772</v>
      </c>
      <c r="D902" s="4" t="s">
        <v>33</v>
      </c>
      <c r="E902" s="4" t="s">
        <v>122</v>
      </c>
      <c r="F902" s="4" t="s">
        <v>122</v>
      </c>
      <c r="G902" s="4" t="s">
        <v>26</v>
      </c>
      <c r="H902" s="4" t="s">
        <v>27</v>
      </c>
      <c r="I902" s="4" t="s">
        <v>715</v>
      </c>
      <c r="J902" s="4" t="s">
        <v>638</v>
      </c>
      <c r="K902" s="5">
        <v>6111222</v>
      </c>
      <c r="L902" s="5">
        <v>294128</v>
      </c>
      <c r="M902" s="5">
        <v>19</v>
      </c>
      <c r="N902" s="5">
        <v>2</v>
      </c>
      <c r="O902" s="5">
        <v>92.96</v>
      </c>
      <c r="P902" s="5"/>
    </row>
    <row r="903" spans="1:16" x14ac:dyDescent="0.25">
      <c r="A903" s="4" t="s">
        <v>21</v>
      </c>
      <c r="B903" s="4" t="s">
        <v>344</v>
      </c>
      <c r="C903" s="5">
        <v>37774</v>
      </c>
      <c r="D903" s="4" t="s">
        <v>33</v>
      </c>
      <c r="E903" s="4" t="s">
        <v>122</v>
      </c>
      <c r="F903" s="4" t="s">
        <v>122</v>
      </c>
      <c r="G903" s="4" t="s">
        <v>26</v>
      </c>
      <c r="H903" s="4" t="s">
        <v>27</v>
      </c>
      <c r="I903" s="4" t="s">
        <v>715</v>
      </c>
      <c r="J903" s="4" t="s">
        <v>638</v>
      </c>
      <c r="K903" s="5">
        <v>6112215</v>
      </c>
      <c r="L903" s="5">
        <v>294324</v>
      </c>
      <c r="M903" s="5">
        <v>19</v>
      </c>
      <c r="N903" s="5">
        <v>3</v>
      </c>
      <c r="O903" s="5">
        <v>24.64</v>
      </c>
      <c r="P903" s="5"/>
    </row>
    <row r="904" spans="1:16" x14ac:dyDescent="0.25">
      <c r="A904" s="4" t="s">
        <v>21</v>
      </c>
      <c r="B904" s="4" t="s">
        <v>344</v>
      </c>
      <c r="C904" s="5">
        <v>37782</v>
      </c>
      <c r="D904" s="4" t="s">
        <v>33</v>
      </c>
      <c r="E904" s="4" t="s">
        <v>34</v>
      </c>
      <c r="F904" s="4" t="s">
        <v>251</v>
      </c>
      <c r="G904" s="4" t="s">
        <v>26</v>
      </c>
      <c r="H904" s="4" t="s">
        <v>27</v>
      </c>
      <c r="I904" s="4" t="s">
        <v>715</v>
      </c>
      <c r="J904" s="4" t="s">
        <v>715</v>
      </c>
      <c r="K904" s="5">
        <v>6116749</v>
      </c>
      <c r="L904" s="5">
        <v>301697</v>
      </c>
      <c r="M904" s="5">
        <v>19</v>
      </c>
      <c r="N904" s="5">
        <v>1</v>
      </c>
      <c r="O904" s="5">
        <v>22.6</v>
      </c>
      <c r="P904" s="5"/>
    </row>
    <row r="905" spans="1:16" x14ac:dyDescent="0.25">
      <c r="A905" s="4" t="s">
        <v>21</v>
      </c>
      <c r="B905" s="4" t="s">
        <v>344</v>
      </c>
      <c r="C905" s="5">
        <v>37786</v>
      </c>
      <c r="D905" s="4" t="s">
        <v>33</v>
      </c>
      <c r="E905" s="4" t="s">
        <v>34</v>
      </c>
      <c r="F905" s="4" t="s">
        <v>352</v>
      </c>
      <c r="G905" s="4" t="s">
        <v>26</v>
      </c>
      <c r="H905" s="4" t="s">
        <v>27</v>
      </c>
      <c r="I905" s="4" t="s">
        <v>715</v>
      </c>
      <c r="J905" s="4" t="s">
        <v>715</v>
      </c>
      <c r="K905" s="5">
        <v>6131148</v>
      </c>
      <c r="L905" s="5">
        <v>292746</v>
      </c>
      <c r="M905" s="5">
        <v>19</v>
      </c>
      <c r="N905" s="5">
        <v>1</v>
      </c>
      <c r="O905" s="5">
        <v>3.13</v>
      </c>
      <c r="P905" s="5"/>
    </row>
    <row r="906" spans="1:16" x14ac:dyDescent="0.25">
      <c r="A906" s="4" t="s">
        <v>21</v>
      </c>
      <c r="B906" s="4" t="s">
        <v>344</v>
      </c>
      <c r="C906" s="5">
        <v>37828</v>
      </c>
      <c r="D906" s="4" t="s">
        <v>23</v>
      </c>
      <c r="E906" s="4" t="s">
        <v>25</v>
      </c>
      <c r="F906" s="4" t="s">
        <v>345</v>
      </c>
      <c r="G906" s="4" t="s">
        <v>26</v>
      </c>
      <c r="H906" s="4" t="s">
        <v>27</v>
      </c>
      <c r="I906" s="4" t="s">
        <v>715</v>
      </c>
      <c r="J906" s="4" t="s">
        <v>638</v>
      </c>
      <c r="K906" s="5">
        <v>6276232</v>
      </c>
      <c r="L906" s="5">
        <v>299582</v>
      </c>
      <c r="M906" s="5">
        <v>19</v>
      </c>
      <c r="N906" s="5">
        <v>1</v>
      </c>
      <c r="O906" s="5">
        <v>3.5</v>
      </c>
      <c r="P906" s="5"/>
    </row>
    <row r="907" spans="1:16" x14ac:dyDescent="0.25">
      <c r="A907" s="4" t="s">
        <v>21</v>
      </c>
      <c r="B907" s="4" t="s">
        <v>344</v>
      </c>
      <c r="C907" s="5">
        <v>37829</v>
      </c>
      <c r="D907" s="4" t="s">
        <v>23</v>
      </c>
      <c r="E907" s="4" t="s">
        <v>367</v>
      </c>
      <c r="F907" s="4" t="s">
        <v>384</v>
      </c>
      <c r="G907" s="4" t="s">
        <v>26</v>
      </c>
      <c r="H907" s="4" t="s">
        <v>27</v>
      </c>
      <c r="I907" s="4" t="s">
        <v>715</v>
      </c>
      <c r="J907" s="4" t="s">
        <v>715</v>
      </c>
      <c r="K907" s="5">
        <v>6275053</v>
      </c>
      <c r="L907" s="5">
        <v>327507</v>
      </c>
      <c r="M907" s="5">
        <v>19</v>
      </c>
      <c r="N907" s="5">
        <v>2</v>
      </c>
      <c r="O907" s="5">
        <v>33</v>
      </c>
      <c r="P907" s="5"/>
    </row>
    <row r="908" spans="1:16" x14ac:dyDescent="0.25">
      <c r="A908" s="4" t="s">
        <v>21</v>
      </c>
      <c r="B908" s="4" t="s">
        <v>344</v>
      </c>
      <c r="C908" s="5">
        <v>37830</v>
      </c>
      <c r="D908" s="4" t="s">
        <v>37</v>
      </c>
      <c r="E908" s="4" t="s">
        <v>169</v>
      </c>
      <c r="F908" s="4" t="s">
        <v>169</v>
      </c>
      <c r="G908" s="4" t="s">
        <v>26</v>
      </c>
      <c r="H908" s="4" t="s">
        <v>27</v>
      </c>
      <c r="I908" s="4" t="s">
        <v>715</v>
      </c>
      <c r="J908" s="4" t="s">
        <v>715</v>
      </c>
      <c r="K908" s="5">
        <v>6215452</v>
      </c>
      <c r="L908" s="5">
        <v>344586</v>
      </c>
      <c r="M908" s="5">
        <v>19</v>
      </c>
      <c r="N908" s="5">
        <v>6</v>
      </c>
      <c r="O908" s="5">
        <v>94</v>
      </c>
      <c r="P908" s="5"/>
    </row>
    <row r="909" spans="1:16" x14ac:dyDescent="0.25">
      <c r="A909" s="4" t="s">
        <v>21</v>
      </c>
      <c r="B909" s="4" t="s">
        <v>344</v>
      </c>
      <c r="C909" s="5">
        <v>37831</v>
      </c>
      <c r="D909" s="4" t="s">
        <v>23</v>
      </c>
      <c r="E909" s="4" t="s">
        <v>25</v>
      </c>
      <c r="F909" s="4" t="s">
        <v>345</v>
      </c>
      <c r="G909" s="4" t="s">
        <v>26</v>
      </c>
      <c r="H909" s="4" t="s">
        <v>27</v>
      </c>
      <c r="I909" s="4" t="s">
        <v>715</v>
      </c>
      <c r="J909" s="4" t="s">
        <v>715</v>
      </c>
      <c r="K909" s="5">
        <v>6275452</v>
      </c>
      <c r="L909" s="5">
        <v>299244</v>
      </c>
      <c r="M909" s="5">
        <v>19</v>
      </c>
      <c r="N909" s="5">
        <v>4</v>
      </c>
      <c r="O909" s="5">
        <v>48</v>
      </c>
      <c r="P909" s="5"/>
    </row>
    <row r="910" spans="1:16" x14ac:dyDescent="0.25">
      <c r="A910" s="4" t="s">
        <v>21</v>
      </c>
      <c r="B910" s="4" t="s">
        <v>344</v>
      </c>
      <c r="C910" s="5">
        <v>37832</v>
      </c>
      <c r="D910" s="4" t="s">
        <v>37</v>
      </c>
      <c r="E910" s="4" t="s">
        <v>295</v>
      </c>
      <c r="F910" s="4" t="s">
        <v>295</v>
      </c>
      <c r="G910" s="4" t="s">
        <v>26</v>
      </c>
      <c r="H910" s="4" t="s">
        <v>27</v>
      </c>
      <c r="I910" s="4" t="s">
        <v>715</v>
      </c>
      <c r="J910" s="4" t="s">
        <v>715</v>
      </c>
      <c r="K910" s="5">
        <v>6233687</v>
      </c>
      <c r="L910" s="5">
        <v>341542</v>
      </c>
      <c r="M910" s="5">
        <v>19</v>
      </c>
      <c r="N910" s="5">
        <v>3</v>
      </c>
      <c r="O910" s="5">
        <v>40</v>
      </c>
      <c r="P910" s="5"/>
    </row>
    <row r="911" spans="1:16" x14ac:dyDescent="0.25">
      <c r="A911" s="4" t="s">
        <v>21</v>
      </c>
      <c r="B911" s="4" t="s">
        <v>344</v>
      </c>
      <c r="C911" s="5">
        <v>37833</v>
      </c>
      <c r="D911" s="4" t="s">
        <v>23</v>
      </c>
      <c r="E911" s="4" t="s">
        <v>31</v>
      </c>
      <c r="F911" s="4" t="s">
        <v>31</v>
      </c>
      <c r="G911" s="4" t="s">
        <v>26</v>
      </c>
      <c r="H911" s="4" t="s">
        <v>27</v>
      </c>
      <c r="I911" s="4" t="s">
        <v>715</v>
      </c>
      <c r="J911" s="4" t="s">
        <v>715</v>
      </c>
      <c r="K911" s="5">
        <v>6293790</v>
      </c>
      <c r="L911" s="5">
        <v>334660</v>
      </c>
      <c r="M911" s="5">
        <v>19</v>
      </c>
      <c r="N911" s="5">
        <v>2</v>
      </c>
      <c r="O911" s="5">
        <v>14</v>
      </c>
      <c r="P911" s="5"/>
    </row>
    <row r="912" spans="1:16" x14ac:dyDescent="0.25">
      <c r="A912" s="4" t="s">
        <v>21</v>
      </c>
      <c r="B912" s="4" t="s">
        <v>344</v>
      </c>
      <c r="C912" s="5">
        <v>37834</v>
      </c>
      <c r="D912" s="4" t="s">
        <v>23</v>
      </c>
      <c r="E912" s="4" t="s">
        <v>28</v>
      </c>
      <c r="F912" s="4" t="s">
        <v>28</v>
      </c>
      <c r="G912" s="4" t="s">
        <v>26</v>
      </c>
      <c r="H912" s="4" t="s">
        <v>27</v>
      </c>
      <c r="I912" s="4" t="s">
        <v>715</v>
      </c>
      <c r="J912" s="4" t="s">
        <v>638</v>
      </c>
      <c r="K912" s="5">
        <v>6267777</v>
      </c>
      <c r="L912" s="5">
        <v>341000</v>
      </c>
      <c r="M912" s="5">
        <v>19</v>
      </c>
      <c r="N912" s="5">
        <v>2</v>
      </c>
      <c r="O912" s="5">
        <v>23</v>
      </c>
      <c r="P912" s="5"/>
    </row>
    <row r="913" spans="1:16" x14ac:dyDescent="0.25">
      <c r="A913" s="4" t="s">
        <v>21</v>
      </c>
      <c r="B913" s="4" t="s">
        <v>344</v>
      </c>
      <c r="C913" s="5">
        <v>37835</v>
      </c>
      <c r="D913" s="4" t="s">
        <v>23</v>
      </c>
      <c r="E913" s="4" t="s">
        <v>357</v>
      </c>
      <c r="F913" s="4" t="s">
        <v>361</v>
      </c>
      <c r="G913" s="4" t="s">
        <v>26</v>
      </c>
      <c r="H913" s="4" t="s">
        <v>27</v>
      </c>
      <c r="I913" s="4" t="s">
        <v>715</v>
      </c>
      <c r="J913" s="4" t="s">
        <v>638</v>
      </c>
      <c r="K913" s="5">
        <v>6274636</v>
      </c>
      <c r="L913" s="5">
        <v>343373</v>
      </c>
      <c r="M913" s="5">
        <v>19</v>
      </c>
      <c r="N913" s="5">
        <v>1</v>
      </c>
      <c r="O913" s="5">
        <v>9.5</v>
      </c>
      <c r="P913" s="5"/>
    </row>
    <row r="914" spans="1:16" x14ac:dyDescent="0.25">
      <c r="A914" s="4" t="s">
        <v>21</v>
      </c>
      <c r="B914" s="4" t="s">
        <v>344</v>
      </c>
      <c r="C914" s="5">
        <v>37836</v>
      </c>
      <c r="D914" s="4" t="s">
        <v>23</v>
      </c>
      <c r="E914" s="4" t="s">
        <v>31</v>
      </c>
      <c r="F914" s="4" t="s">
        <v>31</v>
      </c>
      <c r="G914" s="4" t="s">
        <v>26</v>
      </c>
      <c r="H914" s="4" t="s">
        <v>27</v>
      </c>
      <c r="I914" s="4" t="s">
        <v>715</v>
      </c>
      <c r="J914" s="4" t="s">
        <v>638</v>
      </c>
      <c r="K914" s="5">
        <v>6295046</v>
      </c>
      <c r="L914" s="5">
        <v>335707</v>
      </c>
      <c r="M914" s="5">
        <v>19</v>
      </c>
      <c r="N914" s="5">
        <v>1</v>
      </c>
      <c r="O914" s="5">
        <v>25</v>
      </c>
      <c r="P914" s="5"/>
    </row>
    <row r="915" spans="1:16" x14ac:dyDescent="0.25">
      <c r="A915" s="4" t="s">
        <v>21</v>
      </c>
      <c r="B915" s="4" t="s">
        <v>344</v>
      </c>
      <c r="C915" s="5">
        <v>37837</v>
      </c>
      <c r="D915" s="4" t="s">
        <v>23</v>
      </c>
      <c r="E915" s="4" t="s">
        <v>31</v>
      </c>
      <c r="F915" s="4" t="s">
        <v>31</v>
      </c>
      <c r="G915" s="4" t="s">
        <v>26</v>
      </c>
      <c r="H915" s="4" t="s">
        <v>27</v>
      </c>
      <c r="I915" s="4" t="s">
        <v>715</v>
      </c>
      <c r="J915" s="4" t="s">
        <v>638</v>
      </c>
      <c r="K915" s="5">
        <v>6295014</v>
      </c>
      <c r="L915" s="5">
        <v>332646</v>
      </c>
      <c r="M915" s="5">
        <v>19</v>
      </c>
      <c r="N915" s="5">
        <v>1</v>
      </c>
      <c r="O915" s="5">
        <v>40</v>
      </c>
      <c r="P915" s="5"/>
    </row>
    <row r="916" spans="1:16" x14ac:dyDescent="0.25">
      <c r="A916" s="4" t="s">
        <v>21</v>
      </c>
      <c r="B916" s="4" t="s">
        <v>344</v>
      </c>
      <c r="C916" s="5">
        <v>37838</v>
      </c>
      <c r="D916" s="4" t="s">
        <v>23</v>
      </c>
      <c r="E916" s="4" t="s">
        <v>357</v>
      </c>
      <c r="F916" s="4" t="s">
        <v>372</v>
      </c>
      <c r="G916" s="4" t="s">
        <v>26</v>
      </c>
      <c r="H916" s="4" t="s">
        <v>27</v>
      </c>
      <c r="I916" s="4" t="s">
        <v>715</v>
      </c>
      <c r="J916" s="4" t="s">
        <v>715</v>
      </c>
      <c r="K916" s="5">
        <v>6268179</v>
      </c>
      <c r="L916" s="5">
        <v>334636</v>
      </c>
      <c r="M916" s="5">
        <v>19</v>
      </c>
      <c r="N916" s="5">
        <v>1</v>
      </c>
      <c r="O916" s="5">
        <v>7</v>
      </c>
      <c r="P916" s="5"/>
    </row>
    <row r="917" spans="1:16" x14ac:dyDescent="0.25">
      <c r="A917" s="4" t="s">
        <v>21</v>
      </c>
      <c r="B917" s="4" t="s">
        <v>344</v>
      </c>
      <c r="C917" s="5">
        <v>37839</v>
      </c>
      <c r="D917" s="4" t="s">
        <v>23</v>
      </c>
      <c r="E917" s="4" t="s">
        <v>367</v>
      </c>
      <c r="F917" s="4" t="s">
        <v>330</v>
      </c>
      <c r="G917" s="4" t="s">
        <v>26</v>
      </c>
      <c r="H917" s="4" t="s">
        <v>27</v>
      </c>
      <c r="I917" s="4" t="s">
        <v>715</v>
      </c>
      <c r="J917" s="4" t="s">
        <v>715</v>
      </c>
      <c r="K917" s="5">
        <v>6275258</v>
      </c>
      <c r="L917" s="5">
        <v>334362</v>
      </c>
      <c r="M917" s="5">
        <v>19</v>
      </c>
      <c r="N917" s="5">
        <v>1</v>
      </c>
      <c r="O917" s="5">
        <v>7</v>
      </c>
      <c r="P917" s="5"/>
    </row>
    <row r="918" spans="1:16" x14ac:dyDescent="0.25">
      <c r="A918" s="4" t="s">
        <v>21</v>
      </c>
      <c r="B918" s="4" t="s">
        <v>344</v>
      </c>
      <c r="C918" s="5">
        <v>37840</v>
      </c>
      <c r="D918" s="4" t="s">
        <v>23</v>
      </c>
      <c r="E918" s="4" t="s">
        <v>28</v>
      </c>
      <c r="F918" s="4" t="s">
        <v>28</v>
      </c>
      <c r="G918" s="4" t="s">
        <v>26</v>
      </c>
      <c r="H918" s="4" t="s">
        <v>27</v>
      </c>
      <c r="I918" s="4" t="s">
        <v>715</v>
      </c>
      <c r="J918" s="4" t="s">
        <v>638</v>
      </c>
      <c r="K918" s="5">
        <v>6260569</v>
      </c>
      <c r="L918" s="5">
        <v>335490</v>
      </c>
      <c r="M918" s="5">
        <v>19</v>
      </c>
      <c r="N918" s="5">
        <v>1</v>
      </c>
      <c r="O918" s="5">
        <v>21.5</v>
      </c>
      <c r="P918" s="5"/>
    </row>
    <row r="919" spans="1:16" x14ac:dyDescent="0.25">
      <c r="A919" s="4" t="s">
        <v>21</v>
      </c>
      <c r="B919" s="4" t="s">
        <v>344</v>
      </c>
      <c r="C919" s="5">
        <v>37841</v>
      </c>
      <c r="D919" s="4" t="s">
        <v>23</v>
      </c>
      <c r="E919" s="4" t="s">
        <v>367</v>
      </c>
      <c r="F919" s="4" t="s">
        <v>109</v>
      </c>
      <c r="G919" s="4" t="s">
        <v>26</v>
      </c>
      <c r="H919" s="4" t="s">
        <v>27</v>
      </c>
      <c r="I919" s="4" t="s">
        <v>715</v>
      </c>
      <c r="J919" s="4" t="s">
        <v>715</v>
      </c>
      <c r="K919" s="5">
        <v>6280900</v>
      </c>
      <c r="L919" s="5">
        <v>332532</v>
      </c>
      <c r="M919" s="5">
        <v>19</v>
      </c>
      <c r="N919" s="5">
        <v>1</v>
      </c>
      <c r="O919" s="5">
        <v>14</v>
      </c>
      <c r="P919" s="5"/>
    </row>
    <row r="920" spans="1:16" x14ac:dyDescent="0.25">
      <c r="A920" s="4" t="s">
        <v>21</v>
      </c>
      <c r="B920" s="4" t="s">
        <v>344</v>
      </c>
      <c r="C920" s="5">
        <v>37843</v>
      </c>
      <c r="D920" s="4" t="s">
        <v>37</v>
      </c>
      <c r="E920" s="4" t="s">
        <v>73</v>
      </c>
      <c r="F920" s="4" t="s">
        <v>395</v>
      </c>
      <c r="G920" s="4" t="s">
        <v>26</v>
      </c>
      <c r="H920" s="4" t="s">
        <v>27</v>
      </c>
      <c r="I920" s="4" t="s">
        <v>715</v>
      </c>
      <c r="J920" s="4" t="s">
        <v>715</v>
      </c>
      <c r="K920" s="5">
        <v>6154791</v>
      </c>
      <c r="L920" s="5">
        <v>317265</v>
      </c>
      <c r="M920" s="5">
        <v>19</v>
      </c>
      <c r="N920" s="5">
        <v>1</v>
      </c>
      <c r="O920" s="5">
        <v>17.5</v>
      </c>
      <c r="P920" s="5"/>
    </row>
    <row r="921" spans="1:16" x14ac:dyDescent="0.25">
      <c r="A921" s="4" t="s">
        <v>21</v>
      </c>
      <c r="B921" s="4" t="s">
        <v>344</v>
      </c>
      <c r="C921" s="5">
        <v>37844</v>
      </c>
      <c r="D921" s="4" t="s">
        <v>37</v>
      </c>
      <c r="E921" s="4" t="s">
        <v>73</v>
      </c>
      <c r="F921" s="4" t="s">
        <v>73</v>
      </c>
      <c r="G921" s="4" t="s">
        <v>26</v>
      </c>
      <c r="H921" s="4" t="s">
        <v>27</v>
      </c>
      <c r="I921" s="4" t="s">
        <v>715</v>
      </c>
      <c r="J921" s="4" t="s">
        <v>638</v>
      </c>
      <c r="K921" s="5">
        <v>6151612</v>
      </c>
      <c r="L921" s="5">
        <v>313371</v>
      </c>
      <c r="M921" s="5">
        <v>19</v>
      </c>
      <c r="N921" s="5">
        <v>1</v>
      </c>
      <c r="O921" s="5">
        <v>6</v>
      </c>
      <c r="P921" s="5"/>
    </row>
    <row r="922" spans="1:16" x14ac:dyDescent="0.25">
      <c r="A922" s="4" t="s">
        <v>21</v>
      </c>
      <c r="B922" s="4" t="s">
        <v>344</v>
      </c>
      <c r="C922" s="5">
        <v>37845</v>
      </c>
      <c r="D922" s="4" t="s">
        <v>37</v>
      </c>
      <c r="E922" s="4" t="s">
        <v>73</v>
      </c>
      <c r="F922" s="4" t="s">
        <v>73</v>
      </c>
      <c r="G922" s="4" t="s">
        <v>26</v>
      </c>
      <c r="H922" s="4" t="s">
        <v>27</v>
      </c>
      <c r="I922" s="4" t="s">
        <v>715</v>
      </c>
      <c r="J922" s="4" t="s">
        <v>638</v>
      </c>
      <c r="K922" s="5">
        <v>6151612</v>
      </c>
      <c r="L922" s="5">
        <v>313594</v>
      </c>
      <c r="M922" s="5">
        <v>19</v>
      </c>
      <c r="N922" s="5">
        <v>1</v>
      </c>
      <c r="O922" s="5">
        <v>18</v>
      </c>
      <c r="P922" s="5"/>
    </row>
    <row r="923" spans="1:16" x14ac:dyDescent="0.25">
      <c r="A923" s="4" t="s">
        <v>21</v>
      </c>
      <c r="B923" s="4" t="s">
        <v>344</v>
      </c>
      <c r="C923" s="5">
        <v>37846</v>
      </c>
      <c r="D923" s="4" t="s">
        <v>37</v>
      </c>
      <c r="E923" s="4" t="s">
        <v>73</v>
      </c>
      <c r="F923" s="4" t="s">
        <v>73</v>
      </c>
      <c r="G923" s="4" t="s">
        <v>26</v>
      </c>
      <c r="H923" s="4" t="s">
        <v>27</v>
      </c>
      <c r="I923" s="4" t="s">
        <v>715</v>
      </c>
      <c r="J923" s="4" t="s">
        <v>638</v>
      </c>
      <c r="K923" s="5">
        <v>6151958</v>
      </c>
      <c r="L923" s="5">
        <v>313378</v>
      </c>
      <c r="M923" s="5">
        <v>19</v>
      </c>
      <c r="N923" s="5">
        <v>1</v>
      </c>
      <c r="O923" s="5">
        <v>27</v>
      </c>
      <c r="P923" s="5"/>
    </row>
    <row r="924" spans="1:16" x14ac:dyDescent="0.25">
      <c r="A924" s="4" t="s">
        <v>21</v>
      </c>
      <c r="B924" s="4" t="s">
        <v>344</v>
      </c>
      <c r="C924" s="5">
        <v>37847</v>
      </c>
      <c r="D924" s="4" t="s">
        <v>37</v>
      </c>
      <c r="E924" s="4" t="s">
        <v>73</v>
      </c>
      <c r="F924" s="4" t="s">
        <v>73</v>
      </c>
      <c r="G924" s="4" t="s">
        <v>26</v>
      </c>
      <c r="H924" s="4" t="s">
        <v>27</v>
      </c>
      <c r="I924" s="4" t="s">
        <v>715</v>
      </c>
      <c r="J924" s="4" t="s">
        <v>715</v>
      </c>
      <c r="K924" s="5">
        <v>6162709</v>
      </c>
      <c r="L924" s="5">
        <v>315102</v>
      </c>
      <c r="M924" s="5">
        <v>19</v>
      </c>
      <c r="N924" s="5">
        <v>3</v>
      </c>
      <c r="O924" s="5">
        <v>27.5</v>
      </c>
      <c r="P924" s="5"/>
    </row>
    <row r="925" spans="1:16" x14ac:dyDescent="0.25">
      <c r="A925" s="4" t="s">
        <v>21</v>
      </c>
      <c r="B925" s="4" t="s">
        <v>344</v>
      </c>
      <c r="C925" s="5">
        <v>37848</v>
      </c>
      <c r="D925" s="4" t="s">
        <v>37</v>
      </c>
      <c r="E925" s="4" t="s">
        <v>349</v>
      </c>
      <c r="F925" s="4" t="s">
        <v>354</v>
      </c>
      <c r="G925" s="4" t="s">
        <v>26</v>
      </c>
      <c r="H925" s="4" t="s">
        <v>27</v>
      </c>
      <c r="I925" s="4" t="s">
        <v>715</v>
      </c>
      <c r="J925" s="4" t="s">
        <v>715</v>
      </c>
      <c r="K925" s="5">
        <v>6165583</v>
      </c>
      <c r="L925" s="5">
        <v>289330</v>
      </c>
      <c r="M925" s="5">
        <v>19</v>
      </c>
      <c r="N925" s="5">
        <v>1</v>
      </c>
      <c r="O925" s="5">
        <v>25.52</v>
      </c>
      <c r="P925" s="5"/>
    </row>
    <row r="926" spans="1:16" x14ac:dyDescent="0.25">
      <c r="A926" s="4" t="s">
        <v>21</v>
      </c>
      <c r="B926" s="4" t="s">
        <v>344</v>
      </c>
      <c r="C926" s="5">
        <v>37849</v>
      </c>
      <c r="D926" s="4" t="s">
        <v>33</v>
      </c>
      <c r="E926" s="4" t="s">
        <v>35</v>
      </c>
      <c r="F926" s="4" t="s">
        <v>35</v>
      </c>
      <c r="G926" s="4" t="s">
        <v>26</v>
      </c>
      <c r="H926" s="4" t="s">
        <v>27</v>
      </c>
      <c r="I926" s="4" t="s">
        <v>715</v>
      </c>
      <c r="J926" s="4" t="s">
        <v>638</v>
      </c>
      <c r="K926" s="5">
        <v>6145193</v>
      </c>
      <c r="L926" s="5">
        <v>312475</v>
      </c>
      <c r="M926" s="5">
        <v>19</v>
      </c>
      <c r="N926" s="5">
        <v>1</v>
      </c>
      <c r="O926" s="5">
        <v>57.88</v>
      </c>
      <c r="P926" s="5"/>
    </row>
    <row r="927" spans="1:16" x14ac:dyDescent="0.25">
      <c r="A927" s="4" t="s">
        <v>21</v>
      </c>
      <c r="B927" s="4" t="s">
        <v>344</v>
      </c>
      <c r="C927" s="5">
        <v>37850</v>
      </c>
      <c r="D927" s="4" t="s">
        <v>37</v>
      </c>
      <c r="E927" s="4" t="s">
        <v>73</v>
      </c>
      <c r="F927" s="4" t="s">
        <v>397</v>
      </c>
      <c r="G927" s="4" t="s">
        <v>26</v>
      </c>
      <c r="H927" s="4" t="s">
        <v>27</v>
      </c>
      <c r="I927" s="4" t="s">
        <v>715</v>
      </c>
      <c r="J927" s="4" t="s">
        <v>638</v>
      </c>
      <c r="K927" s="5">
        <v>6151539</v>
      </c>
      <c r="L927" s="5">
        <v>314090</v>
      </c>
      <c r="M927" s="5">
        <v>19</v>
      </c>
      <c r="N927" s="5">
        <v>1</v>
      </c>
      <c r="O927" s="5">
        <v>3.5</v>
      </c>
      <c r="P927" s="5"/>
    </row>
    <row r="928" spans="1:16" x14ac:dyDescent="0.25">
      <c r="A928" s="4" t="s">
        <v>21</v>
      </c>
      <c r="B928" s="4" t="s">
        <v>344</v>
      </c>
      <c r="C928" s="5">
        <v>37851</v>
      </c>
      <c r="D928" s="4" t="s">
        <v>33</v>
      </c>
      <c r="E928" s="4" t="s">
        <v>34</v>
      </c>
      <c r="F928" s="4" t="s">
        <v>251</v>
      </c>
      <c r="G928" s="4" t="s">
        <v>26</v>
      </c>
      <c r="H928" s="4" t="s">
        <v>27</v>
      </c>
      <c r="I928" s="4" t="s">
        <v>715</v>
      </c>
      <c r="J928" s="4" t="s">
        <v>638</v>
      </c>
      <c r="K928" s="5">
        <v>6114098</v>
      </c>
      <c r="L928" s="5">
        <v>306387</v>
      </c>
      <c r="M928" s="5">
        <v>19</v>
      </c>
      <c r="N928" s="5">
        <v>2</v>
      </c>
      <c r="O928" s="5">
        <v>49.02</v>
      </c>
      <c r="P928" s="5"/>
    </row>
    <row r="929" spans="1:16" x14ac:dyDescent="0.25">
      <c r="A929" s="4" t="s">
        <v>21</v>
      </c>
      <c r="B929" s="4" t="s">
        <v>344</v>
      </c>
      <c r="C929" s="5">
        <v>37852</v>
      </c>
      <c r="D929" s="4" t="s">
        <v>33</v>
      </c>
      <c r="E929" s="4" t="s">
        <v>50</v>
      </c>
      <c r="F929" s="4" t="s">
        <v>50</v>
      </c>
      <c r="G929" s="4" t="s">
        <v>26</v>
      </c>
      <c r="H929" s="4" t="s">
        <v>27</v>
      </c>
      <c r="I929" s="4" t="s">
        <v>715</v>
      </c>
      <c r="J929" s="4" t="s">
        <v>715</v>
      </c>
      <c r="K929" s="5">
        <v>6128607</v>
      </c>
      <c r="L929" s="5">
        <v>310858</v>
      </c>
      <c r="M929" s="5">
        <v>19</v>
      </c>
      <c r="N929" s="5">
        <v>4</v>
      </c>
      <c r="O929" s="5">
        <v>33.82</v>
      </c>
      <c r="P929" s="5"/>
    </row>
    <row r="930" spans="1:16" x14ac:dyDescent="0.25">
      <c r="A930" s="4" t="s">
        <v>21</v>
      </c>
      <c r="B930" s="4" t="s">
        <v>344</v>
      </c>
      <c r="C930" s="5">
        <v>37853</v>
      </c>
      <c r="D930" s="4" t="s">
        <v>33</v>
      </c>
      <c r="E930" s="4" t="s">
        <v>122</v>
      </c>
      <c r="F930" s="4" t="s">
        <v>296</v>
      </c>
      <c r="G930" s="4" t="s">
        <v>26</v>
      </c>
      <c r="H930" s="4" t="s">
        <v>27</v>
      </c>
      <c r="I930" s="4" t="s">
        <v>715</v>
      </c>
      <c r="J930" s="4" t="s">
        <v>638</v>
      </c>
      <c r="K930" s="5">
        <v>6115912</v>
      </c>
      <c r="L930" s="5">
        <v>295668</v>
      </c>
      <c r="M930" s="5">
        <v>19</v>
      </c>
      <c r="N930" s="5">
        <v>2</v>
      </c>
      <c r="O930" s="5">
        <v>36.5</v>
      </c>
      <c r="P930" s="5"/>
    </row>
    <row r="931" spans="1:16" x14ac:dyDescent="0.25">
      <c r="A931" s="4" t="s">
        <v>21</v>
      </c>
      <c r="B931" s="4" t="s">
        <v>344</v>
      </c>
      <c r="C931" s="5">
        <v>37855</v>
      </c>
      <c r="D931" s="4" t="s">
        <v>33</v>
      </c>
      <c r="E931" s="4" t="s">
        <v>122</v>
      </c>
      <c r="F931" s="4" t="s">
        <v>122</v>
      </c>
      <c r="G931" s="4" t="s">
        <v>26</v>
      </c>
      <c r="H931" s="4" t="s">
        <v>27</v>
      </c>
      <c r="I931" s="4" t="s">
        <v>715</v>
      </c>
      <c r="J931" s="4" t="s">
        <v>638</v>
      </c>
      <c r="K931" s="5">
        <v>6112415</v>
      </c>
      <c r="L931" s="5">
        <v>292831</v>
      </c>
      <c r="M931" s="5">
        <v>19</v>
      </c>
      <c r="N931" s="5">
        <v>3</v>
      </c>
      <c r="O931" s="5">
        <v>14.89</v>
      </c>
      <c r="P931" s="5"/>
    </row>
    <row r="932" spans="1:16" x14ac:dyDescent="0.25">
      <c r="A932" s="4" t="s">
        <v>21</v>
      </c>
      <c r="B932" s="4" t="s">
        <v>344</v>
      </c>
      <c r="C932" s="5">
        <v>37856</v>
      </c>
      <c r="D932" s="4" t="s">
        <v>33</v>
      </c>
      <c r="E932" s="4" t="s">
        <v>122</v>
      </c>
      <c r="F932" s="4" t="s">
        <v>122</v>
      </c>
      <c r="G932" s="4" t="s">
        <v>26</v>
      </c>
      <c r="H932" s="4" t="s">
        <v>27</v>
      </c>
      <c r="I932" s="4" t="s">
        <v>715</v>
      </c>
      <c r="J932" s="4" t="s">
        <v>638</v>
      </c>
      <c r="K932" s="5">
        <v>6112592</v>
      </c>
      <c r="L932" s="5">
        <v>288245</v>
      </c>
      <c r="M932" s="5">
        <v>19</v>
      </c>
      <c r="N932" s="5">
        <v>3</v>
      </c>
      <c r="O932" s="5">
        <v>42.4</v>
      </c>
      <c r="P932" s="5"/>
    </row>
    <row r="933" spans="1:16" x14ac:dyDescent="0.25">
      <c r="A933" s="4" t="s">
        <v>21</v>
      </c>
      <c r="B933" s="4" t="s">
        <v>344</v>
      </c>
      <c r="C933" s="5">
        <v>37858</v>
      </c>
      <c r="D933" s="4" t="s">
        <v>33</v>
      </c>
      <c r="E933" s="4" t="s">
        <v>50</v>
      </c>
      <c r="F933" s="4" t="s">
        <v>50</v>
      </c>
      <c r="G933" s="4" t="s">
        <v>26</v>
      </c>
      <c r="H933" s="4" t="s">
        <v>27</v>
      </c>
      <c r="I933" s="4" t="s">
        <v>715</v>
      </c>
      <c r="J933" s="4" t="s">
        <v>638</v>
      </c>
      <c r="K933" s="5">
        <v>6126466</v>
      </c>
      <c r="L933" s="5">
        <v>309385</v>
      </c>
      <c r="M933" s="5">
        <v>19</v>
      </c>
      <c r="N933" s="5">
        <v>1</v>
      </c>
      <c r="O933" s="5">
        <v>10</v>
      </c>
      <c r="P933" s="5"/>
    </row>
    <row r="934" spans="1:16" x14ac:dyDescent="0.25">
      <c r="A934" s="4" t="s">
        <v>21</v>
      </c>
      <c r="B934" s="4" t="s">
        <v>344</v>
      </c>
      <c r="C934" s="5">
        <v>37859</v>
      </c>
      <c r="D934" s="4" t="s">
        <v>33</v>
      </c>
      <c r="E934" s="4" t="s">
        <v>50</v>
      </c>
      <c r="F934" s="4" t="s">
        <v>398</v>
      </c>
      <c r="G934" s="4" t="s">
        <v>26</v>
      </c>
      <c r="H934" s="4" t="s">
        <v>27</v>
      </c>
      <c r="I934" s="4" t="s">
        <v>715</v>
      </c>
      <c r="J934" s="4" t="s">
        <v>715</v>
      </c>
      <c r="K934" s="5">
        <v>6126285</v>
      </c>
      <c r="L934" s="5">
        <v>310519</v>
      </c>
      <c r="M934" s="5">
        <v>19</v>
      </c>
      <c r="N934" s="5">
        <v>1</v>
      </c>
      <c r="O934" s="5">
        <v>20.37</v>
      </c>
      <c r="P934" s="5"/>
    </row>
    <row r="935" spans="1:16" x14ac:dyDescent="0.25">
      <c r="A935" s="4" t="s">
        <v>21</v>
      </c>
      <c r="B935" s="4" t="s">
        <v>344</v>
      </c>
      <c r="C935" s="5">
        <v>37860</v>
      </c>
      <c r="D935" s="4" t="s">
        <v>33</v>
      </c>
      <c r="E935" s="4" t="s">
        <v>167</v>
      </c>
      <c r="F935" s="4" t="s">
        <v>374</v>
      </c>
      <c r="G935" s="4" t="s">
        <v>26</v>
      </c>
      <c r="H935" s="4" t="s">
        <v>27</v>
      </c>
      <c r="I935" s="4" t="s">
        <v>715</v>
      </c>
      <c r="J935" s="4" t="s">
        <v>638</v>
      </c>
      <c r="K935" s="5">
        <v>6104974</v>
      </c>
      <c r="L935" s="5">
        <v>293958</v>
      </c>
      <c r="M935" s="5">
        <v>19</v>
      </c>
      <c r="N935" s="5">
        <v>1</v>
      </c>
      <c r="O935" s="5">
        <v>12.5</v>
      </c>
      <c r="P935" s="5"/>
    </row>
    <row r="936" spans="1:16" x14ac:dyDescent="0.25">
      <c r="A936" s="4" t="s">
        <v>21</v>
      </c>
      <c r="B936" s="4" t="s">
        <v>344</v>
      </c>
      <c r="C936" s="5">
        <v>37861</v>
      </c>
      <c r="D936" s="4" t="s">
        <v>37</v>
      </c>
      <c r="E936" s="4" t="s">
        <v>399</v>
      </c>
      <c r="F936" s="4" t="s">
        <v>399</v>
      </c>
      <c r="G936" s="4" t="s">
        <v>26</v>
      </c>
      <c r="H936" s="4" t="s">
        <v>27</v>
      </c>
      <c r="I936" s="4" t="s">
        <v>715</v>
      </c>
      <c r="J936" s="4" t="s">
        <v>715</v>
      </c>
      <c r="K936" s="5">
        <v>6160494</v>
      </c>
      <c r="L936" s="5">
        <v>294571</v>
      </c>
      <c r="M936" s="5">
        <v>19</v>
      </c>
      <c r="N936" s="5">
        <v>1</v>
      </c>
      <c r="O936" s="5">
        <v>22.94</v>
      </c>
      <c r="P936" s="5"/>
    </row>
    <row r="937" spans="1:16" x14ac:dyDescent="0.25">
      <c r="A937" s="4" t="s">
        <v>21</v>
      </c>
      <c r="B937" s="4" t="s">
        <v>344</v>
      </c>
      <c r="C937" s="5">
        <v>37982</v>
      </c>
      <c r="D937" s="4" t="s">
        <v>33</v>
      </c>
      <c r="E937" s="4" t="s">
        <v>43</v>
      </c>
      <c r="F937" s="4" t="s">
        <v>400</v>
      </c>
      <c r="G937" s="4" t="s">
        <v>26</v>
      </c>
      <c r="H937" s="4" t="s">
        <v>27</v>
      </c>
      <c r="I937" s="4" t="s">
        <v>715</v>
      </c>
      <c r="J937" s="4" t="s">
        <v>715</v>
      </c>
      <c r="K937" s="5">
        <v>6066573</v>
      </c>
      <c r="L937" s="5">
        <v>273636</v>
      </c>
      <c r="M937" s="5">
        <v>19</v>
      </c>
      <c r="N937" s="5">
        <v>2</v>
      </c>
      <c r="O937" s="5">
        <v>29.5</v>
      </c>
      <c r="P937" s="5"/>
    </row>
    <row r="938" spans="1:16" x14ac:dyDescent="0.25">
      <c r="A938" s="4" t="s">
        <v>21</v>
      </c>
      <c r="B938" s="4" t="s">
        <v>344</v>
      </c>
      <c r="C938" s="5">
        <v>37983</v>
      </c>
      <c r="D938" s="4" t="s">
        <v>33</v>
      </c>
      <c r="E938" s="4" t="s">
        <v>66</v>
      </c>
      <c r="F938" s="4" t="s">
        <v>66</v>
      </c>
      <c r="G938" s="4" t="s">
        <v>26</v>
      </c>
      <c r="H938" s="4" t="s">
        <v>27</v>
      </c>
      <c r="I938" s="4" t="s">
        <v>715</v>
      </c>
      <c r="J938" s="4" t="s">
        <v>638</v>
      </c>
      <c r="K938" s="5">
        <v>6074731</v>
      </c>
      <c r="L938" s="5">
        <v>264777</v>
      </c>
      <c r="M938" s="5">
        <v>19</v>
      </c>
      <c r="N938" s="5">
        <v>2</v>
      </c>
      <c r="O938" s="5">
        <v>55</v>
      </c>
      <c r="P938" s="5"/>
    </row>
    <row r="939" spans="1:16" x14ac:dyDescent="0.25">
      <c r="A939" s="4" t="s">
        <v>21</v>
      </c>
      <c r="B939" s="4" t="s">
        <v>344</v>
      </c>
      <c r="C939" s="5">
        <v>37984</v>
      </c>
      <c r="D939" s="4" t="s">
        <v>33</v>
      </c>
      <c r="E939" s="4" t="s">
        <v>137</v>
      </c>
      <c r="F939" s="4" t="s">
        <v>107</v>
      </c>
      <c r="G939" s="4" t="s">
        <v>26</v>
      </c>
      <c r="H939" s="4" t="s">
        <v>27</v>
      </c>
      <c r="I939" s="4" t="s">
        <v>715</v>
      </c>
      <c r="J939" s="4" t="s">
        <v>638</v>
      </c>
      <c r="K939" s="5">
        <v>6042237</v>
      </c>
      <c r="L939" s="5">
        <v>279124</v>
      </c>
      <c r="M939" s="5">
        <v>19</v>
      </c>
      <c r="N939" s="5">
        <v>1</v>
      </c>
      <c r="O939" s="5">
        <v>15</v>
      </c>
      <c r="P939" s="5"/>
    </row>
    <row r="940" spans="1:16" x14ac:dyDescent="0.25">
      <c r="A940" s="4" t="s">
        <v>21</v>
      </c>
      <c r="B940" s="4" t="s">
        <v>344</v>
      </c>
      <c r="C940" s="5">
        <v>38000</v>
      </c>
      <c r="D940" s="4" t="s">
        <v>23</v>
      </c>
      <c r="E940" s="4" t="s">
        <v>356</v>
      </c>
      <c r="F940" s="4" t="s">
        <v>356</v>
      </c>
      <c r="G940" s="4" t="s">
        <v>26</v>
      </c>
      <c r="H940" s="4" t="s">
        <v>18</v>
      </c>
      <c r="I940" s="4" t="s">
        <v>715</v>
      </c>
      <c r="J940" s="4" t="s">
        <v>715</v>
      </c>
      <c r="K940" s="5">
        <v>6261408</v>
      </c>
      <c r="L940" s="5">
        <v>338160</v>
      </c>
      <c r="M940" s="5">
        <v>19</v>
      </c>
      <c r="N940" s="5">
        <v>1</v>
      </c>
      <c r="O940" s="5">
        <v>0.6</v>
      </c>
      <c r="P940" s="5"/>
    </row>
    <row r="941" spans="1:16" x14ac:dyDescent="0.25">
      <c r="A941" s="4" t="s">
        <v>21</v>
      </c>
      <c r="B941" s="4" t="s">
        <v>344</v>
      </c>
      <c r="C941" s="5">
        <v>38006</v>
      </c>
      <c r="D941" s="4" t="s">
        <v>23</v>
      </c>
      <c r="E941" s="4" t="s">
        <v>401</v>
      </c>
      <c r="F941" s="4" t="s">
        <v>401</v>
      </c>
      <c r="G941" s="4" t="s">
        <v>26</v>
      </c>
      <c r="H941" s="4" t="s">
        <v>128</v>
      </c>
      <c r="I941" s="4" t="s">
        <v>715</v>
      </c>
      <c r="J941" s="4" t="s">
        <v>638</v>
      </c>
      <c r="K941" s="5">
        <v>6317784</v>
      </c>
      <c r="L941" s="5">
        <v>340925</v>
      </c>
      <c r="M941" s="5">
        <v>19</v>
      </c>
      <c r="N941" s="5">
        <v>1</v>
      </c>
      <c r="O941" s="5">
        <v>3</v>
      </c>
      <c r="P941" s="5"/>
    </row>
    <row r="942" spans="1:16" x14ac:dyDescent="0.25">
      <c r="A942" s="4" t="s">
        <v>21</v>
      </c>
      <c r="B942" s="4" t="s">
        <v>344</v>
      </c>
      <c r="C942" s="5">
        <v>38014</v>
      </c>
      <c r="D942" s="4" t="s">
        <v>23</v>
      </c>
      <c r="E942" s="4" t="s">
        <v>356</v>
      </c>
      <c r="F942" s="4" t="s">
        <v>356</v>
      </c>
      <c r="G942" s="4" t="s">
        <v>26</v>
      </c>
      <c r="H942" s="4" t="s">
        <v>128</v>
      </c>
      <c r="I942" s="4" t="s">
        <v>715</v>
      </c>
      <c r="J942" s="4" t="s">
        <v>638</v>
      </c>
      <c r="K942" s="5">
        <v>6259122</v>
      </c>
      <c r="L942" s="5">
        <v>343105</v>
      </c>
      <c r="M942" s="5">
        <v>19</v>
      </c>
      <c r="N942" s="5">
        <v>1</v>
      </c>
      <c r="O942" s="5">
        <v>0.4</v>
      </c>
      <c r="P942" s="5"/>
    </row>
    <row r="943" spans="1:16" x14ac:dyDescent="0.25">
      <c r="A943" s="4" t="s">
        <v>21</v>
      </c>
      <c r="B943" s="4" t="s">
        <v>344</v>
      </c>
      <c r="C943" s="5">
        <v>38020</v>
      </c>
      <c r="D943" s="4" t="s">
        <v>23</v>
      </c>
      <c r="E943" s="4" t="s">
        <v>356</v>
      </c>
      <c r="F943" s="4" t="s">
        <v>356</v>
      </c>
      <c r="G943" s="4" t="s">
        <v>26</v>
      </c>
      <c r="H943" s="4" t="s">
        <v>18</v>
      </c>
      <c r="I943" s="4" t="s">
        <v>715</v>
      </c>
      <c r="J943" s="4" t="s">
        <v>715</v>
      </c>
      <c r="K943" s="5">
        <v>6259122</v>
      </c>
      <c r="L943" s="5">
        <v>343105</v>
      </c>
      <c r="M943" s="5">
        <v>19</v>
      </c>
      <c r="N943" s="5">
        <v>1</v>
      </c>
      <c r="O943" s="5">
        <v>0.4</v>
      </c>
      <c r="P943" s="5"/>
    </row>
    <row r="944" spans="1:16" x14ac:dyDescent="0.25">
      <c r="A944" s="4" t="s">
        <v>21</v>
      </c>
      <c r="B944" s="4" t="s">
        <v>344</v>
      </c>
      <c r="C944" s="5">
        <v>38045</v>
      </c>
      <c r="D944" s="4" t="s">
        <v>23</v>
      </c>
      <c r="E944" s="4" t="s">
        <v>356</v>
      </c>
      <c r="F944" s="4" t="s">
        <v>356</v>
      </c>
      <c r="G944" s="4" t="s">
        <v>26</v>
      </c>
      <c r="H944" s="4" t="s">
        <v>18</v>
      </c>
      <c r="I944" s="4" t="s">
        <v>715</v>
      </c>
      <c r="J944" s="4" t="s">
        <v>715</v>
      </c>
      <c r="K944" s="5">
        <v>6260468</v>
      </c>
      <c r="L944" s="5">
        <v>341734</v>
      </c>
      <c r="M944" s="5">
        <v>19</v>
      </c>
      <c r="N944" s="5">
        <v>1</v>
      </c>
      <c r="O944" s="5">
        <v>0.4</v>
      </c>
      <c r="P944" s="5"/>
    </row>
    <row r="945" spans="1:16" x14ac:dyDescent="0.25">
      <c r="A945" s="4" t="s">
        <v>21</v>
      </c>
      <c r="B945" s="4" t="s">
        <v>344</v>
      </c>
      <c r="C945" s="5">
        <v>38048</v>
      </c>
      <c r="D945" s="4" t="s">
        <v>23</v>
      </c>
      <c r="E945" s="4" t="s">
        <v>356</v>
      </c>
      <c r="F945" s="4" t="s">
        <v>356</v>
      </c>
      <c r="G945" s="4" t="s">
        <v>26</v>
      </c>
      <c r="H945" s="4" t="s">
        <v>18</v>
      </c>
      <c r="I945" s="4" t="s">
        <v>715</v>
      </c>
      <c r="J945" s="4" t="s">
        <v>715</v>
      </c>
      <c r="K945" s="5">
        <v>6252715</v>
      </c>
      <c r="L945" s="5">
        <v>347230</v>
      </c>
      <c r="M945" s="5">
        <v>19</v>
      </c>
      <c r="N945" s="5">
        <v>1</v>
      </c>
      <c r="O945" s="5">
        <v>7.6</v>
      </c>
      <c r="P945" s="5"/>
    </row>
    <row r="946" spans="1:16" x14ac:dyDescent="0.25">
      <c r="A946" s="4" t="s">
        <v>21</v>
      </c>
      <c r="B946" s="4" t="s">
        <v>344</v>
      </c>
      <c r="C946" s="5">
        <v>38051</v>
      </c>
      <c r="D946" s="4" t="s">
        <v>23</v>
      </c>
      <c r="E946" s="4" t="s">
        <v>356</v>
      </c>
      <c r="F946" s="4" t="s">
        <v>356</v>
      </c>
      <c r="G946" s="4" t="s">
        <v>26</v>
      </c>
      <c r="H946" s="4" t="s">
        <v>18</v>
      </c>
      <c r="I946" s="4" t="s">
        <v>715</v>
      </c>
      <c r="J946" s="4" t="s">
        <v>715</v>
      </c>
      <c r="K946" s="5">
        <v>6247829</v>
      </c>
      <c r="L946" s="5">
        <v>346960</v>
      </c>
      <c r="M946" s="5">
        <v>19</v>
      </c>
      <c r="N946" s="5">
        <v>1</v>
      </c>
      <c r="O946" s="5">
        <v>0.4</v>
      </c>
      <c r="P946" s="5"/>
    </row>
    <row r="947" spans="1:16" x14ac:dyDescent="0.25">
      <c r="A947" s="4" t="s">
        <v>21</v>
      </c>
      <c r="B947" s="4" t="s">
        <v>344</v>
      </c>
      <c r="C947" s="5">
        <v>38053</v>
      </c>
      <c r="D947" s="4" t="s">
        <v>33</v>
      </c>
      <c r="E947" s="4" t="s">
        <v>43</v>
      </c>
      <c r="F947" s="4" t="s">
        <v>161</v>
      </c>
      <c r="G947" s="4" t="s">
        <v>26</v>
      </c>
      <c r="H947" s="4" t="s">
        <v>27</v>
      </c>
      <c r="I947" s="4" t="s">
        <v>715</v>
      </c>
      <c r="J947" s="4" t="s">
        <v>715</v>
      </c>
      <c r="K947" s="5">
        <v>6074350</v>
      </c>
      <c r="L947" s="5">
        <v>275175</v>
      </c>
      <c r="M947" s="5">
        <v>19</v>
      </c>
      <c r="N947" s="5">
        <v>1</v>
      </c>
      <c r="O947" s="5">
        <v>70</v>
      </c>
      <c r="P947" s="5"/>
    </row>
    <row r="948" spans="1:16" x14ac:dyDescent="0.25">
      <c r="A948" s="4" t="s">
        <v>21</v>
      </c>
      <c r="B948" s="4" t="s">
        <v>344</v>
      </c>
      <c r="C948" s="5">
        <v>38055</v>
      </c>
      <c r="D948" s="4" t="s">
        <v>23</v>
      </c>
      <c r="E948" s="4" t="s">
        <v>356</v>
      </c>
      <c r="F948" s="4" t="s">
        <v>356</v>
      </c>
      <c r="G948" s="4" t="s">
        <v>26</v>
      </c>
      <c r="H948" s="4" t="s">
        <v>18</v>
      </c>
      <c r="I948" s="4" t="s">
        <v>715</v>
      </c>
      <c r="J948" s="4" t="s">
        <v>715</v>
      </c>
      <c r="K948" s="5">
        <v>6259969</v>
      </c>
      <c r="L948" s="5">
        <v>340855</v>
      </c>
      <c r="M948" s="5">
        <v>19</v>
      </c>
      <c r="N948" s="5">
        <v>1</v>
      </c>
      <c r="O948" s="5">
        <v>11</v>
      </c>
      <c r="P948" s="5"/>
    </row>
    <row r="949" spans="1:16" x14ac:dyDescent="0.25">
      <c r="A949" s="4" t="s">
        <v>21</v>
      </c>
      <c r="B949" s="4" t="s">
        <v>344</v>
      </c>
      <c r="C949" s="5">
        <v>38060</v>
      </c>
      <c r="D949" s="4" t="s">
        <v>23</v>
      </c>
      <c r="E949" s="4" t="s">
        <v>356</v>
      </c>
      <c r="F949" s="4" t="s">
        <v>360</v>
      </c>
      <c r="G949" s="4" t="s">
        <v>26</v>
      </c>
      <c r="H949" s="4" t="s">
        <v>18</v>
      </c>
      <c r="I949" s="4" t="s">
        <v>715</v>
      </c>
      <c r="J949" s="4" t="s">
        <v>715</v>
      </c>
      <c r="K949" s="5">
        <v>6246209</v>
      </c>
      <c r="L949" s="5">
        <v>338227</v>
      </c>
      <c r="M949" s="5">
        <v>19</v>
      </c>
      <c r="N949" s="5">
        <v>1</v>
      </c>
      <c r="O949" s="5">
        <v>0.3</v>
      </c>
      <c r="P949" s="5"/>
    </row>
    <row r="950" spans="1:16" x14ac:dyDescent="0.25">
      <c r="A950" s="4" t="s">
        <v>21</v>
      </c>
      <c r="B950" s="4" t="s">
        <v>344</v>
      </c>
      <c r="C950" s="5">
        <v>38063</v>
      </c>
      <c r="D950" s="4" t="s">
        <v>23</v>
      </c>
      <c r="E950" s="4" t="s">
        <v>356</v>
      </c>
      <c r="F950" s="4" t="s">
        <v>360</v>
      </c>
      <c r="G950" s="4" t="s">
        <v>26</v>
      </c>
      <c r="H950" s="4" t="s">
        <v>18</v>
      </c>
      <c r="I950" s="4" t="s">
        <v>715</v>
      </c>
      <c r="J950" s="4" t="s">
        <v>715</v>
      </c>
      <c r="K950" s="5">
        <v>6248342</v>
      </c>
      <c r="L950" s="5">
        <v>338120</v>
      </c>
      <c r="M950" s="5">
        <v>19</v>
      </c>
      <c r="N950" s="5">
        <v>1</v>
      </c>
      <c r="O950" s="5">
        <v>0.5</v>
      </c>
      <c r="P950" s="5"/>
    </row>
    <row r="951" spans="1:16" x14ac:dyDescent="0.25">
      <c r="A951" s="4" t="s">
        <v>21</v>
      </c>
      <c r="B951" s="4" t="s">
        <v>344</v>
      </c>
      <c r="C951" s="5">
        <v>38067</v>
      </c>
      <c r="D951" s="4" t="s">
        <v>23</v>
      </c>
      <c r="E951" s="4" t="s">
        <v>356</v>
      </c>
      <c r="F951" s="4" t="s">
        <v>360</v>
      </c>
      <c r="G951" s="4" t="s">
        <v>26</v>
      </c>
      <c r="H951" s="4" t="s">
        <v>128</v>
      </c>
      <c r="I951" s="4" t="s">
        <v>715</v>
      </c>
      <c r="J951" s="4" t="s">
        <v>638</v>
      </c>
      <c r="K951" s="5">
        <v>6246024</v>
      </c>
      <c r="L951" s="5">
        <v>337893</v>
      </c>
      <c r="M951" s="5">
        <v>19</v>
      </c>
      <c r="N951" s="5">
        <v>1</v>
      </c>
      <c r="O951" s="5">
        <v>0.4</v>
      </c>
      <c r="P951" s="5"/>
    </row>
    <row r="952" spans="1:16" x14ac:dyDescent="0.25">
      <c r="A952" s="4" t="s">
        <v>21</v>
      </c>
      <c r="B952" s="4" t="s">
        <v>344</v>
      </c>
      <c r="C952" s="5">
        <v>38073</v>
      </c>
      <c r="D952" s="4" t="s">
        <v>23</v>
      </c>
      <c r="E952" s="4" t="s">
        <v>356</v>
      </c>
      <c r="F952" s="4" t="s">
        <v>360</v>
      </c>
      <c r="G952" s="4" t="s">
        <v>26</v>
      </c>
      <c r="H952" s="4" t="s">
        <v>18</v>
      </c>
      <c r="I952" s="4" t="s">
        <v>715</v>
      </c>
      <c r="J952" s="4" t="s">
        <v>715</v>
      </c>
      <c r="K952" s="5">
        <v>6246024</v>
      </c>
      <c r="L952" s="5">
        <v>337893</v>
      </c>
      <c r="M952" s="5">
        <v>19</v>
      </c>
      <c r="N952" s="5">
        <v>1</v>
      </c>
      <c r="O952" s="5">
        <v>0.4</v>
      </c>
      <c r="P952" s="5"/>
    </row>
    <row r="953" spans="1:16" x14ac:dyDescent="0.25">
      <c r="A953" s="4" t="s">
        <v>21</v>
      </c>
      <c r="B953" s="4" t="s">
        <v>344</v>
      </c>
      <c r="C953" s="5">
        <v>38082</v>
      </c>
      <c r="D953" s="4" t="s">
        <v>23</v>
      </c>
      <c r="E953" s="4" t="s">
        <v>356</v>
      </c>
      <c r="F953" s="4" t="s">
        <v>360</v>
      </c>
      <c r="G953" s="4" t="s">
        <v>26</v>
      </c>
      <c r="H953" s="4" t="s">
        <v>128</v>
      </c>
      <c r="I953" s="4" t="s">
        <v>715</v>
      </c>
      <c r="J953" s="4" t="s">
        <v>638</v>
      </c>
      <c r="K953" s="5">
        <v>6248862</v>
      </c>
      <c r="L953" s="5">
        <v>338027</v>
      </c>
      <c r="M953" s="5">
        <v>19</v>
      </c>
      <c r="N953" s="5">
        <v>1</v>
      </c>
      <c r="O953" s="5">
        <v>0.5</v>
      </c>
      <c r="P953" s="5"/>
    </row>
    <row r="954" spans="1:16" x14ac:dyDescent="0.25">
      <c r="A954" s="4" t="s">
        <v>21</v>
      </c>
      <c r="B954" s="4" t="s">
        <v>344</v>
      </c>
      <c r="C954" s="5">
        <v>38091</v>
      </c>
      <c r="D954" s="4" t="s">
        <v>23</v>
      </c>
      <c r="E954" s="4" t="s">
        <v>356</v>
      </c>
      <c r="F954" s="4" t="s">
        <v>360</v>
      </c>
      <c r="G954" s="4" t="s">
        <v>26</v>
      </c>
      <c r="H954" s="4" t="s">
        <v>128</v>
      </c>
      <c r="I954" s="4" t="s">
        <v>715</v>
      </c>
      <c r="J954" s="4" t="s">
        <v>638</v>
      </c>
      <c r="K954" s="5">
        <v>6246598</v>
      </c>
      <c r="L954" s="5">
        <v>337509</v>
      </c>
      <c r="M954" s="5">
        <v>19</v>
      </c>
      <c r="N954" s="5">
        <v>1</v>
      </c>
      <c r="O954" s="5">
        <v>0.4</v>
      </c>
      <c r="P954" s="5"/>
    </row>
    <row r="955" spans="1:16" x14ac:dyDescent="0.25">
      <c r="A955" s="4" t="s">
        <v>21</v>
      </c>
      <c r="B955" s="4" t="s">
        <v>344</v>
      </c>
      <c r="C955" s="5">
        <v>38092</v>
      </c>
      <c r="D955" s="4" t="s">
        <v>23</v>
      </c>
      <c r="E955" s="4" t="s">
        <v>356</v>
      </c>
      <c r="F955" s="4" t="s">
        <v>360</v>
      </c>
      <c r="G955" s="4" t="s">
        <v>26</v>
      </c>
      <c r="H955" s="4" t="s">
        <v>18</v>
      </c>
      <c r="I955" s="4" t="s">
        <v>715</v>
      </c>
      <c r="J955" s="4" t="s">
        <v>715</v>
      </c>
      <c r="K955" s="5">
        <v>6246598</v>
      </c>
      <c r="L955" s="5">
        <v>337509</v>
      </c>
      <c r="M955" s="5">
        <v>19</v>
      </c>
      <c r="N955" s="5">
        <v>1</v>
      </c>
      <c r="O955" s="5">
        <v>0.4</v>
      </c>
      <c r="P955" s="5"/>
    </row>
    <row r="956" spans="1:16" x14ac:dyDescent="0.25">
      <c r="A956" s="4" t="s">
        <v>21</v>
      </c>
      <c r="B956" s="4" t="s">
        <v>344</v>
      </c>
      <c r="C956" s="5">
        <v>38097</v>
      </c>
      <c r="D956" s="4" t="s">
        <v>23</v>
      </c>
      <c r="E956" s="4" t="s">
        <v>356</v>
      </c>
      <c r="F956" s="4" t="s">
        <v>356</v>
      </c>
      <c r="G956" s="4" t="s">
        <v>26</v>
      </c>
      <c r="H956" s="4" t="s">
        <v>18</v>
      </c>
      <c r="I956" s="4" t="s">
        <v>715</v>
      </c>
      <c r="J956" s="4" t="s">
        <v>715</v>
      </c>
      <c r="K956" s="5">
        <v>6255616</v>
      </c>
      <c r="L956" s="5">
        <v>341379</v>
      </c>
      <c r="M956" s="5">
        <v>19</v>
      </c>
      <c r="N956" s="5">
        <v>1</v>
      </c>
      <c r="O956" s="5">
        <v>7</v>
      </c>
      <c r="P956" s="5"/>
    </row>
    <row r="957" spans="1:16" x14ac:dyDescent="0.25">
      <c r="A957" s="4" t="s">
        <v>21</v>
      </c>
      <c r="B957" s="4" t="s">
        <v>344</v>
      </c>
      <c r="C957" s="5">
        <v>38098</v>
      </c>
      <c r="D957" s="4" t="s">
        <v>23</v>
      </c>
      <c r="E957" s="4" t="s">
        <v>356</v>
      </c>
      <c r="F957" s="4" t="s">
        <v>356</v>
      </c>
      <c r="G957" s="4" t="s">
        <v>26</v>
      </c>
      <c r="H957" s="4" t="s">
        <v>18</v>
      </c>
      <c r="I957" s="4" t="s">
        <v>715</v>
      </c>
      <c r="J957" s="4" t="s">
        <v>715</v>
      </c>
      <c r="K957" s="5">
        <v>6260577</v>
      </c>
      <c r="L957" s="5">
        <v>341718</v>
      </c>
      <c r="M957" s="5">
        <v>19</v>
      </c>
      <c r="N957" s="5">
        <v>1</v>
      </c>
      <c r="O957" s="5">
        <v>0.4</v>
      </c>
      <c r="P957" s="5"/>
    </row>
    <row r="958" spans="1:16" x14ac:dyDescent="0.25">
      <c r="A958" s="4" t="s">
        <v>21</v>
      </c>
      <c r="B958" s="4" t="s">
        <v>344</v>
      </c>
      <c r="C958" s="5">
        <v>38100</v>
      </c>
      <c r="D958" s="4" t="s">
        <v>23</v>
      </c>
      <c r="E958" s="4" t="s">
        <v>356</v>
      </c>
      <c r="F958" s="4" t="s">
        <v>356</v>
      </c>
      <c r="G958" s="4" t="s">
        <v>26</v>
      </c>
      <c r="H958" s="4" t="s">
        <v>18</v>
      </c>
      <c r="I958" s="4" t="s">
        <v>715</v>
      </c>
      <c r="J958" s="4" t="s">
        <v>715</v>
      </c>
      <c r="K958" s="5">
        <v>6260793</v>
      </c>
      <c r="L958" s="5">
        <v>341456</v>
      </c>
      <c r="M958" s="5">
        <v>19</v>
      </c>
      <c r="N958" s="5">
        <v>1</v>
      </c>
      <c r="O958" s="5">
        <v>0.4</v>
      </c>
      <c r="P958" s="5"/>
    </row>
    <row r="959" spans="1:16" x14ac:dyDescent="0.25">
      <c r="A959" s="4" t="s">
        <v>21</v>
      </c>
      <c r="B959" s="4" t="s">
        <v>344</v>
      </c>
      <c r="C959" s="5">
        <v>38102</v>
      </c>
      <c r="D959" s="4" t="s">
        <v>23</v>
      </c>
      <c r="E959" s="4" t="s">
        <v>356</v>
      </c>
      <c r="F959" s="4" t="s">
        <v>360</v>
      </c>
      <c r="G959" s="4" t="s">
        <v>26</v>
      </c>
      <c r="H959" s="4" t="s">
        <v>18</v>
      </c>
      <c r="I959" s="4" t="s">
        <v>715</v>
      </c>
      <c r="J959" s="4" t="s">
        <v>715</v>
      </c>
      <c r="K959" s="5">
        <v>6247228</v>
      </c>
      <c r="L959" s="5">
        <v>338801</v>
      </c>
      <c r="M959" s="5">
        <v>19</v>
      </c>
      <c r="N959" s="5">
        <v>1</v>
      </c>
      <c r="O959" s="5">
        <v>0.3</v>
      </c>
      <c r="P959" s="5"/>
    </row>
    <row r="960" spans="1:16" x14ac:dyDescent="0.25">
      <c r="A960" s="4" t="s">
        <v>21</v>
      </c>
      <c r="B960" s="4" t="s">
        <v>344</v>
      </c>
      <c r="C960" s="5">
        <v>38103</v>
      </c>
      <c r="D960" s="4" t="s">
        <v>23</v>
      </c>
      <c r="E960" s="4" t="s">
        <v>356</v>
      </c>
      <c r="F960" s="4" t="s">
        <v>360</v>
      </c>
      <c r="G960" s="4" t="s">
        <v>26</v>
      </c>
      <c r="H960" s="4" t="s">
        <v>18</v>
      </c>
      <c r="I960" s="4" t="s">
        <v>715</v>
      </c>
      <c r="J960" s="4" t="s">
        <v>715</v>
      </c>
      <c r="K960" s="5">
        <v>6247555</v>
      </c>
      <c r="L960" s="5">
        <v>338688</v>
      </c>
      <c r="M960" s="5">
        <v>19</v>
      </c>
      <c r="N960" s="5">
        <v>1</v>
      </c>
      <c r="O960" s="5">
        <v>0.4</v>
      </c>
      <c r="P960" s="5"/>
    </row>
    <row r="961" spans="1:16" x14ac:dyDescent="0.25">
      <c r="A961" s="4" t="s">
        <v>21</v>
      </c>
      <c r="B961" s="4" t="s">
        <v>344</v>
      </c>
      <c r="C961" s="5">
        <v>38111</v>
      </c>
      <c r="D961" s="4" t="s">
        <v>33</v>
      </c>
      <c r="E961" s="4" t="s">
        <v>43</v>
      </c>
      <c r="F961" s="4" t="s">
        <v>375</v>
      </c>
      <c r="G961" s="4" t="s">
        <v>26</v>
      </c>
      <c r="H961" s="4" t="s">
        <v>27</v>
      </c>
      <c r="I961" s="4" t="s">
        <v>715</v>
      </c>
      <c r="J961" s="4" t="s">
        <v>638</v>
      </c>
      <c r="K961" s="5">
        <v>6073713</v>
      </c>
      <c r="L961" s="5">
        <v>272333</v>
      </c>
      <c r="M961" s="5">
        <v>19</v>
      </c>
      <c r="N961" s="5">
        <v>2</v>
      </c>
      <c r="O961" s="5">
        <v>7</v>
      </c>
      <c r="P961" s="5"/>
    </row>
    <row r="962" spans="1:16" x14ac:dyDescent="0.25">
      <c r="A962" s="4" t="s">
        <v>21</v>
      </c>
      <c r="B962" s="4" t="s">
        <v>344</v>
      </c>
      <c r="C962" s="5">
        <v>38112</v>
      </c>
      <c r="D962" s="4" t="s">
        <v>33</v>
      </c>
      <c r="E962" s="4" t="s">
        <v>43</v>
      </c>
      <c r="F962" s="4" t="s">
        <v>402</v>
      </c>
      <c r="G962" s="4" t="s">
        <v>26</v>
      </c>
      <c r="H962" s="4" t="s">
        <v>27</v>
      </c>
      <c r="I962" s="4" t="s">
        <v>715</v>
      </c>
      <c r="J962" s="4" t="s">
        <v>638</v>
      </c>
      <c r="K962" s="5">
        <v>6071533</v>
      </c>
      <c r="L962" s="5">
        <v>271872</v>
      </c>
      <c r="M962" s="5">
        <v>19</v>
      </c>
      <c r="N962" s="5">
        <v>1</v>
      </c>
      <c r="O962" s="5">
        <v>7.5</v>
      </c>
      <c r="P962" s="5"/>
    </row>
    <row r="963" spans="1:16" x14ac:dyDescent="0.25">
      <c r="A963" s="4" t="s">
        <v>21</v>
      </c>
      <c r="B963" s="4" t="s">
        <v>344</v>
      </c>
      <c r="C963" s="5">
        <v>38113</v>
      </c>
      <c r="D963" s="4" t="s">
        <v>33</v>
      </c>
      <c r="E963" s="4" t="s">
        <v>43</v>
      </c>
      <c r="F963" s="4" t="s">
        <v>400</v>
      </c>
      <c r="G963" s="4" t="s">
        <v>26</v>
      </c>
      <c r="H963" s="4" t="s">
        <v>27</v>
      </c>
      <c r="I963" s="4" t="s">
        <v>715</v>
      </c>
      <c r="J963" s="4" t="s">
        <v>638</v>
      </c>
      <c r="K963" s="5">
        <v>6073741</v>
      </c>
      <c r="L963" s="5">
        <v>271550</v>
      </c>
      <c r="M963" s="5">
        <v>19</v>
      </c>
      <c r="N963" s="5">
        <v>2</v>
      </c>
      <c r="O963" s="5">
        <v>17</v>
      </c>
      <c r="P963" s="5"/>
    </row>
    <row r="964" spans="1:16" x14ac:dyDescent="0.25">
      <c r="A964" s="4" t="s">
        <v>21</v>
      </c>
      <c r="B964" s="4" t="s">
        <v>344</v>
      </c>
      <c r="C964" s="5">
        <v>38114</v>
      </c>
      <c r="D964" s="4" t="s">
        <v>33</v>
      </c>
      <c r="E964" s="4" t="s">
        <v>43</v>
      </c>
      <c r="F964" s="4" t="s">
        <v>402</v>
      </c>
      <c r="G964" s="4" t="s">
        <v>26</v>
      </c>
      <c r="H964" s="4" t="s">
        <v>27</v>
      </c>
      <c r="I964" s="4" t="s">
        <v>715</v>
      </c>
      <c r="J964" s="4" t="s">
        <v>715</v>
      </c>
      <c r="K964" s="5">
        <v>6070159</v>
      </c>
      <c r="L964" s="5">
        <v>271386</v>
      </c>
      <c r="M964" s="5">
        <v>19</v>
      </c>
      <c r="N964" s="5">
        <v>1</v>
      </c>
      <c r="O964" s="5">
        <v>57</v>
      </c>
      <c r="P964" s="5"/>
    </row>
    <row r="965" spans="1:16" x14ac:dyDescent="0.25">
      <c r="A965" s="4" t="s">
        <v>21</v>
      </c>
      <c r="B965" s="4" t="s">
        <v>344</v>
      </c>
      <c r="C965" s="5">
        <v>38116</v>
      </c>
      <c r="D965" s="4" t="s">
        <v>33</v>
      </c>
      <c r="E965" s="4" t="s">
        <v>43</v>
      </c>
      <c r="F965" s="4" t="s">
        <v>403</v>
      </c>
      <c r="G965" s="4" t="s">
        <v>26</v>
      </c>
      <c r="H965" s="4" t="s">
        <v>27</v>
      </c>
      <c r="I965" s="4" t="s">
        <v>715</v>
      </c>
      <c r="J965" s="4" t="s">
        <v>715</v>
      </c>
      <c r="K965" s="5">
        <v>6069077</v>
      </c>
      <c r="L965" s="5">
        <v>269690</v>
      </c>
      <c r="M965" s="5">
        <v>19</v>
      </c>
      <c r="N965" s="5">
        <v>1</v>
      </c>
      <c r="O965" s="5">
        <v>7</v>
      </c>
      <c r="P965" s="5"/>
    </row>
    <row r="966" spans="1:16" x14ac:dyDescent="0.25">
      <c r="A966" s="4" t="s">
        <v>21</v>
      </c>
      <c r="B966" s="4" t="s">
        <v>344</v>
      </c>
      <c r="C966" s="5">
        <v>38120</v>
      </c>
      <c r="D966" s="4" t="s">
        <v>33</v>
      </c>
      <c r="E966" s="4" t="s">
        <v>66</v>
      </c>
      <c r="F966" s="4" t="s">
        <v>375</v>
      </c>
      <c r="G966" s="4" t="s">
        <v>26</v>
      </c>
      <c r="H966" s="4" t="s">
        <v>27</v>
      </c>
      <c r="I966" s="4" t="s">
        <v>715</v>
      </c>
      <c r="J966" s="4" t="s">
        <v>638</v>
      </c>
      <c r="K966" s="5">
        <v>6073607</v>
      </c>
      <c r="L966" s="5">
        <v>271756</v>
      </c>
      <c r="M966" s="5">
        <v>19</v>
      </c>
      <c r="N966" s="5">
        <v>1</v>
      </c>
      <c r="O966" s="5">
        <v>4.5</v>
      </c>
      <c r="P966" s="5"/>
    </row>
    <row r="967" spans="1:16" x14ac:dyDescent="0.25">
      <c r="A967" s="4" t="s">
        <v>21</v>
      </c>
      <c r="B967" s="4" t="s">
        <v>344</v>
      </c>
      <c r="C967" s="5">
        <v>38121</v>
      </c>
      <c r="D967" s="4" t="s">
        <v>33</v>
      </c>
      <c r="E967" s="4" t="s">
        <v>66</v>
      </c>
      <c r="F967" s="4" t="s">
        <v>404</v>
      </c>
      <c r="G967" s="4" t="s">
        <v>26</v>
      </c>
      <c r="H967" s="4" t="s">
        <v>27</v>
      </c>
      <c r="I967" s="4" t="s">
        <v>715</v>
      </c>
      <c r="J967" s="4" t="s">
        <v>715</v>
      </c>
      <c r="K967" s="5">
        <v>6068174</v>
      </c>
      <c r="L967" s="5">
        <v>272224</v>
      </c>
      <c r="M967" s="5">
        <v>19</v>
      </c>
      <c r="N967" s="5">
        <v>1</v>
      </c>
      <c r="O967" s="5">
        <v>8.5</v>
      </c>
      <c r="P967" s="5"/>
    </row>
    <row r="968" spans="1:16" x14ac:dyDescent="0.25">
      <c r="A968" s="4" t="s">
        <v>21</v>
      </c>
      <c r="B968" s="4" t="s">
        <v>344</v>
      </c>
      <c r="C968" s="5">
        <v>38122</v>
      </c>
      <c r="D968" s="4" t="s">
        <v>33</v>
      </c>
      <c r="E968" s="4" t="s">
        <v>43</v>
      </c>
      <c r="F968" s="4" t="s">
        <v>162</v>
      </c>
      <c r="G968" s="4" t="s">
        <v>26</v>
      </c>
      <c r="H968" s="4" t="s">
        <v>27</v>
      </c>
      <c r="I968" s="4" t="s">
        <v>715</v>
      </c>
      <c r="J968" s="4" t="s">
        <v>638</v>
      </c>
      <c r="K968" s="5">
        <v>6065217</v>
      </c>
      <c r="L968" s="5">
        <v>279550</v>
      </c>
      <c r="M968" s="5">
        <v>19</v>
      </c>
      <c r="N968" s="5">
        <v>1</v>
      </c>
      <c r="O968" s="5">
        <v>12</v>
      </c>
      <c r="P968" s="5"/>
    </row>
    <row r="969" spans="1:16" x14ac:dyDescent="0.25">
      <c r="A969" s="4" t="s">
        <v>21</v>
      </c>
      <c r="B969" s="4" t="s">
        <v>344</v>
      </c>
      <c r="C969" s="5">
        <v>38123</v>
      </c>
      <c r="D969" s="4" t="s">
        <v>33</v>
      </c>
      <c r="E969" s="4" t="s">
        <v>43</v>
      </c>
      <c r="F969" s="4" t="s">
        <v>136</v>
      </c>
      <c r="G969" s="4" t="s">
        <v>26</v>
      </c>
      <c r="H969" s="4" t="s">
        <v>27</v>
      </c>
      <c r="I969" s="4" t="s">
        <v>715</v>
      </c>
      <c r="J969" s="4" t="s">
        <v>638</v>
      </c>
      <c r="K969" s="5">
        <v>6068695</v>
      </c>
      <c r="L969" s="5">
        <v>283600</v>
      </c>
      <c r="M969" s="5">
        <v>19</v>
      </c>
      <c r="N969" s="5">
        <v>2</v>
      </c>
      <c r="O969" s="5">
        <v>15</v>
      </c>
      <c r="P969" s="5"/>
    </row>
    <row r="970" spans="1:16" x14ac:dyDescent="0.25">
      <c r="A970" s="4" t="s">
        <v>21</v>
      </c>
      <c r="B970" s="4" t="s">
        <v>344</v>
      </c>
      <c r="C970" s="5">
        <v>38124</v>
      </c>
      <c r="D970" s="4" t="s">
        <v>33</v>
      </c>
      <c r="E970" s="4" t="s">
        <v>43</v>
      </c>
      <c r="F970" s="4" t="s">
        <v>43</v>
      </c>
      <c r="G970" s="4" t="s">
        <v>26</v>
      </c>
      <c r="H970" s="4" t="s">
        <v>27</v>
      </c>
      <c r="I970" s="4" t="s">
        <v>715</v>
      </c>
      <c r="J970" s="4" t="s">
        <v>638</v>
      </c>
      <c r="K970" s="5">
        <v>6068635</v>
      </c>
      <c r="L970" s="5">
        <v>277018</v>
      </c>
      <c r="M970" s="5">
        <v>19</v>
      </c>
      <c r="N970" s="5">
        <v>1</v>
      </c>
      <c r="O970" s="5">
        <v>38</v>
      </c>
      <c r="P970" s="5"/>
    </row>
    <row r="971" spans="1:16" x14ac:dyDescent="0.25">
      <c r="A971" s="4" t="s">
        <v>21</v>
      </c>
      <c r="B971" s="4" t="s">
        <v>344</v>
      </c>
      <c r="C971" s="5">
        <v>38125</v>
      </c>
      <c r="D971" s="4" t="s">
        <v>33</v>
      </c>
      <c r="E971" s="4" t="s">
        <v>43</v>
      </c>
      <c r="F971" s="4" t="s">
        <v>136</v>
      </c>
      <c r="G971" s="4" t="s">
        <v>26</v>
      </c>
      <c r="H971" s="4" t="s">
        <v>27</v>
      </c>
      <c r="I971" s="4" t="s">
        <v>715</v>
      </c>
      <c r="J971" s="4" t="s">
        <v>638</v>
      </c>
      <c r="K971" s="5">
        <v>6066421</v>
      </c>
      <c r="L971" s="5">
        <v>282609</v>
      </c>
      <c r="M971" s="5">
        <v>19</v>
      </c>
      <c r="N971" s="5">
        <v>1</v>
      </c>
      <c r="O971" s="5">
        <v>45</v>
      </c>
      <c r="P971" s="5"/>
    </row>
    <row r="972" spans="1:16" x14ac:dyDescent="0.25">
      <c r="A972" s="4" t="s">
        <v>21</v>
      </c>
      <c r="B972" s="4" t="s">
        <v>344</v>
      </c>
      <c r="C972" s="5">
        <v>38126</v>
      </c>
      <c r="D972" s="4" t="s">
        <v>33</v>
      </c>
      <c r="E972" s="4" t="s">
        <v>144</v>
      </c>
      <c r="F972" s="4" t="s">
        <v>144</v>
      </c>
      <c r="G972" s="4" t="s">
        <v>26</v>
      </c>
      <c r="H972" s="4" t="s">
        <v>27</v>
      </c>
      <c r="I972" s="4" t="s">
        <v>715</v>
      </c>
      <c r="J972" s="4" t="s">
        <v>715</v>
      </c>
      <c r="K972" s="5">
        <v>6057388</v>
      </c>
      <c r="L972" s="5">
        <v>241659</v>
      </c>
      <c r="M972" s="5">
        <v>19</v>
      </c>
      <c r="N972" s="5">
        <v>1</v>
      </c>
      <c r="O972" s="5">
        <v>90</v>
      </c>
      <c r="P972" s="5"/>
    </row>
    <row r="973" spans="1:16" x14ac:dyDescent="0.25">
      <c r="A973" s="4" t="s">
        <v>21</v>
      </c>
      <c r="B973" s="4" t="s">
        <v>344</v>
      </c>
      <c r="C973" s="5">
        <v>38127</v>
      </c>
      <c r="D973" s="4" t="s">
        <v>33</v>
      </c>
      <c r="E973" s="4" t="s">
        <v>147</v>
      </c>
      <c r="F973" s="4" t="s">
        <v>405</v>
      </c>
      <c r="G973" s="4" t="s">
        <v>26</v>
      </c>
      <c r="H973" s="4" t="s">
        <v>27</v>
      </c>
      <c r="I973" s="4" t="s">
        <v>715</v>
      </c>
      <c r="J973" s="4" t="s">
        <v>715</v>
      </c>
      <c r="K973" s="5">
        <v>6045679</v>
      </c>
      <c r="L973" s="5">
        <v>258607</v>
      </c>
      <c r="M973" s="5">
        <v>19</v>
      </c>
      <c r="N973" s="5">
        <v>1</v>
      </c>
      <c r="O973" s="5">
        <v>25</v>
      </c>
      <c r="P973" s="5"/>
    </row>
    <row r="974" spans="1:16" x14ac:dyDescent="0.25">
      <c r="A974" s="4" t="s">
        <v>21</v>
      </c>
      <c r="B974" s="4" t="s">
        <v>344</v>
      </c>
      <c r="C974" s="5">
        <v>38128</v>
      </c>
      <c r="D974" s="4" t="s">
        <v>33</v>
      </c>
      <c r="E974" s="4" t="s">
        <v>137</v>
      </c>
      <c r="F974" s="4" t="s">
        <v>390</v>
      </c>
      <c r="G974" s="4" t="s">
        <v>26</v>
      </c>
      <c r="H974" s="4" t="s">
        <v>27</v>
      </c>
      <c r="I974" s="4" t="s">
        <v>715</v>
      </c>
      <c r="J974" s="4" t="s">
        <v>638</v>
      </c>
      <c r="K974" s="5">
        <v>6046429</v>
      </c>
      <c r="L974" s="5">
        <v>281695</v>
      </c>
      <c r="M974" s="5">
        <v>19</v>
      </c>
      <c r="N974" s="5">
        <v>1</v>
      </c>
      <c r="O974" s="5">
        <v>11</v>
      </c>
      <c r="P974" s="5"/>
    </row>
    <row r="975" spans="1:16" x14ac:dyDescent="0.25">
      <c r="A975" s="4" t="s">
        <v>21</v>
      </c>
      <c r="B975" s="4" t="s">
        <v>344</v>
      </c>
      <c r="C975" s="5">
        <v>38244</v>
      </c>
      <c r="D975" s="4" t="s">
        <v>33</v>
      </c>
      <c r="E975" s="4" t="s">
        <v>43</v>
      </c>
      <c r="F975" s="4" t="s">
        <v>387</v>
      </c>
      <c r="G975" s="4" t="s">
        <v>26</v>
      </c>
      <c r="H975" s="4" t="s">
        <v>27</v>
      </c>
      <c r="I975" s="4" t="s">
        <v>715</v>
      </c>
      <c r="J975" s="4" t="s">
        <v>638</v>
      </c>
      <c r="K975" s="5">
        <v>6068835</v>
      </c>
      <c r="L975" s="5">
        <v>274781</v>
      </c>
      <c r="M975" s="5">
        <v>19</v>
      </c>
      <c r="N975" s="5">
        <v>2</v>
      </c>
      <c r="O975" s="5">
        <v>32</v>
      </c>
      <c r="P975" s="5"/>
    </row>
    <row r="976" spans="1:16" x14ac:dyDescent="0.25">
      <c r="A976" s="4" t="s">
        <v>21</v>
      </c>
      <c r="B976" s="4" t="s">
        <v>344</v>
      </c>
      <c r="C976" s="5">
        <v>38245</v>
      </c>
      <c r="D976" s="4" t="s">
        <v>33</v>
      </c>
      <c r="E976" s="4" t="s">
        <v>43</v>
      </c>
      <c r="F976" s="4" t="s">
        <v>101</v>
      </c>
      <c r="G976" s="4" t="s">
        <v>26</v>
      </c>
      <c r="H976" s="4" t="s">
        <v>27</v>
      </c>
      <c r="I976" s="4" t="s">
        <v>715</v>
      </c>
      <c r="J976" s="4" t="s">
        <v>638</v>
      </c>
      <c r="K976" s="5">
        <v>6069779</v>
      </c>
      <c r="L976" s="5">
        <v>273664</v>
      </c>
      <c r="M976" s="5">
        <v>19</v>
      </c>
      <c r="N976" s="5">
        <v>1</v>
      </c>
      <c r="O976" s="5">
        <v>16</v>
      </c>
      <c r="P976" s="5"/>
    </row>
    <row r="977" spans="1:16" x14ac:dyDescent="0.25">
      <c r="A977" s="4" t="s">
        <v>21</v>
      </c>
      <c r="B977" s="4" t="s">
        <v>344</v>
      </c>
      <c r="C977" s="5">
        <v>38246</v>
      </c>
      <c r="D977" s="4" t="s">
        <v>33</v>
      </c>
      <c r="E977" s="4" t="s">
        <v>66</v>
      </c>
      <c r="F977" s="4" t="s">
        <v>406</v>
      </c>
      <c r="G977" s="4" t="s">
        <v>26</v>
      </c>
      <c r="H977" s="4" t="s">
        <v>27</v>
      </c>
      <c r="I977" s="4" t="s">
        <v>715</v>
      </c>
      <c r="J977" s="4" t="s">
        <v>638</v>
      </c>
      <c r="K977" s="5">
        <v>6073488</v>
      </c>
      <c r="L977" s="5">
        <v>267204</v>
      </c>
      <c r="M977" s="5">
        <v>19</v>
      </c>
      <c r="N977" s="5">
        <v>1</v>
      </c>
      <c r="O977" s="5">
        <v>30</v>
      </c>
      <c r="P977" s="5"/>
    </row>
    <row r="978" spans="1:16" x14ac:dyDescent="0.25">
      <c r="A978" s="4" t="s">
        <v>21</v>
      </c>
      <c r="B978" s="4" t="s">
        <v>344</v>
      </c>
      <c r="C978" s="5">
        <v>38247</v>
      </c>
      <c r="D978" s="4" t="s">
        <v>33</v>
      </c>
      <c r="E978" s="4" t="s">
        <v>43</v>
      </c>
      <c r="F978" s="4" t="s">
        <v>134</v>
      </c>
      <c r="G978" s="4" t="s">
        <v>26</v>
      </c>
      <c r="H978" s="4" t="s">
        <v>27</v>
      </c>
      <c r="I978" s="4" t="s">
        <v>715</v>
      </c>
      <c r="J978" s="4" t="s">
        <v>638</v>
      </c>
      <c r="K978" s="5">
        <v>6061839</v>
      </c>
      <c r="L978" s="5">
        <v>270222</v>
      </c>
      <c r="M978" s="5">
        <v>19</v>
      </c>
      <c r="N978" s="5">
        <v>2</v>
      </c>
      <c r="O978" s="5">
        <v>26</v>
      </c>
      <c r="P978" s="5"/>
    </row>
    <row r="979" spans="1:16" x14ac:dyDescent="0.25">
      <c r="A979" s="4" t="s">
        <v>54</v>
      </c>
      <c r="B979" s="4" t="s">
        <v>344</v>
      </c>
      <c r="C979" s="5">
        <v>38322</v>
      </c>
      <c r="D979" s="4" t="s">
        <v>37</v>
      </c>
      <c r="E979" s="4" t="s">
        <v>75</v>
      </c>
      <c r="F979" s="4" t="s">
        <v>386</v>
      </c>
      <c r="G979" s="4" t="s">
        <v>26</v>
      </c>
      <c r="H979" s="4" t="s">
        <v>641</v>
      </c>
      <c r="I979" s="4" t="s">
        <v>715</v>
      </c>
      <c r="J979" s="4" t="s">
        <v>715</v>
      </c>
      <c r="K979" s="5">
        <v>6231933</v>
      </c>
      <c r="L979" s="5">
        <v>342801</v>
      </c>
      <c r="M979" s="5">
        <v>19</v>
      </c>
      <c r="N979" s="5">
        <v>1</v>
      </c>
      <c r="O979" s="5">
        <v>2</v>
      </c>
      <c r="P979" s="5"/>
    </row>
    <row r="980" spans="1:16" x14ac:dyDescent="0.25">
      <c r="A980" s="4" t="s">
        <v>54</v>
      </c>
      <c r="B980" s="4" t="s">
        <v>344</v>
      </c>
      <c r="C980" s="5">
        <v>38327</v>
      </c>
      <c r="D980" s="4" t="s">
        <v>37</v>
      </c>
      <c r="E980" s="4" t="s">
        <v>407</v>
      </c>
      <c r="F980" s="4" t="s">
        <v>408</v>
      </c>
      <c r="G980" s="4" t="s">
        <v>26</v>
      </c>
      <c r="H980" s="4" t="s">
        <v>641</v>
      </c>
      <c r="I980" s="4" t="s">
        <v>715</v>
      </c>
      <c r="J980" s="4" t="s">
        <v>715</v>
      </c>
      <c r="K980" s="5">
        <v>6199637</v>
      </c>
      <c r="L980" s="5">
        <v>337503</v>
      </c>
      <c r="M980" s="5">
        <v>19</v>
      </c>
      <c r="N980" s="5">
        <v>1</v>
      </c>
      <c r="O980" s="5">
        <v>8.8800000000000008</v>
      </c>
      <c r="P980" s="5"/>
    </row>
    <row r="981" spans="1:16" x14ac:dyDescent="0.25">
      <c r="A981" s="4" t="s">
        <v>21</v>
      </c>
      <c r="B981" s="4" t="s">
        <v>344</v>
      </c>
      <c r="C981" s="5">
        <v>38337</v>
      </c>
      <c r="D981" s="4" t="s">
        <v>33</v>
      </c>
      <c r="E981" s="4" t="s">
        <v>66</v>
      </c>
      <c r="F981" s="4" t="s">
        <v>403</v>
      </c>
      <c r="G981" s="4" t="s">
        <v>26</v>
      </c>
      <c r="H981" s="4" t="s">
        <v>27</v>
      </c>
      <c r="I981" s="4" t="s">
        <v>715</v>
      </c>
      <c r="J981" s="4" t="s">
        <v>715</v>
      </c>
      <c r="K981" s="5">
        <v>6068788</v>
      </c>
      <c r="L981" s="5">
        <v>269427</v>
      </c>
      <c r="M981" s="5">
        <v>19</v>
      </c>
      <c r="N981" s="5">
        <v>1</v>
      </c>
      <c r="O981" s="5">
        <v>40</v>
      </c>
      <c r="P981" s="5"/>
    </row>
    <row r="982" spans="1:16" x14ac:dyDescent="0.25">
      <c r="A982" s="4" t="s">
        <v>21</v>
      </c>
      <c r="B982" s="4" t="s">
        <v>344</v>
      </c>
      <c r="C982" s="5">
        <v>38416</v>
      </c>
      <c r="D982" s="4" t="s">
        <v>33</v>
      </c>
      <c r="E982" s="4" t="s">
        <v>35</v>
      </c>
      <c r="F982" s="4" t="s">
        <v>377</v>
      </c>
      <c r="G982" s="4" t="s">
        <v>26</v>
      </c>
      <c r="H982" s="4" t="s">
        <v>18</v>
      </c>
      <c r="I982" s="4" t="s">
        <v>715</v>
      </c>
      <c r="J982" s="4" t="s">
        <v>715</v>
      </c>
      <c r="K982" s="5">
        <v>6131690</v>
      </c>
      <c r="L982" s="5">
        <v>314396</v>
      </c>
      <c r="M982" s="5">
        <v>19</v>
      </c>
      <c r="N982" s="5">
        <v>1</v>
      </c>
      <c r="O982" s="5">
        <v>2.5</v>
      </c>
      <c r="P982" s="5"/>
    </row>
    <row r="983" spans="1:16" x14ac:dyDescent="0.25">
      <c r="A983" s="4" t="s">
        <v>21</v>
      </c>
      <c r="B983" s="4" t="s">
        <v>344</v>
      </c>
      <c r="C983" s="5">
        <v>38418</v>
      </c>
      <c r="D983" s="4" t="s">
        <v>33</v>
      </c>
      <c r="E983" s="4" t="s">
        <v>35</v>
      </c>
      <c r="F983" s="4" t="s">
        <v>377</v>
      </c>
      <c r="G983" s="4" t="s">
        <v>26</v>
      </c>
      <c r="H983" s="4" t="s">
        <v>18</v>
      </c>
      <c r="I983" s="4" t="s">
        <v>715</v>
      </c>
      <c r="J983" s="4" t="s">
        <v>715</v>
      </c>
      <c r="K983" s="5">
        <v>6134045</v>
      </c>
      <c r="L983" s="5">
        <v>317692</v>
      </c>
      <c r="M983" s="5">
        <v>19</v>
      </c>
      <c r="N983" s="5">
        <v>1</v>
      </c>
      <c r="O983" s="5">
        <v>9</v>
      </c>
      <c r="P983" s="5"/>
    </row>
    <row r="984" spans="1:16" x14ac:dyDescent="0.25">
      <c r="A984" s="4" t="s">
        <v>21</v>
      </c>
      <c r="B984" s="4" t="s">
        <v>344</v>
      </c>
      <c r="C984" s="5">
        <v>38421</v>
      </c>
      <c r="D984" s="4" t="s">
        <v>33</v>
      </c>
      <c r="E984" s="4" t="s">
        <v>43</v>
      </c>
      <c r="F984" s="4" t="s">
        <v>134</v>
      </c>
      <c r="G984" s="4" t="s">
        <v>26</v>
      </c>
      <c r="H984" s="4" t="s">
        <v>18</v>
      </c>
      <c r="I984" s="4" t="s">
        <v>715</v>
      </c>
      <c r="J984" s="4" t="s">
        <v>715</v>
      </c>
      <c r="K984" s="5">
        <v>6060471</v>
      </c>
      <c r="L984" s="5">
        <v>269834</v>
      </c>
      <c r="M984" s="5">
        <v>19</v>
      </c>
      <c r="N984" s="5">
        <v>1</v>
      </c>
      <c r="O984" s="5">
        <v>8</v>
      </c>
      <c r="P984" s="5"/>
    </row>
    <row r="985" spans="1:16" x14ac:dyDescent="0.25">
      <c r="A985" s="4" t="s">
        <v>21</v>
      </c>
      <c r="B985" s="4" t="s">
        <v>344</v>
      </c>
      <c r="C985" s="5">
        <v>38422</v>
      </c>
      <c r="D985" s="4" t="s">
        <v>33</v>
      </c>
      <c r="E985" s="4" t="s">
        <v>66</v>
      </c>
      <c r="F985" s="4" t="s">
        <v>66</v>
      </c>
      <c r="G985" s="4" t="s">
        <v>26</v>
      </c>
      <c r="H985" s="4" t="s">
        <v>18</v>
      </c>
      <c r="I985" s="4" t="s">
        <v>715</v>
      </c>
      <c r="J985" s="4" t="s">
        <v>715</v>
      </c>
      <c r="K985" s="5">
        <v>6075683</v>
      </c>
      <c r="L985" s="5">
        <v>264548</v>
      </c>
      <c r="M985" s="5">
        <v>19</v>
      </c>
      <c r="N985" s="5">
        <v>1</v>
      </c>
      <c r="O985" s="5">
        <v>1.6</v>
      </c>
      <c r="P985" s="5"/>
    </row>
    <row r="986" spans="1:16" x14ac:dyDescent="0.25">
      <c r="A986" s="4" t="s">
        <v>21</v>
      </c>
      <c r="B986" s="4" t="s">
        <v>344</v>
      </c>
      <c r="C986" s="5">
        <v>38423</v>
      </c>
      <c r="D986" s="4" t="s">
        <v>33</v>
      </c>
      <c r="E986" s="4" t="s">
        <v>43</v>
      </c>
      <c r="F986" s="4" t="s">
        <v>402</v>
      </c>
      <c r="G986" s="4" t="s">
        <v>26</v>
      </c>
      <c r="H986" s="4" t="s">
        <v>18</v>
      </c>
      <c r="I986" s="4" t="s">
        <v>715</v>
      </c>
      <c r="J986" s="4" t="s">
        <v>715</v>
      </c>
      <c r="K986" s="5">
        <v>6071258</v>
      </c>
      <c r="L986" s="5">
        <v>271234</v>
      </c>
      <c r="M986" s="5">
        <v>19</v>
      </c>
      <c r="N986" s="5">
        <v>1</v>
      </c>
      <c r="O986" s="5">
        <v>0.4</v>
      </c>
      <c r="P986" s="5"/>
    </row>
    <row r="987" spans="1:16" x14ac:dyDescent="0.25">
      <c r="A987" s="4" t="s">
        <v>21</v>
      </c>
      <c r="B987" s="4" t="s">
        <v>344</v>
      </c>
      <c r="C987" s="5">
        <v>38424</v>
      </c>
      <c r="D987" s="4" t="s">
        <v>33</v>
      </c>
      <c r="E987" s="4" t="s">
        <v>43</v>
      </c>
      <c r="F987" s="4" t="s">
        <v>162</v>
      </c>
      <c r="G987" s="4" t="s">
        <v>26</v>
      </c>
      <c r="H987" s="4" t="s">
        <v>18</v>
      </c>
      <c r="I987" s="4" t="s">
        <v>715</v>
      </c>
      <c r="J987" s="4" t="s">
        <v>715</v>
      </c>
      <c r="K987" s="5">
        <v>6070851</v>
      </c>
      <c r="L987" s="5">
        <v>281901</v>
      </c>
      <c r="M987" s="5">
        <v>19</v>
      </c>
      <c r="N987" s="5">
        <v>1</v>
      </c>
      <c r="O987" s="5">
        <v>0.4</v>
      </c>
      <c r="P987" s="5"/>
    </row>
    <row r="988" spans="1:16" x14ac:dyDescent="0.25">
      <c r="A988" s="4" t="s">
        <v>21</v>
      </c>
      <c r="B988" s="4" t="s">
        <v>344</v>
      </c>
      <c r="C988" s="5">
        <v>38647</v>
      </c>
      <c r="D988" s="4" t="s">
        <v>23</v>
      </c>
      <c r="E988" s="4" t="s">
        <v>381</v>
      </c>
      <c r="F988" s="4" t="s">
        <v>368</v>
      </c>
      <c r="G988" s="4" t="s">
        <v>26</v>
      </c>
      <c r="H988" s="4" t="s">
        <v>18</v>
      </c>
      <c r="I988" s="4" t="s">
        <v>715</v>
      </c>
      <c r="J988" s="4" t="s">
        <v>715</v>
      </c>
      <c r="K988" s="5">
        <v>6285483</v>
      </c>
      <c r="L988" s="5">
        <v>335829</v>
      </c>
      <c r="M988" s="5">
        <v>19</v>
      </c>
      <c r="N988" s="5">
        <v>1</v>
      </c>
      <c r="O988" s="5">
        <v>0.4</v>
      </c>
      <c r="P988" s="5"/>
    </row>
    <row r="989" spans="1:16" x14ac:dyDescent="0.25">
      <c r="A989" s="4" t="s">
        <v>21</v>
      </c>
      <c r="B989" s="4" t="s">
        <v>344</v>
      </c>
      <c r="C989" s="5">
        <v>38848</v>
      </c>
      <c r="D989" s="4" t="s">
        <v>37</v>
      </c>
      <c r="E989" s="4" t="s">
        <v>73</v>
      </c>
      <c r="F989" s="4" t="s">
        <v>73</v>
      </c>
      <c r="G989" s="4" t="s">
        <v>26</v>
      </c>
      <c r="H989" s="4" t="s">
        <v>27</v>
      </c>
      <c r="I989" s="4" t="s">
        <v>715</v>
      </c>
      <c r="J989" s="4" t="s">
        <v>715</v>
      </c>
      <c r="K989" s="5">
        <v>6161172</v>
      </c>
      <c r="L989" s="5">
        <v>313375</v>
      </c>
      <c r="M989" s="5">
        <v>19</v>
      </c>
      <c r="N989" s="5">
        <v>9</v>
      </c>
      <c r="O989" s="5">
        <v>89.7</v>
      </c>
      <c r="P989" s="5"/>
    </row>
    <row r="990" spans="1:16" x14ac:dyDescent="0.25">
      <c r="A990" s="4" t="s">
        <v>21</v>
      </c>
      <c r="B990" s="4" t="s">
        <v>344</v>
      </c>
      <c r="C990" s="5">
        <v>38849</v>
      </c>
      <c r="D990" s="4" t="s">
        <v>33</v>
      </c>
      <c r="E990" s="4" t="s">
        <v>34</v>
      </c>
      <c r="F990" s="4" t="s">
        <v>82</v>
      </c>
      <c r="G990" s="4" t="s">
        <v>26</v>
      </c>
      <c r="H990" s="4" t="s">
        <v>27</v>
      </c>
      <c r="I990" s="4" t="s">
        <v>715</v>
      </c>
      <c r="J990" s="4" t="s">
        <v>638</v>
      </c>
      <c r="K990" s="5">
        <v>6125295</v>
      </c>
      <c r="L990" s="5">
        <v>297839</v>
      </c>
      <c r="M990" s="5">
        <v>19</v>
      </c>
      <c r="N990" s="5">
        <v>5</v>
      </c>
      <c r="O990" s="5">
        <v>29.79</v>
      </c>
      <c r="P990" s="5"/>
    </row>
    <row r="991" spans="1:16" x14ac:dyDescent="0.25">
      <c r="A991" s="4" t="s">
        <v>21</v>
      </c>
      <c r="B991" s="4" t="s">
        <v>344</v>
      </c>
      <c r="C991" s="5">
        <v>38850</v>
      </c>
      <c r="D991" s="4" t="s">
        <v>33</v>
      </c>
      <c r="E991" s="4" t="s">
        <v>50</v>
      </c>
      <c r="F991" s="4" t="s">
        <v>50</v>
      </c>
      <c r="G991" s="4" t="s">
        <v>26</v>
      </c>
      <c r="H991" s="4" t="s">
        <v>27</v>
      </c>
      <c r="I991" s="4" t="s">
        <v>715</v>
      </c>
      <c r="J991" s="4" t="s">
        <v>638</v>
      </c>
      <c r="K991" s="5">
        <v>6125159</v>
      </c>
      <c r="L991" s="5">
        <v>313718</v>
      </c>
      <c r="M991" s="5">
        <v>19</v>
      </c>
      <c r="N991" s="5">
        <v>2</v>
      </c>
      <c r="O991" s="5">
        <v>69.849999999999994</v>
      </c>
      <c r="P991" s="5"/>
    </row>
    <row r="992" spans="1:16" x14ac:dyDescent="0.25">
      <c r="A992" s="4" t="s">
        <v>21</v>
      </c>
      <c r="B992" s="4" t="s">
        <v>344</v>
      </c>
      <c r="C992" s="5">
        <v>38851</v>
      </c>
      <c r="D992" s="4" t="s">
        <v>37</v>
      </c>
      <c r="E992" s="4" t="s">
        <v>73</v>
      </c>
      <c r="F992" s="4" t="s">
        <v>73</v>
      </c>
      <c r="G992" s="4" t="s">
        <v>26</v>
      </c>
      <c r="H992" s="4" t="s">
        <v>27</v>
      </c>
      <c r="I992" s="4" t="s">
        <v>715</v>
      </c>
      <c r="J992" s="4" t="s">
        <v>638</v>
      </c>
      <c r="K992" s="5">
        <v>6146279</v>
      </c>
      <c r="L992" s="5">
        <v>318331</v>
      </c>
      <c r="M992" s="5">
        <v>19</v>
      </c>
      <c r="N992" s="5">
        <v>4</v>
      </c>
      <c r="O992" s="5">
        <v>49.92</v>
      </c>
      <c r="P992" s="5"/>
    </row>
    <row r="993" spans="1:16" x14ac:dyDescent="0.25">
      <c r="A993" s="4" t="s">
        <v>21</v>
      </c>
      <c r="B993" s="4" t="s">
        <v>344</v>
      </c>
      <c r="C993" s="5">
        <v>38852</v>
      </c>
      <c r="D993" s="4" t="s">
        <v>33</v>
      </c>
      <c r="E993" s="4" t="s">
        <v>34</v>
      </c>
      <c r="F993" s="4" t="s">
        <v>251</v>
      </c>
      <c r="G993" s="4" t="s">
        <v>26</v>
      </c>
      <c r="H993" s="4" t="s">
        <v>27</v>
      </c>
      <c r="I993" s="4" t="s">
        <v>715</v>
      </c>
      <c r="J993" s="4" t="s">
        <v>638</v>
      </c>
      <c r="K993" s="5">
        <v>6117411</v>
      </c>
      <c r="L993" s="5">
        <v>299786</v>
      </c>
      <c r="M993" s="5">
        <v>19</v>
      </c>
      <c r="N993" s="5">
        <v>1</v>
      </c>
      <c r="O993" s="5">
        <v>27.3</v>
      </c>
      <c r="P993" s="5"/>
    </row>
    <row r="994" spans="1:16" x14ac:dyDescent="0.25">
      <c r="A994" s="4" t="s">
        <v>21</v>
      </c>
      <c r="B994" s="4" t="s">
        <v>344</v>
      </c>
      <c r="C994" s="5">
        <v>38853</v>
      </c>
      <c r="D994" s="4" t="s">
        <v>33</v>
      </c>
      <c r="E994" s="4" t="s">
        <v>43</v>
      </c>
      <c r="F994" s="4" t="s">
        <v>101</v>
      </c>
      <c r="G994" s="4" t="s">
        <v>26</v>
      </c>
      <c r="H994" s="4" t="s">
        <v>27</v>
      </c>
      <c r="I994" s="4" t="s">
        <v>715</v>
      </c>
      <c r="J994" s="4" t="s">
        <v>638</v>
      </c>
      <c r="K994" s="5">
        <v>6068860</v>
      </c>
      <c r="L994" s="5">
        <v>274265</v>
      </c>
      <c r="M994" s="5">
        <v>19</v>
      </c>
      <c r="N994" s="5">
        <v>1</v>
      </c>
      <c r="O994" s="5">
        <v>5</v>
      </c>
      <c r="P994" s="5"/>
    </row>
    <row r="995" spans="1:16" x14ac:dyDescent="0.25">
      <c r="A995" s="4" t="s">
        <v>21</v>
      </c>
      <c r="B995" s="4" t="s">
        <v>344</v>
      </c>
      <c r="C995" s="5">
        <v>38854</v>
      </c>
      <c r="D995" s="4" t="s">
        <v>33</v>
      </c>
      <c r="E995" s="4" t="s">
        <v>137</v>
      </c>
      <c r="F995" s="4" t="s">
        <v>391</v>
      </c>
      <c r="G995" s="4" t="s">
        <v>26</v>
      </c>
      <c r="H995" s="4" t="s">
        <v>27</v>
      </c>
      <c r="I995" s="4" t="s">
        <v>715</v>
      </c>
      <c r="J995" s="4" t="s">
        <v>638</v>
      </c>
      <c r="K995" s="5">
        <v>6047100</v>
      </c>
      <c r="L995" s="5">
        <v>282004</v>
      </c>
      <c r="M995" s="5">
        <v>19</v>
      </c>
      <c r="N995" s="5">
        <v>1</v>
      </c>
      <c r="O995" s="5">
        <v>18</v>
      </c>
      <c r="P995" s="5"/>
    </row>
    <row r="996" spans="1:16" x14ac:dyDescent="0.25">
      <c r="A996" s="4" t="s">
        <v>21</v>
      </c>
      <c r="B996" s="4" t="s">
        <v>344</v>
      </c>
      <c r="C996" s="5">
        <v>38974</v>
      </c>
      <c r="D996" s="4" t="s">
        <v>23</v>
      </c>
      <c r="E996" s="4" t="s">
        <v>357</v>
      </c>
      <c r="F996" s="4" t="s">
        <v>357</v>
      </c>
      <c r="G996" s="4" t="s">
        <v>26</v>
      </c>
      <c r="H996" s="4" t="s">
        <v>18</v>
      </c>
      <c r="I996" s="4" t="s">
        <v>715</v>
      </c>
      <c r="J996" s="4" t="s">
        <v>715</v>
      </c>
      <c r="K996" s="5">
        <v>6281689</v>
      </c>
      <c r="L996" s="5">
        <v>340782</v>
      </c>
      <c r="M996" s="5">
        <v>19</v>
      </c>
      <c r="N996" s="5">
        <v>1</v>
      </c>
      <c r="O996" s="5">
        <v>0.5</v>
      </c>
      <c r="P996" s="5"/>
    </row>
    <row r="997" spans="1:16" x14ac:dyDescent="0.25">
      <c r="A997" s="4" t="s">
        <v>21</v>
      </c>
      <c r="B997" s="4" t="s">
        <v>344</v>
      </c>
      <c r="C997" s="5">
        <v>39037</v>
      </c>
      <c r="D997" s="4" t="s">
        <v>23</v>
      </c>
      <c r="E997" s="4" t="s">
        <v>366</v>
      </c>
      <c r="F997" s="4" t="s">
        <v>366</v>
      </c>
      <c r="G997" s="4" t="s">
        <v>26</v>
      </c>
      <c r="H997" s="4" t="s">
        <v>18</v>
      </c>
      <c r="I997" s="4" t="s">
        <v>715</v>
      </c>
      <c r="J997" s="4" t="s">
        <v>715</v>
      </c>
      <c r="K997" s="5">
        <v>6287319</v>
      </c>
      <c r="L997" s="5">
        <v>341041</v>
      </c>
      <c r="M997" s="5">
        <v>19</v>
      </c>
      <c r="N997" s="5">
        <v>1</v>
      </c>
      <c r="O997" s="5">
        <v>0.5</v>
      </c>
      <c r="P997" s="5"/>
    </row>
    <row r="998" spans="1:16" x14ac:dyDescent="0.25">
      <c r="A998" s="4" t="s">
        <v>21</v>
      </c>
      <c r="B998" s="4" t="s">
        <v>344</v>
      </c>
      <c r="C998" s="5">
        <v>39089</v>
      </c>
      <c r="D998" s="4" t="s">
        <v>33</v>
      </c>
      <c r="E998" s="4" t="s">
        <v>43</v>
      </c>
      <c r="F998" s="4" t="s">
        <v>134</v>
      </c>
      <c r="G998" s="4" t="s">
        <v>26</v>
      </c>
      <c r="H998" s="4" t="s">
        <v>27</v>
      </c>
      <c r="I998" s="4" t="s">
        <v>715</v>
      </c>
      <c r="J998" s="4" t="s">
        <v>638</v>
      </c>
      <c r="K998" s="5">
        <v>6061150</v>
      </c>
      <c r="L998" s="5">
        <v>270024</v>
      </c>
      <c r="M998" s="5">
        <v>19</v>
      </c>
      <c r="N998" s="5">
        <v>1</v>
      </c>
      <c r="O998" s="5">
        <v>15</v>
      </c>
      <c r="P998" s="5"/>
    </row>
    <row r="999" spans="1:16" x14ac:dyDescent="0.25">
      <c r="A999" s="4" t="s">
        <v>21</v>
      </c>
      <c r="B999" s="4" t="s">
        <v>344</v>
      </c>
      <c r="C999" s="5">
        <v>39091</v>
      </c>
      <c r="D999" s="4" t="s">
        <v>33</v>
      </c>
      <c r="E999" s="4" t="s">
        <v>43</v>
      </c>
      <c r="F999" s="4" t="s">
        <v>134</v>
      </c>
      <c r="G999" s="4" t="s">
        <v>26</v>
      </c>
      <c r="H999" s="4" t="s">
        <v>27</v>
      </c>
      <c r="I999" s="4" t="s">
        <v>715</v>
      </c>
      <c r="J999" s="4" t="s">
        <v>638</v>
      </c>
      <c r="K999" s="5">
        <v>6061366</v>
      </c>
      <c r="L999" s="5">
        <v>269579</v>
      </c>
      <c r="M999" s="5">
        <v>19</v>
      </c>
      <c r="N999" s="5">
        <v>2</v>
      </c>
      <c r="O999" s="5">
        <v>22</v>
      </c>
      <c r="P999" s="5"/>
    </row>
    <row r="1000" spans="1:16" x14ac:dyDescent="0.25">
      <c r="A1000" s="4" t="s">
        <v>21</v>
      </c>
      <c r="B1000" s="4" t="s">
        <v>344</v>
      </c>
      <c r="C1000" s="5">
        <v>39101</v>
      </c>
      <c r="D1000" s="4" t="s">
        <v>33</v>
      </c>
      <c r="E1000" s="4" t="s">
        <v>43</v>
      </c>
      <c r="F1000" s="4" t="s">
        <v>134</v>
      </c>
      <c r="G1000" s="4" t="s">
        <v>26</v>
      </c>
      <c r="H1000" s="4" t="s">
        <v>27</v>
      </c>
      <c r="I1000" s="4" t="s">
        <v>715</v>
      </c>
      <c r="J1000" s="4" t="s">
        <v>638</v>
      </c>
      <c r="K1000" s="5">
        <v>6061501</v>
      </c>
      <c r="L1000" s="5">
        <v>269667</v>
      </c>
      <c r="M1000" s="5">
        <v>19</v>
      </c>
      <c r="N1000" s="5">
        <v>1</v>
      </c>
      <c r="O1000" s="5">
        <v>8</v>
      </c>
      <c r="P1000" s="5"/>
    </row>
    <row r="1001" spans="1:16" x14ac:dyDescent="0.25">
      <c r="A1001" s="4" t="s">
        <v>21</v>
      </c>
      <c r="B1001" s="4" t="s">
        <v>344</v>
      </c>
      <c r="C1001" s="5">
        <v>39102</v>
      </c>
      <c r="D1001" s="4" t="s">
        <v>33</v>
      </c>
      <c r="E1001" s="4" t="s">
        <v>137</v>
      </c>
      <c r="F1001" s="4" t="s">
        <v>107</v>
      </c>
      <c r="G1001" s="4" t="s">
        <v>26</v>
      </c>
      <c r="H1001" s="4" t="s">
        <v>27</v>
      </c>
      <c r="I1001" s="4" t="s">
        <v>715</v>
      </c>
      <c r="J1001" s="4" t="s">
        <v>638</v>
      </c>
      <c r="K1001" s="5">
        <v>6042402</v>
      </c>
      <c r="L1001" s="5">
        <v>278967</v>
      </c>
      <c r="M1001" s="5">
        <v>19</v>
      </c>
      <c r="N1001" s="5">
        <v>1</v>
      </c>
      <c r="O1001" s="5">
        <v>8</v>
      </c>
      <c r="P1001" s="5"/>
    </row>
    <row r="1002" spans="1:16" x14ac:dyDescent="0.25">
      <c r="A1002" s="4" t="s">
        <v>21</v>
      </c>
      <c r="B1002" s="4" t="s">
        <v>344</v>
      </c>
      <c r="C1002" s="5">
        <v>39107</v>
      </c>
      <c r="D1002" s="4" t="s">
        <v>23</v>
      </c>
      <c r="E1002" s="4" t="s">
        <v>31</v>
      </c>
      <c r="F1002" s="4" t="s">
        <v>31</v>
      </c>
      <c r="G1002" s="4" t="s">
        <v>26</v>
      </c>
      <c r="H1002" s="4" t="s">
        <v>27</v>
      </c>
      <c r="I1002" s="4" t="s">
        <v>715</v>
      </c>
      <c r="J1002" s="4" t="s">
        <v>715</v>
      </c>
      <c r="K1002" s="5">
        <v>6294034</v>
      </c>
      <c r="L1002" s="5">
        <v>334981</v>
      </c>
      <c r="M1002" s="5">
        <v>19</v>
      </c>
      <c r="N1002" s="5">
        <v>1</v>
      </c>
      <c r="O1002" s="5">
        <v>15</v>
      </c>
      <c r="P1002" s="5"/>
    </row>
    <row r="1003" spans="1:16" x14ac:dyDescent="0.25">
      <c r="A1003" s="4" t="s">
        <v>21</v>
      </c>
      <c r="B1003" s="4" t="s">
        <v>344</v>
      </c>
      <c r="C1003" s="5">
        <v>39110</v>
      </c>
      <c r="D1003" s="4" t="s">
        <v>23</v>
      </c>
      <c r="E1003" s="4" t="s">
        <v>25</v>
      </c>
      <c r="F1003" s="4" t="s">
        <v>345</v>
      </c>
      <c r="G1003" s="4" t="s">
        <v>26</v>
      </c>
      <c r="H1003" s="4" t="s">
        <v>27</v>
      </c>
      <c r="I1003" s="4" t="s">
        <v>715</v>
      </c>
      <c r="J1003" s="4" t="s">
        <v>715</v>
      </c>
      <c r="K1003" s="5">
        <v>6275549</v>
      </c>
      <c r="L1003" s="5">
        <v>297625</v>
      </c>
      <c r="M1003" s="5">
        <v>19</v>
      </c>
      <c r="N1003" s="5">
        <v>3</v>
      </c>
      <c r="O1003" s="5">
        <v>43</v>
      </c>
      <c r="P1003" s="5"/>
    </row>
    <row r="1004" spans="1:16" x14ac:dyDescent="0.25">
      <c r="A1004" s="4" t="s">
        <v>21</v>
      </c>
      <c r="B1004" s="4" t="s">
        <v>344</v>
      </c>
      <c r="C1004" s="5">
        <v>39234</v>
      </c>
      <c r="D1004" s="4" t="s">
        <v>23</v>
      </c>
      <c r="E1004" s="4" t="s">
        <v>31</v>
      </c>
      <c r="F1004" s="4" t="s">
        <v>31</v>
      </c>
      <c r="G1004" s="4" t="s">
        <v>26</v>
      </c>
      <c r="H1004" s="4" t="s">
        <v>18</v>
      </c>
      <c r="I1004" s="4" t="s">
        <v>715</v>
      </c>
      <c r="J1004" s="4" t="s">
        <v>715</v>
      </c>
      <c r="K1004" s="5">
        <v>6286391</v>
      </c>
      <c r="L1004" s="5">
        <v>335204</v>
      </c>
      <c r="M1004" s="5">
        <v>19</v>
      </c>
      <c r="N1004" s="5">
        <v>1</v>
      </c>
      <c r="O1004" s="5">
        <v>0.5</v>
      </c>
      <c r="P1004" s="5"/>
    </row>
    <row r="1005" spans="1:16" x14ac:dyDescent="0.25">
      <c r="A1005" s="4" t="s">
        <v>21</v>
      </c>
      <c r="B1005" s="4" t="s">
        <v>344</v>
      </c>
      <c r="C1005" s="5">
        <v>39260</v>
      </c>
      <c r="D1005" s="4" t="s">
        <v>33</v>
      </c>
      <c r="E1005" s="4" t="s">
        <v>35</v>
      </c>
      <c r="F1005" s="4" t="s">
        <v>377</v>
      </c>
      <c r="G1005" s="4" t="s">
        <v>26</v>
      </c>
      <c r="H1005" s="4" t="s">
        <v>18</v>
      </c>
      <c r="I1005" s="4" t="s">
        <v>715</v>
      </c>
      <c r="J1005" s="4" t="s">
        <v>715</v>
      </c>
      <c r="K1005" s="5">
        <v>6137826</v>
      </c>
      <c r="L1005" s="5">
        <v>308359</v>
      </c>
      <c r="M1005" s="5">
        <v>19</v>
      </c>
      <c r="N1005" s="5">
        <v>1</v>
      </c>
      <c r="O1005" s="5">
        <v>0.5</v>
      </c>
      <c r="P1005" s="5"/>
    </row>
    <row r="1006" spans="1:16" x14ac:dyDescent="0.25">
      <c r="A1006" s="4" t="s">
        <v>21</v>
      </c>
      <c r="B1006" s="4" t="s">
        <v>344</v>
      </c>
      <c r="C1006" s="5">
        <v>39262</v>
      </c>
      <c r="D1006" s="4" t="s">
        <v>33</v>
      </c>
      <c r="E1006" s="4" t="s">
        <v>35</v>
      </c>
      <c r="F1006" s="4" t="s">
        <v>377</v>
      </c>
      <c r="G1006" s="4" t="s">
        <v>26</v>
      </c>
      <c r="H1006" s="4" t="s">
        <v>18</v>
      </c>
      <c r="I1006" s="4" t="s">
        <v>715</v>
      </c>
      <c r="J1006" s="4" t="s">
        <v>715</v>
      </c>
      <c r="K1006" s="5">
        <v>6137991</v>
      </c>
      <c r="L1006" s="5">
        <v>308077</v>
      </c>
      <c r="M1006" s="5">
        <v>19</v>
      </c>
      <c r="N1006" s="5">
        <v>1</v>
      </c>
      <c r="O1006" s="5">
        <v>0.5</v>
      </c>
      <c r="P1006" s="5"/>
    </row>
    <row r="1007" spans="1:16" x14ac:dyDescent="0.25">
      <c r="A1007" s="4" t="s">
        <v>21</v>
      </c>
      <c r="B1007" s="4" t="s">
        <v>344</v>
      </c>
      <c r="C1007" s="5">
        <v>39264</v>
      </c>
      <c r="D1007" s="4" t="s">
        <v>23</v>
      </c>
      <c r="E1007" s="4" t="s">
        <v>357</v>
      </c>
      <c r="F1007" s="4" t="s">
        <v>361</v>
      </c>
      <c r="G1007" s="4" t="s">
        <v>26</v>
      </c>
      <c r="H1007" s="4" t="s">
        <v>18</v>
      </c>
      <c r="I1007" s="4" t="s">
        <v>715</v>
      </c>
      <c r="J1007" s="4" t="s">
        <v>715</v>
      </c>
      <c r="K1007" s="5">
        <v>6275067</v>
      </c>
      <c r="L1007" s="5">
        <v>340652</v>
      </c>
      <c r="M1007" s="5">
        <v>19</v>
      </c>
      <c r="N1007" s="5">
        <v>1</v>
      </c>
      <c r="O1007" s="5">
        <v>5</v>
      </c>
      <c r="P1007" s="5"/>
    </row>
    <row r="1008" spans="1:16" x14ac:dyDescent="0.25">
      <c r="A1008" s="4" t="s">
        <v>21</v>
      </c>
      <c r="B1008" s="4" t="s">
        <v>344</v>
      </c>
      <c r="C1008" s="5">
        <v>39267</v>
      </c>
      <c r="D1008" s="4" t="s">
        <v>23</v>
      </c>
      <c r="E1008" s="4" t="s">
        <v>262</v>
      </c>
      <c r="F1008" s="4" t="s">
        <v>144</v>
      </c>
      <c r="G1008" s="4" t="s">
        <v>26</v>
      </c>
      <c r="H1008" s="4" t="s">
        <v>18</v>
      </c>
      <c r="I1008" s="4" t="s">
        <v>715</v>
      </c>
      <c r="J1008" s="4" t="s">
        <v>715</v>
      </c>
      <c r="K1008" s="5">
        <v>6281343</v>
      </c>
      <c r="L1008" s="5">
        <v>329699</v>
      </c>
      <c r="M1008" s="5">
        <v>19</v>
      </c>
      <c r="N1008" s="5">
        <v>1</v>
      </c>
      <c r="O1008" s="5">
        <v>0.5</v>
      </c>
      <c r="P1008" s="5"/>
    </row>
    <row r="1009" spans="1:16" x14ac:dyDescent="0.25">
      <c r="A1009" s="4" t="s">
        <v>21</v>
      </c>
      <c r="B1009" s="4" t="s">
        <v>344</v>
      </c>
      <c r="C1009" s="5">
        <v>39274</v>
      </c>
      <c r="D1009" s="4" t="s">
        <v>33</v>
      </c>
      <c r="E1009" s="4" t="s">
        <v>35</v>
      </c>
      <c r="F1009" s="4" t="s">
        <v>377</v>
      </c>
      <c r="G1009" s="4" t="s">
        <v>26</v>
      </c>
      <c r="H1009" s="4" t="s">
        <v>18</v>
      </c>
      <c r="I1009" s="4" t="s">
        <v>715</v>
      </c>
      <c r="J1009" s="4" t="s">
        <v>715</v>
      </c>
      <c r="K1009" s="5">
        <v>6131770</v>
      </c>
      <c r="L1009" s="5">
        <v>315347</v>
      </c>
      <c r="M1009" s="5">
        <v>19</v>
      </c>
      <c r="N1009" s="5">
        <v>1</v>
      </c>
      <c r="O1009" s="5">
        <v>0.5</v>
      </c>
      <c r="P1009" s="5"/>
    </row>
    <row r="1010" spans="1:16" x14ac:dyDescent="0.25">
      <c r="A1010" s="4" t="s">
        <v>21</v>
      </c>
      <c r="B1010" s="4" t="s">
        <v>344</v>
      </c>
      <c r="C1010" s="5">
        <v>39276</v>
      </c>
      <c r="D1010" s="4" t="s">
        <v>33</v>
      </c>
      <c r="E1010" s="4" t="s">
        <v>35</v>
      </c>
      <c r="F1010" s="4" t="s">
        <v>377</v>
      </c>
      <c r="G1010" s="4" t="s">
        <v>26</v>
      </c>
      <c r="H1010" s="4" t="s">
        <v>18</v>
      </c>
      <c r="I1010" s="4" t="s">
        <v>715</v>
      </c>
      <c r="J1010" s="4" t="s">
        <v>715</v>
      </c>
      <c r="K1010" s="5">
        <v>6136678</v>
      </c>
      <c r="L1010" s="5">
        <v>309566</v>
      </c>
      <c r="M1010" s="5">
        <v>19</v>
      </c>
      <c r="N1010" s="5">
        <v>1</v>
      </c>
      <c r="O1010" s="5">
        <v>0.5</v>
      </c>
      <c r="P1010" s="5"/>
    </row>
    <row r="1011" spans="1:16" x14ac:dyDescent="0.25">
      <c r="A1011" s="4" t="s">
        <v>21</v>
      </c>
      <c r="B1011" s="4" t="s">
        <v>344</v>
      </c>
      <c r="C1011" s="5">
        <v>39280</v>
      </c>
      <c r="D1011" s="4" t="s">
        <v>33</v>
      </c>
      <c r="E1011" s="4" t="s">
        <v>35</v>
      </c>
      <c r="F1011" s="4" t="s">
        <v>377</v>
      </c>
      <c r="G1011" s="4" t="s">
        <v>26</v>
      </c>
      <c r="H1011" s="4" t="s">
        <v>173</v>
      </c>
      <c r="I1011" s="4" t="s">
        <v>715</v>
      </c>
      <c r="J1011" s="4" t="s">
        <v>715</v>
      </c>
      <c r="K1011" s="5">
        <v>6132159</v>
      </c>
      <c r="L1011" s="5">
        <v>315571</v>
      </c>
      <c r="M1011" s="5">
        <v>19</v>
      </c>
      <c r="N1011" s="5">
        <v>1</v>
      </c>
      <c r="O1011" s="5">
        <v>4</v>
      </c>
      <c r="P1011" s="5"/>
    </row>
    <row r="1012" spans="1:16" x14ac:dyDescent="0.25">
      <c r="A1012" s="4" t="s">
        <v>21</v>
      </c>
      <c r="B1012" s="4" t="s">
        <v>344</v>
      </c>
      <c r="C1012" s="5">
        <v>39283</v>
      </c>
      <c r="D1012" s="4" t="s">
        <v>33</v>
      </c>
      <c r="E1012" s="4" t="s">
        <v>43</v>
      </c>
      <c r="F1012" s="4" t="s">
        <v>162</v>
      </c>
      <c r="G1012" s="4" t="s">
        <v>26</v>
      </c>
      <c r="H1012" s="4" t="s">
        <v>173</v>
      </c>
      <c r="I1012" s="4" t="s">
        <v>715</v>
      </c>
      <c r="J1012" s="4" t="s">
        <v>715</v>
      </c>
      <c r="K1012" s="5">
        <v>6070620</v>
      </c>
      <c r="L1012" s="5">
        <v>282366</v>
      </c>
      <c r="M1012" s="5">
        <v>19</v>
      </c>
      <c r="N1012" s="5">
        <v>1</v>
      </c>
      <c r="O1012" s="5">
        <v>3</v>
      </c>
      <c r="P1012" s="5"/>
    </row>
    <row r="1013" spans="1:16" x14ac:dyDescent="0.25">
      <c r="A1013" s="4" t="s">
        <v>21</v>
      </c>
      <c r="B1013" s="4" t="s">
        <v>344</v>
      </c>
      <c r="C1013" s="5">
        <v>39285</v>
      </c>
      <c r="D1013" s="4" t="s">
        <v>33</v>
      </c>
      <c r="E1013" s="4" t="s">
        <v>43</v>
      </c>
      <c r="F1013" s="4" t="s">
        <v>132</v>
      </c>
      <c r="G1013" s="4" t="s">
        <v>26</v>
      </c>
      <c r="H1013" s="4" t="s">
        <v>18</v>
      </c>
      <c r="I1013" s="4" t="s">
        <v>715</v>
      </c>
      <c r="J1013" s="4" t="s">
        <v>715</v>
      </c>
      <c r="K1013" s="5">
        <v>6062853</v>
      </c>
      <c r="L1013" s="5">
        <v>290740</v>
      </c>
      <c r="M1013" s="5">
        <v>19</v>
      </c>
      <c r="N1013" s="5">
        <v>1</v>
      </c>
      <c r="O1013" s="5">
        <v>3</v>
      </c>
      <c r="P1013" s="5"/>
    </row>
    <row r="1014" spans="1:16" x14ac:dyDescent="0.25">
      <c r="A1014" s="4" t="s">
        <v>21</v>
      </c>
      <c r="B1014" s="4" t="s">
        <v>344</v>
      </c>
      <c r="C1014" s="5">
        <v>39286</v>
      </c>
      <c r="D1014" s="4" t="s">
        <v>23</v>
      </c>
      <c r="E1014" s="4" t="s">
        <v>367</v>
      </c>
      <c r="F1014" s="4" t="s">
        <v>368</v>
      </c>
      <c r="G1014" s="4" t="s">
        <v>26</v>
      </c>
      <c r="H1014" s="4" t="s">
        <v>128</v>
      </c>
      <c r="I1014" s="4" t="s">
        <v>715</v>
      </c>
      <c r="J1014" s="4" t="s">
        <v>638</v>
      </c>
      <c r="K1014" s="5">
        <v>6281993</v>
      </c>
      <c r="L1014" s="5">
        <v>332976</v>
      </c>
      <c r="M1014" s="5">
        <v>19</v>
      </c>
      <c r="N1014" s="5">
        <v>1</v>
      </c>
      <c r="O1014" s="5">
        <v>7</v>
      </c>
      <c r="P1014" s="5"/>
    </row>
    <row r="1015" spans="1:16" x14ac:dyDescent="0.25">
      <c r="A1015" s="4" t="s">
        <v>54</v>
      </c>
      <c r="B1015" s="4" t="s">
        <v>344</v>
      </c>
      <c r="C1015" s="5">
        <v>39339</v>
      </c>
      <c r="D1015" s="4" t="s">
        <v>23</v>
      </c>
      <c r="E1015" s="4" t="s">
        <v>409</v>
      </c>
      <c r="F1015" s="4" t="s">
        <v>409</v>
      </c>
      <c r="G1015" s="4" t="s">
        <v>57</v>
      </c>
      <c r="H1015" s="4" t="s">
        <v>641</v>
      </c>
      <c r="I1015" s="4" t="s">
        <v>715</v>
      </c>
      <c r="J1015" s="4" t="s">
        <v>715</v>
      </c>
      <c r="K1015" s="5">
        <v>6272229</v>
      </c>
      <c r="L1015" s="5">
        <v>314157</v>
      </c>
      <c r="M1015" s="5">
        <v>19</v>
      </c>
      <c r="N1015" s="5">
        <v>1</v>
      </c>
      <c r="O1015" s="5">
        <v>0.3</v>
      </c>
      <c r="P1015" s="5"/>
    </row>
    <row r="1016" spans="1:16" x14ac:dyDescent="0.25">
      <c r="A1016" s="4" t="s">
        <v>54</v>
      </c>
      <c r="B1016" s="4" t="s">
        <v>344</v>
      </c>
      <c r="C1016" s="5">
        <v>39412</v>
      </c>
      <c r="D1016" s="4" t="s">
        <v>37</v>
      </c>
      <c r="E1016" s="4" t="s">
        <v>38</v>
      </c>
      <c r="F1016" s="4" t="s">
        <v>289</v>
      </c>
      <c r="G1016" s="4" t="s">
        <v>26</v>
      </c>
      <c r="H1016" s="4" t="s">
        <v>641</v>
      </c>
      <c r="I1016" s="4" t="s">
        <v>715</v>
      </c>
      <c r="J1016" s="4" t="s">
        <v>715</v>
      </c>
      <c r="K1016" s="5">
        <v>6170277</v>
      </c>
      <c r="L1016" s="5">
        <v>322055</v>
      </c>
      <c r="M1016" s="5">
        <v>19</v>
      </c>
      <c r="N1016" s="5">
        <v>1</v>
      </c>
      <c r="O1016" s="5">
        <v>2.5</v>
      </c>
      <c r="P1016" s="5"/>
    </row>
    <row r="1017" spans="1:16" x14ac:dyDescent="0.25">
      <c r="A1017" s="4" t="s">
        <v>54</v>
      </c>
      <c r="B1017" s="4" t="s">
        <v>344</v>
      </c>
      <c r="C1017" s="5">
        <v>39426</v>
      </c>
      <c r="D1017" s="4" t="s">
        <v>23</v>
      </c>
      <c r="E1017" s="4" t="s">
        <v>25</v>
      </c>
      <c r="F1017" s="4" t="s">
        <v>345</v>
      </c>
      <c r="G1017" s="4" t="s">
        <v>57</v>
      </c>
      <c r="H1017" s="4" t="s">
        <v>641</v>
      </c>
      <c r="I1017" s="4" t="s">
        <v>715</v>
      </c>
      <c r="J1017" s="4" t="s">
        <v>715</v>
      </c>
      <c r="K1017" s="5">
        <v>6271224</v>
      </c>
      <c r="L1017" s="5">
        <v>300361</v>
      </c>
      <c r="M1017" s="5">
        <v>19</v>
      </c>
      <c r="N1017" s="5">
        <v>1</v>
      </c>
      <c r="O1017" s="5">
        <v>1.1200000000000001</v>
      </c>
      <c r="P1017" s="5"/>
    </row>
    <row r="1018" spans="1:16" x14ac:dyDescent="0.25">
      <c r="A1018" s="4" t="s">
        <v>21</v>
      </c>
      <c r="B1018" s="4" t="s">
        <v>344</v>
      </c>
      <c r="C1018" s="5">
        <v>39503</v>
      </c>
      <c r="D1018" s="4" t="s">
        <v>23</v>
      </c>
      <c r="E1018" s="4" t="s">
        <v>356</v>
      </c>
      <c r="F1018" s="4" t="s">
        <v>356</v>
      </c>
      <c r="G1018" s="4" t="s">
        <v>26</v>
      </c>
      <c r="H1018" s="4" t="s">
        <v>27</v>
      </c>
      <c r="I1018" s="4" t="s">
        <v>715</v>
      </c>
      <c r="J1018" s="4" t="s">
        <v>715</v>
      </c>
      <c r="K1018" s="5">
        <v>6257420</v>
      </c>
      <c r="L1018" s="5">
        <v>340097</v>
      </c>
      <c r="M1018" s="5">
        <v>19</v>
      </c>
      <c r="N1018" s="5">
        <v>1</v>
      </c>
      <c r="O1018" s="5">
        <v>6</v>
      </c>
      <c r="P1018" s="5"/>
    </row>
    <row r="1019" spans="1:16" x14ac:dyDescent="0.25">
      <c r="A1019" s="4" t="s">
        <v>21</v>
      </c>
      <c r="B1019" s="4" t="s">
        <v>344</v>
      </c>
      <c r="C1019" s="5">
        <v>39505</v>
      </c>
      <c r="D1019" s="4" t="s">
        <v>23</v>
      </c>
      <c r="E1019" s="4" t="s">
        <v>356</v>
      </c>
      <c r="F1019" s="4" t="s">
        <v>360</v>
      </c>
      <c r="G1019" s="4" t="s">
        <v>26</v>
      </c>
      <c r="H1019" s="4" t="s">
        <v>128</v>
      </c>
      <c r="I1019" s="4" t="s">
        <v>715</v>
      </c>
      <c r="J1019" s="4" t="s">
        <v>638</v>
      </c>
      <c r="K1019" s="5">
        <v>6247060</v>
      </c>
      <c r="L1019" s="5">
        <v>337412</v>
      </c>
      <c r="M1019" s="5">
        <v>19</v>
      </c>
      <c r="N1019" s="5">
        <v>1</v>
      </c>
      <c r="O1019" s="5">
        <v>7</v>
      </c>
      <c r="P1019" s="5"/>
    </row>
    <row r="1020" spans="1:16" x14ac:dyDescent="0.25">
      <c r="A1020" s="4" t="s">
        <v>21</v>
      </c>
      <c r="B1020" s="4" t="s">
        <v>344</v>
      </c>
      <c r="C1020" s="5">
        <v>39507</v>
      </c>
      <c r="D1020" s="4" t="s">
        <v>23</v>
      </c>
      <c r="E1020" s="4" t="s">
        <v>356</v>
      </c>
      <c r="F1020" s="4" t="s">
        <v>360</v>
      </c>
      <c r="G1020" s="4" t="s">
        <v>26</v>
      </c>
      <c r="H1020" s="4" t="s">
        <v>128</v>
      </c>
      <c r="I1020" s="4" t="s">
        <v>715</v>
      </c>
      <c r="J1020" s="4" t="s">
        <v>638</v>
      </c>
      <c r="K1020" s="5">
        <v>6247190</v>
      </c>
      <c r="L1020" s="5">
        <v>337727</v>
      </c>
      <c r="M1020" s="5">
        <v>19</v>
      </c>
      <c r="N1020" s="5">
        <v>1</v>
      </c>
      <c r="O1020" s="5">
        <v>6</v>
      </c>
      <c r="P1020" s="5"/>
    </row>
    <row r="1021" spans="1:16" x14ac:dyDescent="0.25">
      <c r="A1021" s="4" t="s">
        <v>21</v>
      </c>
      <c r="B1021" s="4" t="s">
        <v>344</v>
      </c>
      <c r="C1021" s="5">
        <v>39508</v>
      </c>
      <c r="D1021" s="4" t="s">
        <v>23</v>
      </c>
      <c r="E1021" s="4" t="s">
        <v>356</v>
      </c>
      <c r="F1021" s="4" t="s">
        <v>360</v>
      </c>
      <c r="G1021" s="4" t="s">
        <v>26</v>
      </c>
      <c r="H1021" s="4" t="s">
        <v>128</v>
      </c>
      <c r="I1021" s="4" t="s">
        <v>715</v>
      </c>
      <c r="J1021" s="4" t="s">
        <v>638</v>
      </c>
      <c r="K1021" s="5">
        <v>6247749</v>
      </c>
      <c r="L1021" s="5">
        <v>338529</v>
      </c>
      <c r="M1021" s="5">
        <v>19</v>
      </c>
      <c r="N1021" s="5">
        <v>1</v>
      </c>
      <c r="O1021" s="5">
        <v>0.4</v>
      </c>
      <c r="P1021" s="5"/>
    </row>
    <row r="1022" spans="1:16" x14ac:dyDescent="0.25">
      <c r="A1022" s="4" t="s">
        <v>21</v>
      </c>
      <c r="B1022" s="4" t="s">
        <v>344</v>
      </c>
      <c r="C1022" s="5">
        <v>39510</v>
      </c>
      <c r="D1022" s="4" t="s">
        <v>23</v>
      </c>
      <c r="E1022" s="4" t="s">
        <v>356</v>
      </c>
      <c r="F1022" s="4" t="s">
        <v>410</v>
      </c>
      <c r="G1022" s="4" t="s">
        <v>26</v>
      </c>
      <c r="H1022" s="4" t="s">
        <v>173</v>
      </c>
      <c r="I1022" s="4" t="s">
        <v>715</v>
      </c>
      <c r="J1022" s="4" t="s">
        <v>715</v>
      </c>
      <c r="K1022" s="5">
        <v>6258427</v>
      </c>
      <c r="L1022" s="5">
        <v>339656</v>
      </c>
      <c r="M1022" s="5">
        <v>19</v>
      </c>
      <c r="N1022" s="5">
        <v>1</v>
      </c>
      <c r="O1022" s="5">
        <v>12</v>
      </c>
      <c r="P1022" s="5"/>
    </row>
    <row r="1023" spans="1:16" x14ac:dyDescent="0.25">
      <c r="A1023" s="4" t="s">
        <v>21</v>
      </c>
      <c r="B1023" s="4" t="s">
        <v>344</v>
      </c>
      <c r="C1023" s="5">
        <v>39511</v>
      </c>
      <c r="D1023" s="4" t="s">
        <v>23</v>
      </c>
      <c r="E1023" s="4" t="s">
        <v>356</v>
      </c>
      <c r="F1023" s="4" t="s">
        <v>360</v>
      </c>
      <c r="G1023" s="4" t="s">
        <v>26</v>
      </c>
      <c r="H1023" s="4" t="s">
        <v>18</v>
      </c>
      <c r="I1023" s="4" t="s">
        <v>715</v>
      </c>
      <c r="J1023" s="4" t="s">
        <v>715</v>
      </c>
      <c r="K1023" s="5">
        <v>6247749</v>
      </c>
      <c r="L1023" s="5">
        <v>338529</v>
      </c>
      <c r="M1023" s="5">
        <v>19</v>
      </c>
      <c r="N1023" s="5">
        <v>1</v>
      </c>
      <c r="O1023" s="5">
        <v>0.4</v>
      </c>
      <c r="P1023" s="5"/>
    </row>
    <row r="1024" spans="1:16" x14ac:dyDescent="0.25">
      <c r="A1024" s="4" t="s">
        <v>21</v>
      </c>
      <c r="B1024" s="4" t="s">
        <v>344</v>
      </c>
      <c r="C1024" s="5">
        <v>39516</v>
      </c>
      <c r="D1024" s="4" t="s">
        <v>23</v>
      </c>
      <c r="E1024" s="4" t="s">
        <v>356</v>
      </c>
      <c r="F1024" s="4" t="s">
        <v>411</v>
      </c>
      <c r="G1024" s="4" t="s">
        <v>26</v>
      </c>
      <c r="H1024" s="4" t="s">
        <v>18</v>
      </c>
      <c r="I1024" s="4" t="s">
        <v>715</v>
      </c>
      <c r="J1024" s="4" t="s">
        <v>715</v>
      </c>
      <c r="K1024" s="5">
        <v>6261047</v>
      </c>
      <c r="L1024" s="5">
        <v>340083</v>
      </c>
      <c r="M1024" s="5">
        <v>19</v>
      </c>
      <c r="N1024" s="5">
        <v>1</v>
      </c>
      <c r="O1024" s="5">
        <v>14</v>
      </c>
      <c r="P1024" s="5"/>
    </row>
    <row r="1025" spans="1:16" x14ac:dyDescent="0.25">
      <c r="A1025" s="4" t="s">
        <v>21</v>
      </c>
      <c r="B1025" s="4" t="s">
        <v>344</v>
      </c>
      <c r="C1025" s="5">
        <v>39566</v>
      </c>
      <c r="D1025" s="4" t="s">
        <v>23</v>
      </c>
      <c r="E1025" s="4" t="s">
        <v>356</v>
      </c>
      <c r="F1025" s="4" t="s">
        <v>356</v>
      </c>
      <c r="G1025" s="4" t="s">
        <v>26</v>
      </c>
      <c r="H1025" s="4" t="s">
        <v>18</v>
      </c>
      <c r="I1025" s="4" t="s">
        <v>715</v>
      </c>
      <c r="J1025" s="4" t="s">
        <v>715</v>
      </c>
      <c r="K1025" s="5">
        <v>6247858</v>
      </c>
      <c r="L1025" s="5">
        <v>348635</v>
      </c>
      <c r="M1025" s="5">
        <v>19</v>
      </c>
      <c r="N1025" s="5">
        <v>1</v>
      </c>
      <c r="O1025" s="5">
        <v>0.5</v>
      </c>
      <c r="P1025" s="5"/>
    </row>
    <row r="1026" spans="1:16" x14ac:dyDescent="0.25">
      <c r="A1026" s="4" t="s">
        <v>54</v>
      </c>
      <c r="B1026" s="4" t="s">
        <v>412</v>
      </c>
      <c r="C1026" s="5">
        <v>36609</v>
      </c>
      <c r="D1026" s="4" t="s">
        <v>97</v>
      </c>
      <c r="E1026" s="4" t="s">
        <v>413</v>
      </c>
      <c r="F1026" s="4" t="s">
        <v>414</v>
      </c>
      <c r="G1026" s="4" t="s">
        <v>57</v>
      </c>
      <c r="H1026" s="4" t="s">
        <v>641</v>
      </c>
      <c r="I1026" s="4" t="s">
        <v>642</v>
      </c>
      <c r="J1026" s="4" t="s">
        <v>642</v>
      </c>
      <c r="K1026" s="5">
        <v>5657812</v>
      </c>
      <c r="L1026" s="5">
        <v>717075</v>
      </c>
      <c r="M1026" s="5">
        <v>18</v>
      </c>
      <c r="N1026" s="5">
        <v>1</v>
      </c>
      <c r="O1026" s="5">
        <v>1.5</v>
      </c>
      <c r="P1026" s="5"/>
    </row>
    <row r="1027" spans="1:16" x14ac:dyDescent="0.25">
      <c r="A1027" s="4" t="s">
        <v>54</v>
      </c>
      <c r="B1027" s="4" t="s">
        <v>412</v>
      </c>
      <c r="C1027" s="5">
        <v>36610</v>
      </c>
      <c r="D1027" s="4" t="s">
        <v>97</v>
      </c>
      <c r="E1027" s="4" t="s">
        <v>413</v>
      </c>
      <c r="F1027" s="4" t="s">
        <v>414</v>
      </c>
      <c r="G1027" s="4" t="s">
        <v>57</v>
      </c>
      <c r="H1027" s="4" t="s">
        <v>641</v>
      </c>
      <c r="I1027" s="4" t="s">
        <v>642</v>
      </c>
      <c r="J1027" s="4" t="s">
        <v>642</v>
      </c>
      <c r="K1027" s="5">
        <v>5657456</v>
      </c>
      <c r="L1027" s="5">
        <v>718947</v>
      </c>
      <c r="M1027" s="5">
        <v>18</v>
      </c>
      <c r="N1027" s="5">
        <v>1</v>
      </c>
      <c r="O1027" s="5">
        <v>0.5</v>
      </c>
      <c r="P1027" s="5"/>
    </row>
    <row r="1028" spans="1:16" x14ac:dyDescent="0.25">
      <c r="A1028" s="4" t="s">
        <v>13</v>
      </c>
      <c r="B1028" s="4" t="s">
        <v>415</v>
      </c>
      <c r="C1028" s="5">
        <v>35449</v>
      </c>
      <c r="D1028" s="4" t="s">
        <v>15</v>
      </c>
      <c r="E1028" s="4" t="s">
        <v>258</v>
      </c>
      <c r="F1028" s="4" t="s">
        <v>277</v>
      </c>
      <c r="G1028" s="4" t="s">
        <v>416</v>
      </c>
      <c r="H1028" s="4" t="s">
        <v>27</v>
      </c>
      <c r="I1028" s="4" t="s">
        <v>715</v>
      </c>
      <c r="J1028" s="4" t="s">
        <v>638</v>
      </c>
      <c r="K1028" s="5">
        <v>6367619</v>
      </c>
      <c r="L1028" s="5">
        <v>314789</v>
      </c>
      <c r="M1028" s="5">
        <v>19</v>
      </c>
      <c r="N1028" s="5">
        <v>1</v>
      </c>
      <c r="O1028" s="5">
        <v>3.7</v>
      </c>
      <c r="P1028" s="5"/>
    </row>
    <row r="1029" spans="1:16" x14ac:dyDescent="0.25">
      <c r="A1029" s="4" t="s">
        <v>21</v>
      </c>
      <c r="B1029" s="4" t="s">
        <v>415</v>
      </c>
      <c r="C1029" s="5">
        <v>35725</v>
      </c>
      <c r="D1029" s="4" t="s">
        <v>58</v>
      </c>
      <c r="E1029" s="4" t="s">
        <v>105</v>
      </c>
      <c r="F1029" s="4" t="s">
        <v>417</v>
      </c>
      <c r="G1029" s="4" t="s">
        <v>57</v>
      </c>
      <c r="H1029" s="4" t="s">
        <v>27</v>
      </c>
      <c r="I1029" s="4" t="s">
        <v>715</v>
      </c>
      <c r="J1029" s="4" t="s">
        <v>638</v>
      </c>
      <c r="K1029" s="5">
        <v>5939726</v>
      </c>
      <c r="L1029" s="5">
        <v>236824</v>
      </c>
      <c r="M1029" s="5">
        <v>19</v>
      </c>
      <c r="N1029" s="5">
        <v>1</v>
      </c>
      <c r="O1029" s="5">
        <v>35</v>
      </c>
      <c r="P1029" s="5"/>
    </row>
    <row r="1030" spans="1:16" x14ac:dyDescent="0.25">
      <c r="A1030" s="4" t="s">
        <v>21</v>
      </c>
      <c r="B1030" s="4" t="s">
        <v>415</v>
      </c>
      <c r="C1030" s="5">
        <v>35726</v>
      </c>
      <c r="D1030" s="4" t="s">
        <v>33</v>
      </c>
      <c r="E1030" s="4" t="s">
        <v>118</v>
      </c>
      <c r="F1030" s="4" t="s">
        <v>118</v>
      </c>
      <c r="G1030" s="4" t="s">
        <v>57</v>
      </c>
      <c r="H1030" s="4" t="s">
        <v>27</v>
      </c>
      <c r="I1030" s="4" t="s">
        <v>715</v>
      </c>
      <c r="J1030" s="4" t="s">
        <v>638</v>
      </c>
      <c r="K1030" s="5">
        <v>6022109</v>
      </c>
      <c r="L1030" s="5">
        <v>265995</v>
      </c>
      <c r="M1030" s="5">
        <v>19</v>
      </c>
      <c r="N1030" s="5">
        <v>1</v>
      </c>
      <c r="O1030" s="5">
        <v>20</v>
      </c>
      <c r="P1030" s="5"/>
    </row>
    <row r="1031" spans="1:16" x14ac:dyDescent="0.25">
      <c r="A1031" s="4" t="s">
        <v>21</v>
      </c>
      <c r="B1031" s="4" t="s">
        <v>415</v>
      </c>
      <c r="C1031" s="5">
        <v>35727</v>
      </c>
      <c r="D1031" s="4" t="s">
        <v>58</v>
      </c>
      <c r="E1031" s="4" t="s">
        <v>188</v>
      </c>
      <c r="F1031" s="4" t="s">
        <v>188</v>
      </c>
      <c r="G1031" s="4" t="s">
        <v>57</v>
      </c>
      <c r="H1031" s="4" t="s">
        <v>27</v>
      </c>
      <c r="I1031" s="4" t="s">
        <v>715</v>
      </c>
      <c r="J1031" s="4" t="s">
        <v>638</v>
      </c>
      <c r="K1031" s="5">
        <v>5832112</v>
      </c>
      <c r="L1031" s="5">
        <v>733681</v>
      </c>
      <c r="M1031" s="5">
        <v>18</v>
      </c>
      <c r="N1031" s="5">
        <v>1</v>
      </c>
      <c r="O1031" s="5">
        <v>40</v>
      </c>
      <c r="P1031" s="5"/>
    </row>
    <row r="1032" spans="1:16" x14ac:dyDescent="0.25">
      <c r="A1032" s="4" t="s">
        <v>13</v>
      </c>
      <c r="B1032" s="4" t="s">
        <v>415</v>
      </c>
      <c r="C1032" s="5">
        <v>35739</v>
      </c>
      <c r="D1032" s="4" t="s">
        <v>33</v>
      </c>
      <c r="E1032" s="4" t="s">
        <v>418</v>
      </c>
      <c r="F1032" s="4" t="s">
        <v>418</v>
      </c>
      <c r="G1032" s="4" t="s">
        <v>26</v>
      </c>
      <c r="H1032" s="4" t="s">
        <v>27</v>
      </c>
      <c r="I1032" s="4" t="s">
        <v>715</v>
      </c>
      <c r="J1032" s="4" t="s">
        <v>638</v>
      </c>
      <c r="K1032" s="5">
        <v>6114755</v>
      </c>
      <c r="L1032" s="5">
        <v>251213</v>
      </c>
      <c r="M1032" s="5">
        <v>19</v>
      </c>
      <c r="N1032" s="5">
        <v>1</v>
      </c>
      <c r="O1032" s="5">
        <v>5</v>
      </c>
      <c r="P1032" s="5"/>
    </row>
    <row r="1033" spans="1:16" x14ac:dyDescent="0.25">
      <c r="A1033" s="4" t="s">
        <v>13</v>
      </c>
      <c r="B1033" s="4" t="s">
        <v>415</v>
      </c>
      <c r="C1033" s="5">
        <v>35740</v>
      </c>
      <c r="D1033" s="4" t="s">
        <v>33</v>
      </c>
      <c r="E1033" s="4" t="s">
        <v>418</v>
      </c>
      <c r="F1033" s="4" t="s">
        <v>418</v>
      </c>
      <c r="G1033" s="4" t="s">
        <v>26</v>
      </c>
      <c r="H1033" s="4" t="s">
        <v>27</v>
      </c>
      <c r="I1033" s="4" t="s">
        <v>715</v>
      </c>
      <c r="J1033" s="4" t="s">
        <v>638</v>
      </c>
      <c r="K1033" s="5">
        <v>6112619</v>
      </c>
      <c r="L1033" s="5">
        <v>251454</v>
      </c>
      <c r="M1033" s="5">
        <v>19</v>
      </c>
      <c r="N1033" s="5">
        <v>1</v>
      </c>
      <c r="O1033" s="5">
        <v>15</v>
      </c>
      <c r="P1033" s="5"/>
    </row>
    <row r="1034" spans="1:16" x14ac:dyDescent="0.25">
      <c r="A1034" s="4" t="s">
        <v>54</v>
      </c>
      <c r="B1034" s="4" t="s">
        <v>415</v>
      </c>
      <c r="C1034" s="5">
        <v>36176</v>
      </c>
      <c r="D1034" s="4" t="s">
        <v>23</v>
      </c>
      <c r="E1034" s="4" t="s">
        <v>409</v>
      </c>
      <c r="F1034" s="4" t="s">
        <v>409</v>
      </c>
      <c r="G1034" s="4" t="s">
        <v>26</v>
      </c>
      <c r="H1034" s="4" t="s">
        <v>641</v>
      </c>
      <c r="I1034" s="4" t="s">
        <v>715</v>
      </c>
      <c r="J1034" s="4" t="s">
        <v>715</v>
      </c>
      <c r="K1034" s="5">
        <v>6273187</v>
      </c>
      <c r="L1034" s="5">
        <v>316707</v>
      </c>
      <c r="M1034" s="5">
        <v>19</v>
      </c>
      <c r="N1034" s="5">
        <v>1</v>
      </c>
      <c r="O1034" s="5">
        <v>0.17</v>
      </c>
      <c r="P1034" s="5"/>
    </row>
    <row r="1035" spans="1:16" x14ac:dyDescent="0.25">
      <c r="A1035" s="4" t="s">
        <v>21</v>
      </c>
      <c r="B1035" s="4" t="s">
        <v>415</v>
      </c>
      <c r="C1035" s="5">
        <v>36406</v>
      </c>
      <c r="D1035" s="4" t="s">
        <v>33</v>
      </c>
      <c r="E1035" s="4" t="s">
        <v>34</v>
      </c>
      <c r="F1035" s="4" t="s">
        <v>419</v>
      </c>
      <c r="G1035" s="4" t="s">
        <v>26</v>
      </c>
      <c r="H1035" s="4" t="s">
        <v>27</v>
      </c>
      <c r="I1035" s="4" t="s">
        <v>715</v>
      </c>
      <c r="J1035" s="4" t="s">
        <v>638</v>
      </c>
      <c r="K1035" s="5">
        <v>6116853</v>
      </c>
      <c r="L1035" s="5">
        <v>302670</v>
      </c>
      <c r="M1035" s="5">
        <v>19</v>
      </c>
      <c r="N1035" s="5">
        <v>1</v>
      </c>
      <c r="O1035" s="5">
        <v>24</v>
      </c>
      <c r="P1035" s="5"/>
    </row>
    <row r="1036" spans="1:16" x14ac:dyDescent="0.25">
      <c r="A1036" s="4" t="s">
        <v>21</v>
      </c>
      <c r="B1036" s="4" t="s">
        <v>415</v>
      </c>
      <c r="C1036" s="5">
        <v>36415</v>
      </c>
      <c r="D1036" s="4" t="s">
        <v>33</v>
      </c>
      <c r="E1036" s="4" t="s">
        <v>34</v>
      </c>
      <c r="F1036" s="4" t="s">
        <v>419</v>
      </c>
      <c r="G1036" s="4" t="s">
        <v>26</v>
      </c>
      <c r="H1036" s="4" t="s">
        <v>27</v>
      </c>
      <c r="I1036" s="4" t="s">
        <v>715</v>
      </c>
      <c r="J1036" s="4" t="s">
        <v>638</v>
      </c>
      <c r="K1036" s="5">
        <v>6116853</v>
      </c>
      <c r="L1036" s="5">
        <v>302670</v>
      </c>
      <c r="M1036" s="5">
        <v>19</v>
      </c>
      <c r="N1036" s="5">
        <v>1</v>
      </c>
      <c r="O1036" s="5">
        <v>30</v>
      </c>
      <c r="P1036" s="5"/>
    </row>
    <row r="1037" spans="1:16" x14ac:dyDescent="0.25">
      <c r="A1037" s="4" t="s">
        <v>13</v>
      </c>
      <c r="B1037" s="4" t="s">
        <v>415</v>
      </c>
      <c r="C1037" s="5">
        <v>36534</v>
      </c>
      <c r="D1037" s="4" t="s">
        <v>33</v>
      </c>
      <c r="E1037" s="4" t="s">
        <v>118</v>
      </c>
      <c r="F1037" s="4" t="s">
        <v>118</v>
      </c>
      <c r="G1037" s="4" t="s">
        <v>26</v>
      </c>
      <c r="H1037" s="4" t="s">
        <v>27</v>
      </c>
      <c r="I1037" s="4" t="s">
        <v>715</v>
      </c>
      <c r="J1037" s="4" t="s">
        <v>638</v>
      </c>
      <c r="K1037" s="5">
        <v>6031938</v>
      </c>
      <c r="L1037" s="5">
        <v>268980</v>
      </c>
      <c r="M1037" s="5">
        <v>19</v>
      </c>
      <c r="N1037" s="5">
        <v>1</v>
      </c>
      <c r="O1037" s="5">
        <v>11</v>
      </c>
      <c r="P1037" s="5"/>
    </row>
    <row r="1038" spans="1:16" x14ac:dyDescent="0.25">
      <c r="A1038" s="4" t="s">
        <v>54</v>
      </c>
      <c r="B1038" s="4" t="s">
        <v>415</v>
      </c>
      <c r="C1038" s="5">
        <v>36611</v>
      </c>
      <c r="D1038" s="4" t="s">
        <v>23</v>
      </c>
      <c r="E1038" s="4" t="s">
        <v>409</v>
      </c>
      <c r="F1038" s="4" t="s">
        <v>409</v>
      </c>
      <c r="G1038" s="4" t="s">
        <v>420</v>
      </c>
      <c r="H1038" s="4" t="s">
        <v>641</v>
      </c>
      <c r="I1038" s="4" t="s">
        <v>715</v>
      </c>
      <c r="J1038" s="4" t="s">
        <v>715</v>
      </c>
      <c r="K1038" s="5">
        <v>6272503</v>
      </c>
      <c r="L1038" s="5">
        <v>316738</v>
      </c>
      <c r="M1038" s="5">
        <v>19</v>
      </c>
      <c r="N1038" s="5">
        <v>1</v>
      </c>
      <c r="O1038" s="5">
        <v>0.1</v>
      </c>
      <c r="P1038" s="5"/>
    </row>
    <row r="1039" spans="1:16" x14ac:dyDescent="0.25">
      <c r="A1039" s="4" t="s">
        <v>13</v>
      </c>
      <c r="B1039" s="4" t="s">
        <v>415</v>
      </c>
      <c r="C1039" s="5">
        <v>37297</v>
      </c>
      <c r="D1039" s="4" t="s">
        <v>33</v>
      </c>
      <c r="E1039" s="4" t="s">
        <v>66</v>
      </c>
      <c r="F1039" s="4" t="s">
        <v>66</v>
      </c>
      <c r="G1039" s="4" t="s">
        <v>26</v>
      </c>
      <c r="H1039" s="4" t="s">
        <v>27</v>
      </c>
      <c r="I1039" s="4" t="s">
        <v>715</v>
      </c>
      <c r="J1039" s="4" t="s">
        <v>638</v>
      </c>
      <c r="K1039" s="5">
        <v>6065882</v>
      </c>
      <c r="L1039" s="5">
        <v>265686</v>
      </c>
      <c r="M1039" s="5">
        <v>19</v>
      </c>
      <c r="N1039" s="5">
        <v>1</v>
      </c>
      <c r="O1039" s="5">
        <v>30</v>
      </c>
      <c r="P1039" s="5"/>
    </row>
    <row r="1040" spans="1:16" x14ac:dyDescent="0.25">
      <c r="A1040" s="4" t="s">
        <v>13</v>
      </c>
      <c r="B1040" s="4" t="s">
        <v>415</v>
      </c>
      <c r="C1040" s="5">
        <v>37302</v>
      </c>
      <c r="D1040" s="4" t="s">
        <v>33</v>
      </c>
      <c r="E1040" s="4" t="s">
        <v>180</v>
      </c>
      <c r="F1040" s="4" t="s">
        <v>180</v>
      </c>
      <c r="G1040" s="4" t="s">
        <v>26</v>
      </c>
      <c r="H1040" s="4" t="s">
        <v>27</v>
      </c>
      <c r="I1040" s="4" t="s">
        <v>715</v>
      </c>
      <c r="J1040" s="4" t="s">
        <v>638</v>
      </c>
      <c r="K1040" s="5">
        <v>5974843</v>
      </c>
      <c r="L1040" s="5">
        <v>257295</v>
      </c>
      <c r="M1040" s="5">
        <v>19</v>
      </c>
      <c r="N1040" s="5">
        <v>1</v>
      </c>
      <c r="O1040" s="5">
        <v>13</v>
      </c>
      <c r="P1040" s="5"/>
    </row>
    <row r="1041" spans="1:16" x14ac:dyDescent="0.25">
      <c r="A1041" s="4" t="s">
        <v>13</v>
      </c>
      <c r="B1041" s="4" t="s">
        <v>415</v>
      </c>
      <c r="C1041" s="5">
        <v>37321</v>
      </c>
      <c r="D1041" s="4" t="s">
        <v>33</v>
      </c>
      <c r="E1041" s="4" t="s">
        <v>70</v>
      </c>
      <c r="F1041" s="4" t="s">
        <v>70</v>
      </c>
      <c r="G1041" s="4" t="s">
        <v>26</v>
      </c>
      <c r="H1041" s="4" t="s">
        <v>27</v>
      </c>
      <c r="I1041" s="4" t="s">
        <v>715</v>
      </c>
      <c r="J1041" s="4" t="s">
        <v>715</v>
      </c>
      <c r="K1041" s="5">
        <v>6017443</v>
      </c>
      <c r="L1041" s="5">
        <v>254723</v>
      </c>
      <c r="M1041" s="5">
        <v>19</v>
      </c>
      <c r="N1041" s="5">
        <v>1</v>
      </c>
      <c r="O1041" s="5">
        <v>23</v>
      </c>
      <c r="P1041" s="5"/>
    </row>
    <row r="1042" spans="1:16" x14ac:dyDescent="0.25">
      <c r="A1042" s="4" t="s">
        <v>13</v>
      </c>
      <c r="B1042" s="4" t="s">
        <v>415</v>
      </c>
      <c r="C1042" s="5">
        <v>37323</v>
      </c>
      <c r="D1042" s="4" t="s">
        <v>23</v>
      </c>
      <c r="E1042" s="4" t="s">
        <v>363</v>
      </c>
      <c r="F1042" s="4" t="s">
        <v>363</v>
      </c>
      <c r="G1042" s="4" t="s">
        <v>26</v>
      </c>
      <c r="H1042" s="4" t="s">
        <v>27</v>
      </c>
      <c r="I1042" s="4" t="s">
        <v>715</v>
      </c>
      <c r="J1042" s="4" t="s">
        <v>715</v>
      </c>
      <c r="K1042" s="5">
        <v>6279962</v>
      </c>
      <c r="L1042" s="5">
        <v>348659</v>
      </c>
      <c r="M1042" s="5">
        <v>19</v>
      </c>
      <c r="N1042" s="5">
        <v>1</v>
      </c>
      <c r="O1042" s="5">
        <v>1</v>
      </c>
      <c r="P1042" s="5"/>
    </row>
    <row r="1043" spans="1:16" x14ac:dyDescent="0.25">
      <c r="A1043" s="4" t="s">
        <v>13</v>
      </c>
      <c r="B1043" s="4" t="s">
        <v>415</v>
      </c>
      <c r="C1043" s="5">
        <v>37325</v>
      </c>
      <c r="D1043" s="4" t="s">
        <v>33</v>
      </c>
      <c r="E1043" s="4" t="s">
        <v>34</v>
      </c>
      <c r="F1043" s="4" t="s">
        <v>419</v>
      </c>
      <c r="G1043" s="4" t="s">
        <v>26</v>
      </c>
      <c r="H1043" s="4" t="s">
        <v>27</v>
      </c>
      <c r="I1043" s="4" t="s">
        <v>715</v>
      </c>
      <c r="J1043" s="4" t="s">
        <v>715</v>
      </c>
      <c r="K1043" s="5">
        <v>6121841</v>
      </c>
      <c r="L1043" s="5">
        <v>298940</v>
      </c>
      <c r="M1043" s="5">
        <v>19</v>
      </c>
      <c r="N1043" s="5">
        <v>1</v>
      </c>
      <c r="O1043" s="5">
        <v>5</v>
      </c>
      <c r="P1043" s="5"/>
    </row>
    <row r="1044" spans="1:16" x14ac:dyDescent="0.25">
      <c r="A1044" s="4" t="s">
        <v>13</v>
      </c>
      <c r="B1044" s="4" t="s">
        <v>415</v>
      </c>
      <c r="C1044" s="5">
        <v>37372</v>
      </c>
      <c r="D1044" s="4" t="s">
        <v>33</v>
      </c>
      <c r="E1044" s="4" t="s">
        <v>137</v>
      </c>
      <c r="F1044" s="4" t="s">
        <v>137</v>
      </c>
      <c r="G1044" s="4" t="s">
        <v>26</v>
      </c>
      <c r="H1044" s="4" t="s">
        <v>27</v>
      </c>
      <c r="I1044" s="4" t="s">
        <v>715</v>
      </c>
      <c r="J1044" s="4" t="s">
        <v>715</v>
      </c>
      <c r="K1044" s="5">
        <v>6042551</v>
      </c>
      <c r="L1044" s="5">
        <v>270303</v>
      </c>
      <c r="M1044" s="5">
        <v>19</v>
      </c>
      <c r="N1044" s="5">
        <v>1</v>
      </c>
      <c r="O1044" s="5">
        <v>17</v>
      </c>
      <c r="P1044" s="5"/>
    </row>
    <row r="1045" spans="1:16" x14ac:dyDescent="0.25">
      <c r="A1045" s="4" t="s">
        <v>13</v>
      </c>
      <c r="B1045" s="4" t="s">
        <v>415</v>
      </c>
      <c r="C1045" s="5">
        <v>37373</v>
      </c>
      <c r="D1045" s="4" t="s">
        <v>33</v>
      </c>
      <c r="E1045" s="4" t="s">
        <v>137</v>
      </c>
      <c r="F1045" s="4" t="s">
        <v>137</v>
      </c>
      <c r="G1045" s="4" t="s">
        <v>26</v>
      </c>
      <c r="H1045" s="4" t="s">
        <v>27</v>
      </c>
      <c r="I1045" s="4" t="s">
        <v>715</v>
      </c>
      <c r="J1045" s="4" t="s">
        <v>638</v>
      </c>
      <c r="K1045" s="5">
        <v>6040446</v>
      </c>
      <c r="L1045" s="5">
        <v>276926</v>
      </c>
      <c r="M1045" s="5">
        <v>19</v>
      </c>
      <c r="N1045" s="5">
        <v>1</v>
      </c>
      <c r="O1045" s="5">
        <v>22</v>
      </c>
      <c r="P1045" s="5"/>
    </row>
    <row r="1046" spans="1:16" x14ac:dyDescent="0.25">
      <c r="A1046" s="4" t="s">
        <v>21</v>
      </c>
      <c r="B1046" s="4" t="s">
        <v>415</v>
      </c>
      <c r="C1046" s="5">
        <v>37384</v>
      </c>
      <c r="D1046" s="4" t="s">
        <v>33</v>
      </c>
      <c r="E1046" s="4" t="s">
        <v>167</v>
      </c>
      <c r="F1046" s="4" t="s">
        <v>421</v>
      </c>
      <c r="G1046" s="4" t="s">
        <v>26</v>
      </c>
      <c r="H1046" s="4" t="s">
        <v>27</v>
      </c>
      <c r="I1046" s="4" t="s">
        <v>715</v>
      </c>
      <c r="J1046" s="4" t="s">
        <v>638</v>
      </c>
      <c r="K1046" s="5">
        <v>6093272</v>
      </c>
      <c r="L1046" s="5">
        <v>296138</v>
      </c>
      <c r="M1046" s="5">
        <v>19</v>
      </c>
      <c r="N1046" s="5">
        <v>2</v>
      </c>
      <c r="O1046" s="5">
        <v>22</v>
      </c>
      <c r="P1046" s="5"/>
    </row>
    <row r="1047" spans="1:16" x14ac:dyDescent="0.25">
      <c r="A1047" s="4" t="s">
        <v>13</v>
      </c>
      <c r="B1047" s="4" t="s">
        <v>415</v>
      </c>
      <c r="C1047" s="5">
        <v>37602</v>
      </c>
      <c r="D1047" s="4" t="s">
        <v>33</v>
      </c>
      <c r="E1047" s="4" t="s">
        <v>34</v>
      </c>
      <c r="F1047" s="4" t="s">
        <v>419</v>
      </c>
      <c r="G1047" s="4" t="s">
        <v>26</v>
      </c>
      <c r="H1047" s="4" t="s">
        <v>27</v>
      </c>
      <c r="I1047" s="4" t="s">
        <v>715</v>
      </c>
      <c r="J1047" s="4" t="s">
        <v>715</v>
      </c>
      <c r="K1047" s="5">
        <v>6114019</v>
      </c>
      <c r="L1047" s="5">
        <v>304633</v>
      </c>
      <c r="M1047" s="5">
        <v>19</v>
      </c>
      <c r="N1047" s="5">
        <v>1</v>
      </c>
      <c r="O1047" s="5">
        <v>7</v>
      </c>
      <c r="P1047" s="5"/>
    </row>
    <row r="1048" spans="1:16" x14ac:dyDescent="0.25">
      <c r="A1048" s="4" t="s">
        <v>54</v>
      </c>
      <c r="B1048" s="4" t="s">
        <v>415</v>
      </c>
      <c r="C1048" s="5">
        <v>37603</v>
      </c>
      <c r="D1048" s="4" t="s">
        <v>23</v>
      </c>
      <c r="E1048" s="4" t="s">
        <v>409</v>
      </c>
      <c r="F1048" s="4" t="s">
        <v>409</v>
      </c>
      <c r="G1048" s="4" t="s">
        <v>57</v>
      </c>
      <c r="H1048" s="4" t="s">
        <v>641</v>
      </c>
      <c r="I1048" s="4" t="s">
        <v>715</v>
      </c>
      <c r="J1048" s="4" t="s">
        <v>715</v>
      </c>
      <c r="K1048" s="5">
        <v>6273825</v>
      </c>
      <c r="L1048" s="5">
        <v>317534</v>
      </c>
      <c r="M1048" s="5">
        <v>19</v>
      </c>
      <c r="N1048" s="5">
        <v>1</v>
      </c>
      <c r="O1048" s="5">
        <v>0.05</v>
      </c>
      <c r="P1048" s="5"/>
    </row>
    <row r="1049" spans="1:16" x14ac:dyDescent="0.25">
      <c r="A1049" s="4" t="s">
        <v>13</v>
      </c>
      <c r="B1049" s="4" t="s">
        <v>415</v>
      </c>
      <c r="C1049" s="5">
        <v>37607</v>
      </c>
      <c r="D1049" s="4" t="s">
        <v>58</v>
      </c>
      <c r="E1049" s="4" t="s">
        <v>101</v>
      </c>
      <c r="F1049" s="4" t="s">
        <v>101</v>
      </c>
      <c r="G1049" s="4" t="s">
        <v>26</v>
      </c>
      <c r="H1049" s="4" t="s">
        <v>27</v>
      </c>
      <c r="I1049" s="4" t="s">
        <v>715</v>
      </c>
      <c r="J1049" s="4" t="s">
        <v>715</v>
      </c>
      <c r="K1049" s="5">
        <v>5966881</v>
      </c>
      <c r="L1049" s="5">
        <v>768693</v>
      </c>
      <c r="M1049" s="5">
        <v>18</v>
      </c>
      <c r="N1049" s="5">
        <v>1</v>
      </c>
      <c r="O1049" s="5">
        <v>9</v>
      </c>
      <c r="P1049" s="5"/>
    </row>
    <row r="1050" spans="1:16" x14ac:dyDescent="0.25">
      <c r="A1050" s="4" t="s">
        <v>13</v>
      </c>
      <c r="B1050" s="4" t="s">
        <v>415</v>
      </c>
      <c r="C1050" s="5">
        <v>37609</v>
      </c>
      <c r="D1050" s="4" t="s">
        <v>23</v>
      </c>
      <c r="E1050" s="4" t="s">
        <v>363</v>
      </c>
      <c r="F1050" s="4" t="s">
        <v>363</v>
      </c>
      <c r="G1050" s="4" t="s">
        <v>26</v>
      </c>
      <c r="H1050" s="4" t="s">
        <v>27</v>
      </c>
      <c r="I1050" s="4" t="s">
        <v>715</v>
      </c>
      <c r="J1050" s="4" t="s">
        <v>638</v>
      </c>
      <c r="K1050" s="5">
        <v>6281310</v>
      </c>
      <c r="L1050" s="5">
        <v>350028</v>
      </c>
      <c r="M1050" s="5">
        <v>19</v>
      </c>
      <c r="N1050" s="5">
        <v>2</v>
      </c>
      <c r="O1050" s="5">
        <v>12</v>
      </c>
      <c r="P1050" s="5"/>
    </row>
    <row r="1051" spans="1:16" x14ac:dyDescent="0.25">
      <c r="A1051" s="4" t="s">
        <v>13</v>
      </c>
      <c r="B1051" s="4" t="s">
        <v>415</v>
      </c>
      <c r="C1051" s="5">
        <v>37613</v>
      </c>
      <c r="D1051" s="4" t="s">
        <v>23</v>
      </c>
      <c r="E1051" s="4" t="s">
        <v>363</v>
      </c>
      <c r="F1051" s="4" t="s">
        <v>363</v>
      </c>
      <c r="G1051" s="4" t="s">
        <v>26</v>
      </c>
      <c r="H1051" s="4" t="s">
        <v>27</v>
      </c>
      <c r="I1051" s="4" t="s">
        <v>715</v>
      </c>
      <c r="J1051" s="4" t="s">
        <v>638</v>
      </c>
      <c r="K1051" s="5">
        <v>6277133</v>
      </c>
      <c r="L1051" s="5">
        <v>350905</v>
      </c>
      <c r="M1051" s="5">
        <v>19</v>
      </c>
      <c r="N1051" s="5">
        <v>1</v>
      </c>
      <c r="O1051" s="5">
        <v>9</v>
      </c>
      <c r="P1051" s="5"/>
    </row>
    <row r="1052" spans="1:16" x14ac:dyDescent="0.25">
      <c r="A1052" s="4" t="s">
        <v>13</v>
      </c>
      <c r="B1052" s="4" t="s">
        <v>415</v>
      </c>
      <c r="C1052" s="5">
        <v>37614</v>
      </c>
      <c r="D1052" s="4" t="s">
        <v>33</v>
      </c>
      <c r="E1052" s="4" t="s">
        <v>47</v>
      </c>
      <c r="F1052" s="4" t="s">
        <v>47</v>
      </c>
      <c r="G1052" s="4" t="s">
        <v>26</v>
      </c>
      <c r="H1052" s="4" t="s">
        <v>27</v>
      </c>
      <c r="I1052" s="4" t="s">
        <v>715</v>
      </c>
      <c r="J1052" s="4" t="s">
        <v>715</v>
      </c>
      <c r="K1052" s="5">
        <v>6082722</v>
      </c>
      <c r="L1052" s="5">
        <v>273001</v>
      </c>
      <c r="M1052" s="5">
        <v>19</v>
      </c>
      <c r="N1052" s="5">
        <v>1</v>
      </c>
      <c r="O1052" s="5">
        <v>2.5</v>
      </c>
      <c r="P1052" s="5"/>
    </row>
    <row r="1053" spans="1:16" x14ac:dyDescent="0.25">
      <c r="A1053" s="4" t="s">
        <v>13</v>
      </c>
      <c r="B1053" s="4" t="s">
        <v>415</v>
      </c>
      <c r="C1053" s="5">
        <v>37624</v>
      </c>
      <c r="D1053" s="4" t="s">
        <v>23</v>
      </c>
      <c r="E1053" s="4" t="s">
        <v>25</v>
      </c>
      <c r="F1053" s="4" t="s">
        <v>25</v>
      </c>
      <c r="G1053" s="4" t="s">
        <v>26</v>
      </c>
      <c r="H1053" s="4" t="s">
        <v>27</v>
      </c>
      <c r="I1053" s="4" t="s">
        <v>715</v>
      </c>
      <c r="J1053" s="4" t="s">
        <v>638</v>
      </c>
      <c r="K1053" s="5">
        <v>6280217</v>
      </c>
      <c r="L1053" s="5">
        <v>303205</v>
      </c>
      <c r="M1053" s="5">
        <v>19</v>
      </c>
      <c r="N1053" s="5">
        <v>1</v>
      </c>
      <c r="O1053" s="5">
        <v>15</v>
      </c>
      <c r="P1053" s="5"/>
    </row>
    <row r="1054" spans="1:16" x14ac:dyDescent="0.25">
      <c r="A1054" s="4" t="s">
        <v>21</v>
      </c>
      <c r="B1054" s="4" t="s">
        <v>415</v>
      </c>
      <c r="C1054" s="5">
        <v>38341</v>
      </c>
      <c r="D1054" s="4" t="s">
        <v>33</v>
      </c>
      <c r="E1054" s="4" t="s">
        <v>418</v>
      </c>
      <c r="F1054" s="4" t="s">
        <v>418</v>
      </c>
      <c r="G1054" s="4" t="s">
        <v>26</v>
      </c>
      <c r="H1054" s="4" t="s">
        <v>27</v>
      </c>
      <c r="I1054" s="4" t="s">
        <v>715</v>
      </c>
      <c r="J1054" s="4" t="s">
        <v>715</v>
      </c>
      <c r="K1054" s="5">
        <v>6112056</v>
      </c>
      <c r="L1054" s="5">
        <v>249849</v>
      </c>
      <c r="M1054" s="5">
        <v>19</v>
      </c>
      <c r="N1054" s="5">
        <v>3</v>
      </c>
      <c r="O1054" s="5">
        <v>56</v>
      </c>
      <c r="P1054" s="5"/>
    </row>
    <row r="1055" spans="1:16" x14ac:dyDescent="0.25">
      <c r="A1055" s="4" t="s">
        <v>13</v>
      </c>
      <c r="B1055" s="4" t="s">
        <v>415</v>
      </c>
      <c r="C1055" s="5">
        <v>38342</v>
      </c>
      <c r="D1055" s="4" t="s">
        <v>33</v>
      </c>
      <c r="E1055" s="4" t="s">
        <v>101</v>
      </c>
      <c r="F1055" s="4" t="s">
        <v>101</v>
      </c>
      <c r="G1055" s="4" t="s">
        <v>26</v>
      </c>
      <c r="H1055" s="4" t="s">
        <v>27</v>
      </c>
      <c r="I1055" s="4" t="s">
        <v>715</v>
      </c>
      <c r="J1055" s="4" t="s">
        <v>715</v>
      </c>
      <c r="K1055" s="5">
        <v>6059942</v>
      </c>
      <c r="L1055" s="5">
        <v>282822</v>
      </c>
      <c r="M1055" s="5">
        <v>19</v>
      </c>
      <c r="N1055" s="5">
        <v>1</v>
      </c>
      <c r="O1055" s="5">
        <v>11.7</v>
      </c>
      <c r="P1055" s="5"/>
    </row>
    <row r="1056" spans="1:16" x14ac:dyDescent="0.25">
      <c r="A1056" s="4" t="s">
        <v>13</v>
      </c>
      <c r="B1056" s="4" t="s">
        <v>415</v>
      </c>
      <c r="C1056" s="5">
        <v>38349</v>
      </c>
      <c r="D1056" s="4" t="s">
        <v>33</v>
      </c>
      <c r="E1056" s="4" t="s">
        <v>101</v>
      </c>
      <c r="F1056" s="4" t="s">
        <v>101</v>
      </c>
      <c r="G1056" s="4" t="s">
        <v>26</v>
      </c>
      <c r="H1056" s="4" t="s">
        <v>27</v>
      </c>
      <c r="I1056" s="4" t="s">
        <v>715</v>
      </c>
      <c r="J1056" s="4" t="s">
        <v>715</v>
      </c>
      <c r="K1056" s="5">
        <v>6060271</v>
      </c>
      <c r="L1056" s="5">
        <v>283032</v>
      </c>
      <c r="M1056" s="5">
        <v>19</v>
      </c>
      <c r="N1056" s="5">
        <v>1</v>
      </c>
      <c r="O1056" s="5">
        <v>13.8</v>
      </c>
      <c r="P1056" s="5"/>
    </row>
    <row r="1057" spans="1:16" x14ac:dyDescent="0.25">
      <c r="A1057" s="4" t="s">
        <v>13</v>
      </c>
      <c r="B1057" s="4" t="s">
        <v>415</v>
      </c>
      <c r="C1057" s="5">
        <v>38359</v>
      </c>
      <c r="D1057" s="4" t="s">
        <v>33</v>
      </c>
      <c r="E1057" s="4" t="s">
        <v>43</v>
      </c>
      <c r="F1057" s="4" t="s">
        <v>43</v>
      </c>
      <c r="G1057" s="4" t="s">
        <v>26</v>
      </c>
      <c r="H1057" s="4" t="s">
        <v>27</v>
      </c>
      <c r="I1057" s="4" t="s">
        <v>715</v>
      </c>
      <c r="J1057" s="4" t="s">
        <v>715</v>
      </c>
      <c r="K1057" s="5">
        <v>6060620</v>
      </c>
      <c r="L1057" s="5">
        <v>282964</v>
      </c>
      <c r="M1057" s="5">
        <v>19</v>
      </c>
      <c r="N1057" s="5">
        <v>1</v>
      </c>
      <c r="O1057" s="5">
        <v>25</v>
      </c>
      <c r="P1057" s="5"/>
    </row>
    <row r="1058" spans="1:16" x14ac:dyDescent="0.25">
      <c r="A1058" s="4" t="s">
        <v>21</v>
      </c>
      <c r="B1058" s="4" t="s">
        <v>415</v>
      </c>
      <c r="C1058" s="5">
        <v>38361</v>
      </c>
      <c r="D1058" s="4" t="s">
        <v>33</v>
      </c>
      <c r="E1058" s="4" t="s">
        <v>101</v>
      </c>
      <c r="F1058" s="4" t="s">
        <v>101</v>
      </c>
      <c r="G1058" s="4" t="s">
        <v>26</v>
      </c>
      <c r="H1058" s="4" t="s">
        <v>27</v>
      </c>
      <c r="I1058" s="4" t="s">
        <v>715</v>
      </c>
      <c r="J1058" s="4" t="s">
        <v>638</v>
      </c>
      <c r="K1058" s="5">
        <v>6111470</v>
      </c>
      <c r="L1058" s="5">
        <v>250999</v>
      </c>
      <c r="M1058" s="5">
        <v>19</v>
      </c>
      <c r="N1058" s="5">
        <v>5</v>
      </c>
      <c r="O1058" s="5">
        <v>93.5</v>
      </c>
      <c r="P1058" s="5"/>
    </row>
    <row r="1059" spans="1:16" x14ac:dyDescent="0.25">
      <c r="A1059" s="4" t="s">
        <v>13</v>
      </c>
      <c r="B1059" s="4" t="s">
        <v>415</v>
      </c>
      <c r="C1059" s="5">
        <v>38366</v>
      </c>
      <c r="D1059" s="4" t="s">
        <v>33</v>
      </c>
      <c r="E1059" s="4" t="s">
        <v>47</v>
      </c>
      <c r="F1059" s="4" t="s">
        <v>47</v>
      </c>
      <c r="G1059" s="4" t="s">
        <v>26</v>
      </c>
      <c r="H1059" s="4" t="s">
        <v>27</v>
      </c>
      <c r="I1059" s="4" t="s">
        <v>715</v>
      </c>
      <c r="J1059" s="4" t="s">
        <v>715</v>
      </c>
      <c r="K1059" s="5">
        <v>6076603</v>
      </c>
      <c r="L1059" s="5">
        <v>280213</v>
      </c>
      <c r="M1059" s="5">
        <v>19</v>
      </c>
      <c r="N1059" s="5">
        <v>1</v>
      </c>
      <c r="O1059" s="5">
        <v>6</v>
      </c>
      <c r="P1059" s="5"/>
    </row>
    <row r="1060" spans="1:16" x14ac:dyDescent="0.25">
      <c r="A1060" s="4" t="s">
        <v>21</v>
      </c>
      <c r="B1060" s="4" t="s">
        <v>415</v>
      </c>
      <c r="C1060" s="5">
        <v>38459</v>
      </c>
      <c r="D1060" s="4" t="s">
        <v>33</v>
      </c>
      <c r="E1060" s="4" t="s">
        <v>418</v>
      </c>
      <c r="F1060" s="4" t="s">
        <v>418</v>
      </c>
      <c r="G1060" s="4" t="s">
        <v>26</v>
      </c>
      <c r="H1060" s="4" t="s">
        <v>27</v>
      </c>
      <c r="I1060" s="4" t="s">
        <v>715</v>
      </c>
      <c r="J1060" s="4" t="s">
        <v>638</v>
      </c>
      <c r="K1060" s="5">
        <v>6110987</v>
      </c>
      <c r="L1060" s="5">
        <v>251037</v>
      </c>
      <c r="M1060" s="5">
        <v>19</v>
      </c>
      <c r="N1060" s="5">
        <v>2</v>
      </c>
      <c r="O1060" s="5">
        <v>25.8</v>
      </c>
      <c r="P1060" s="5"/>
    </row>
    <row r="1061" spans="1:16" x14ac:dyDescent="0.25">
      <c r="A1061" s="4" t="s">
        <v>13</v>
      </c>
      <c r="B1061" s="4" t="s">
        <v>415</v>
      </c>
      <c r="C1061" s="5">
        <v>38464</v>
      </c>
      <c r="D1061" s="4" t="s">
        <v>33</v>
      </c>
      <c r="E1061" s="4" t="s">
        <v>47</v>
      </c>
      <c r="F1061" s="4" t="s">
        <v>47</v>
      </c>
      <c r="G1061" s="4" t="s">
        <v>26</v>
      </c>
      <c r="H1061" s="4" t="s">
        <v>27</v>
      </c>
      <c r="I1061" s="4" t="s">
        <v>715</v>
      </c>
      <c r="J1061" s="4" t="s">
        <v>715</v>
      </c>
      <c r="K1061" s="5">
        <v>6076543</v>
      </c>
      <c r="L1061" s="5">
        <v>280409</v>
      </c>
      <c r="M1061" s="5">
        <v>19</v>
      </c>
      <c r="N1061" s="5">
        <v>1</v>
      </c>
      <c r="O1061" s="5">
        <v>4</v>
      </c>
      <c r="P1061" s="5"/>
    </row>
    <row r="1062" spans="1:16" x14ac:dyDescent="0.25">
      <c r="A1062" s="4" t="s">
        <v>13</v>
      </c>
      <c r="B1062" s="4" t="s">
        <v>415</v>
      </c>
      <c r="C1062" s="5">
        <v>38468</v>
      </c>
      <c r="D1062" s="4" t="s">
        <v>33</v>
      </c>
      <c r="E1062" s="4" t="s">
        <v>47</v>
      </c>
      <c r="F1062" s="4" t="s">
        <v>47</v>
      </c>
      <c r="G1062" s="4" t="s">
        <v>26</v>
      </c>
      <c r="H1062" s="4" t="s">
        <v>27</v>
      </c>
      <c r="I1062" s="4" t="s">
        <v>715</v>
      </c>
      <c r="J1062" s="4" t="s">
        <v>715</v>
      </c>
      <c r="K1062" s="5">
        <v>6076713</v>
      </c>
      <c r="L1062" s="5">
        <v>280218</v>
      </c>
      <c r="M1062" s="5">
        <v>19</v>
      </c>
      <c r="N1062" s="5">
        <v>1</v>
      </c>
      <c r="O1062" s="5">
        <v>10.5</v>
      </c>
      <c r="P1062" s="5"/>
    </row>
    <row r="1063" spans="1:16" x14ac:dyDescent="0.25">
      <c r="A1063" s="4" t="s">
        <v>13</v>
      </c>
      <c r="B1063" s="4" t="s">
        <v>415</v>
      </c>
      <c r="C1063" s="5">
        <v>38471</v>
      </c>
      <c r="D1063" s="4" t="s">
        <v>33</v>
      </c>
      <c r="E1063" s="4" t="s">
        <v>66</v>
      </c>
      <c r="F1063" s="4" t="s">
        <v>66</v>
      </c>
      <c r="G1063" s="4" t="s">
        <v>26</v>
      </c>
      <c r="H1063" s="4" t="s">
        <v>27</v>
      </c>
      <c r="I1063" s="4" t="s">
        <v>715</v>
      </c>
      <c r="J1063" s="4" t="s">
        <v>638</v>
      </c>
      <c r="K1063" s="5">
        <v>6069784</v>
      </c>
      <c r="L1063" s="5">
        <v>257194</v>
      </c>
      <c r="M1063" s="5">
        <v>19</v>
      </c>
      <c r="N1063" s="5">
        <v>1</v>
      </c>
      <c r="O1063" s="5">
        <v>13</v>
      </c>
      <c r="P1063" s="5"/>
    </row>
    <row r="1064" spans="1:16" x14ac:dyDescent="0.25">
      <c r="A1064" s="4" t="s">
        <v>13</v>
      </c>
      <c r="B1064" s="4" t="s">
        <v>415</v>
      </c>
      <c r="C1064" s="5">
        <v>38474</v>
      </c>
      <c r="D1064" s="4" t="s">
        <v>33</v>
      </c>
      <c r="E1064" s="4" t="s">
        <v>137</v>
      </c>
      <c r="F1064" s="4" t="s">
        <v>422</v>
      </c>
      <c r="G1064" s="4" t="s">
        <v>26</v>
      </c>
      <c r="H1064" s="4" t="s">
        <v>27</v>
      </c>
      <c r="I1064" s="4" t="s">
        <v>715</v>
      </c>
      <c r="J1064" s="4" t="s">
        <v>638</v>
      </c>
      <c r="K1064" s="5">
        <v>6041639</v>
      </c>
      <c r="L1064" s="5">
        <v>280503</v>
      </c>
      <c r="M1064" s="5">
        <v>19</v>
      </c>
      <c r="N1064" s="5">
        <v>1</v>
      </c>
      <c r="O1064" s="5">
        <v>36</v>
      </c>
      <c r="P1064" s="5"/>
    </row>
    <row r="1065" spans="1:16" x14ac:dyDescent="0.25">
      <c r="A1065" s="4" t="s">
        <v>13</v>
      </c>
      <c r="B1065" s="4" t="s">
        <v>415</v>
      </c>
      <c r="C1065" s="5">
        <v>38477</v>
      </c>
      <c r="D1065" s="4" t="s">
        <v>33</v>
      </c>
      <c r="E1065" s="4" t="s">
        <v>167</v>
      </c>
      <c r="F1065" s="4" t="s">
        <v>421</v>
      </c>
      <c r="G1065" s="4" t="s">
        <v>26</v>
      </c>
      <c r="H1065" s="4" t="s">
        <v>27</v>
      </c>
      <c r="I1065" s="4" t="s">
        <v>715</v>
      </c>
      <c r="J1065" s="4" t="s">
        <v>715</v>
      </c>
      <c r="K1065" s="5">
        <v>6095990</v>
      </c>
      <c r="L1065" s="5">
        <v>295609</v>
      </c>
      <c r="M1065" s="5">
        <v>19</v>
      </c>
      <c r="N1065" s="5">
        <v>1</v>
      </c>
      <c r="O1065" s="5">
        <v>10</v>
      </c>
      <c r="P1065" s="5"/>
    </row>
    <row r="1066" spans="1:16" x14ac:dyDescent="0.25">
      <c r="A1066" s="4" t="s">
        <v>13</v>
      </c>
      <c r="B1066" s="4" t="s">
        <v>415</v>
      </c>
      <c r="C1066" s="5">
        <v>38481</v>
      </c>
      <c r="D1066" s="4" t="s">
        <v>33</v>
      </c>
      <c r="E1066" s="4" t="s">
        <v>34</v>
      </c>
      <c r="F1066" s="4" t="s">
        <v>419</v>
      </c>
      <c r="G1066" s="4" t="s">
        <v>26</v>
      </c>
      <c r="H1066" s="4" t="s">
        <v>27</v>
      </c>
      <c r="I1066" s="4" t="s">
        <v>715</v>
      </c>
      <c r="J1066" s="4" t="s">
        <v>638</v>
      </c>
      <c r="K1066" s="5">
        <v>6114019</v>
      </c>
      <c r="L1066" s="5">
        <v>304633</v>
      </c>
      <c r="M1066" s="5">
        <v>19</v>
      </c>
      <c r="N1066" s="5">
        <v>1</v>
      </c>
      <c r="O1066" s="5">
        <v>6</v>
      </c>
      <c r="P1066" s="5"/>
    </row>
    <row r="1067" spans="1:16" x14ac:dyDescent="0.25">
      <c r="A1067" s="4" t="s">
        <v>13</v>
      </c>
      <c r="B1067" s="4" t="s">
        <v>415</v>
      </c>
      <c r="C1067" s="5">
        <v>38487</v>
      </c>
      <c r="D1067" s="4" t="s">
        <v>23</v>
      </c>
      <c r="E1067" s="4" t="s">
        <v>381</v>
      </c>
      <c r="F1067" s="4" t="s">
        <v>382</v>
      </c>
      <c r="G1067" s="4" t="s">
        <v>26</v>
      </c>
      <c r="H1067" s="4" t="s">
        <v>27</v>
      </c>
      <c r="I1067" s="4" t="s">
        <v>715</v>
      </c>
      <c r="J1067" s="4" t="s">
        <v>715</v>
      </c>
      <c r="K1067" s="5">
        <v>6265358</v>
      </c>
      <c r="L1067" s="5">
        <v>316294</v>
      </c>
      <c r="M1067" s="5">
        <v>19</v>
      </c>
      <c r="N1067" s="5">
        <v>1</v>
      </c>
      <c r="O1067" s="5">
        <v>1.25</v>
      </c>
      <c r="P1067" s="5"/>
    </row>
    <row r="1068" spans="1:16" x14ac:dyDescent="0.25">
      <c r="A1068" s="4" t="s">
        <v>13</v>
      </c>
      <c r="B1068" s="4" t="s">
        <v>415</v>
      </c>
      <c r="C1068" s="5">
        <v>38493</v>
      </c>
      <c r="D1068" s="4" t="s">
        <v>23</v>
      </c>
      <c r="E1068" s="4" t="s">
        <v>381</v>
      </c>
      <c r="F1068" s="4" t="s">
        <v>382</v>
      </c>
      <c r="G1068" s="4" t="s">
        <v>26</v>
      </c>
      <c r="H1068" s="4" t="s">
        <v>27</v>
      </c>
      <c r="I1068" s="4" t="s">
        <v>715</v>
      </c>
      <c r="J1068" s="4" t="s">
        <v>715</v>
      </c>
      <c r="K1068" s="5">
        <v>6265480</v>
      </c>
      <c r="L1068" s="5">
        <v>316282</v>
      </c>
      <c r="M1068" s="5">
        <v>19</v>
      </c>
      <c r="N1068" s="5">
        <v>1</v>
      </c>
      <c r="O1068" s="5">
        <v>0.75</v>
      </c>
      <c r="P1068" s="5"/>
    </row>
    <row r="1069" spans="1:16" x14ac:dyDescent="0.25">
      <c r="A1069" s="4" t="s">
        <v>13</v>
      </c>
      <c r="B1069" s="4" t="s">
        <v>415</v>
      </c>
      <c r="C1069" s="5">
        <v>39114</v>
      </c>
      <c r="D1069" s="4" t="s">
        <v>33</v>
      </c>
      <c r="E1069" s="4" t="s">
        <v>43</v>
      </c>
      <c r="F1069" s="4" t="s">
        <v>43</v>
      </c>
      <c r="G1069" s="4" t="s">
        <v>26</v>
      </c>
      <c r="H1069" s="4" t="s">
        <v>27</v>
      </c>
      <c r="I1069" s="4" t="s">
        <v>715</v>
      </c>
      <c r="J1069" s="4" t="s">
        <v>715</v>
      </c>
      <c r="K1069" s="5">
        <v>6060845</v>
      </c>
      <c r="L1069" s="5">
        <v>283331</v>
      </c>
      <c r="M1069" s="5">
        <v>19</v>
      </c>
      <c r="N1069" s="5">
        <v>1</v>
      </c>
      <c r="O1069" s="5">
        <v>11</v>
      </c>
      <c r="P1069" s="5"/>
    </row>
    <row r="1070" spans="1:16" x14ac:dyDescent="0.25">
      <c r="A1070" s="4" t="s">
        <v>21</v>
      </c>
      <c r="B1070" s="4" t="s">
        <v>415</v>
      </c>
      <c r="C1070" s="5">
        <v>39122</v>
      </c>
      <c r="D1070" s="4" t="s">
        <v>33</v>
      </c>
      <c r="E1070" s="4" t="s">
        <v>180</v>
      </c>
      <c r="F1070" s="4" t="s">
        <v>180</v>
      </c>
      <c r="G1070" s="4" t="s">
        <v>26</v>
      </c>
      <c r="H1070" s="4" t="s">
        <v>27</v>
      </c>
      <c r="I1070" s="4" t="s">
        <v>715</v>
      </c>
      <c r="J1070" s="4" t="s">
        <v>715</v>
      </c>
      <c r="K1070" s="5">
        <v>6001397</v>
      </c>
      <c r="L1070" s="5">
        <v>243218</v>
      </c>
      <c r="M1070" s="5">
        <v>19</v>
      </c>
      <c r="N1070" s="5">
        <v>1</v>
      </c>
      <c r="O1070" s="5">
        <v>32</v>
      </c>
      <c r="P1070" s="5"/>
    </row>
    <row r="1071" spans="1:16" x14ac:dyDescent="0.25">
      <c r="A1071" s="4" t="s">
        <v>21</v>
      </c>
      <c r="B1071" s="4" t="s">
        <v>415</v>
      </c>
      <c r="C1071" s="5">
        <v>39186</v>
      </c>
      <c r="D1071" s="4" t="s">
        <v>33</v>
      </c>
      <c r="E1071" s="4" t="s">
        <v>418</v>
      </c>
      <c r="F1071" s="4" t="s">
        <v>418</v>
      </c>
      <c r="G1071" s="4" t="s">
        <v>26</v>
      </c>
      <c r="H1071" s="4" t="s">
        <v>27</v>
      </c>
      <c r="I1071" s="4" t="s">
        <v>715</v>
      </c>
      <c r="J1071" s="4" t="s">
        <v>638</v>
      </c>
      <c r="K1071" s="5">
        <v>6112668</v>
      </c>
      <c r="L1071" s="5">
        <v>250388</v>
      </c>
      <c r="M1071" s="5">
        <v>19</v>
      </c>
      <c r="N1071" s="5">
        <v>1</v>
      </c>
      <c r="O1071" s="5">
        <v>52</v>
      </c>
      <c r="P1071" s="5"/>
    </row>
    <row r="1072" spans="1:16" x14ac:dyDescent="0.25">
      <c r="A1072" s="4" t="s">
        <v>13</v>
      </c>
      <c r="B1072" s="4" t="s">
        <v>415</v>
      </c>
      <c r="C1072" s="5">
        <v>39187</v>
      </c>
      <c r="D1072" s="4" t="s">
        <v>33</v>
      </c>
      <c r="E1072" s="4" t="s">
        <v>137</v>
      </c>
      <c r="F1072" s="4" t="s">
        <v>422</v>
      </c>
      <c r="G1072" s="4" t="s">
        <v>26</v>
      </c>
      <c r="H1072" s="4" t="s">
        <v>27</v>
      </c>
      <c r="I1072" s="4" t="s">
        <v>715</v>
      </c>
      <c r="J1072" s="4" t="s">
        <v>715</v>
      </c>
      <c r="K1072" s="5">
        <v>6034359</v>
      </c>
      <c r="L1072" s="5">
        <v>278007</v>
      </c>
      <c r="M1072" s="5">
        <v>19</v>
      </c>
      <c r="N1072" s="5">
        <v>1</v>
      </c>
      <c r="O1072" s="5">
        <v>3</v>
      </c>
      <c r="P1072" s="5"/>
    </row>
    <row r="1073" spans="1:16" x14ac:dyDescent="0.25">
      <c r="A1073" s="4" t="s">
        <v>21</v>
      </c>
      <c r="B1073" s="4" t="s">
        <v>415</v>
      </c>
      <c r="C1073" s="5">
        <v>39190</v>
      </c>
      <c r="D1073" s="4" t="s">
        <v>33</v>
      </c>
      <c r="E1073" s="4" t="s">
        <v>34</v>
      </c>
      <c r="F1073" s="4" t="s">
        <v>419</v>
      </c>
      <c r="G1073" s="4" t="s">
        <v>26</v>
      </c>
      <c r="H1073" s="4" t="s">
        <v>27</v>
      </c>
      <c r="I1073" s="4" t="s">
        <v>715</v>
      </c>
      <c r="J1073" s="4" t="s">
        <v>715</v>
      </c>
      <c r="K1073" s="5">
        <v>6115819</v>
      </c>
      <c r="L1073" s="5">
        <v>309563</v>
      </c>
      <c r="M1073" s="5">
        <v>19</v>
      </c>
      <c r="N1073" s="5">
        <v>1</v>
      </c>
      <c r="O1073" s="5">
        <v>18.5</v>
      </c>
      <c r="P1073" s="5"/>
    </row>
    <row r="1074" spans="1:16" x14ac:dyDescent="0.25">
      <c r="A1074" s="4" t="s">
        <v>13</v>
      </c>
      <c r="B1074" s="4" t="s">
        <v>415</v>
      </c>
      <c r="C1074" s="5">
        <v>39303</v>
      </c>
      <c r="D1074" s="4" t="s">
        <v>33</v>
      </c>
      <c r="E1074" s="4" t="s">
        <v>137</v>
      </c>
      <c r="F1074" s="4" t="s">
        <v>422</v>
      </c>
      <c r="G1074" s="4" t="s">
        <v>26</v>
      </c>
      <c r="H1074" s="4" t="s">
        <v>27</v>
      </c>
      <c r="I1074" s="4" t="s">
        <v>715</v>
      </c>
      <c r="J1074" s="4" t="s">
        <v>715</v>
      </c>
      <c r="K1074" s="5">
        <v>6034787</v>
      </c>
      <c r="L1074" s="5">
        <v>279311</v>
      </c>
      <c r="M1074" s="5">
        <v>19</v>
      </c>
      <c r="N1074" s="5">
        <v>1</v>
      </c>
      <c r="O1074" s="5">
        <v>4</v>
      </c>
      <c r="P1074" s="5"/>
    </row>
    <row r="1075" spans="1:16" x14ac:dyDescent="0.25">
      <c r="A1075" s="4" t="s">
        <v>13</v>
      </c>
      <c r="B1075" s="4" t="s">
        <v>415</v>
      </c>
      <c r="C1075" s="5">
        <v>39304</v>
      </c>
      <c r="D1075" s="4" t="s">
        <v>33</v>
      </c>
      <c r="E1075" s="4" t="s">
        <v>47</v>
      </c>
      <c r="F1075" s="4" t="s">
        <v>47</v>
      </c>
      <c r="G1075" s="4" t="s">
        <v>26</v>
      </c>
      <c r="H1075" s="4" t="s">
        <v>27</v>
      </c>
      <c r="I1075" s="4" t="s">
        <v>715</v>
      </c>
      <c r="J1075" s="4" t="s">
        <v>638</v>
      </c>
      <c r="K1075" s="5">
        <v>6081610</v>
      </c>
      <c r="L1075" s="5">
        <v>272038</v>
      </c>
      <c r="M1075" s="5">
        <v>19</v>
      </c>
      <c r="N1075" s="5">
        <v>1</v>
      </c>
      <c r="O1075" s="5">
        <v>9</v>
      </c>
      <c r="P1075" s="5"/>
    </row>
    <row r="1076" spans="1:16" x14ac:dyDescent="0.25">
      <c r="A1076" s="4" t="s">
        <v>13</v>
      </c>
      <c r="B1076" s="4" t="s">
        <v>415</v>
      </c>
      <c r="C1076" s="5">
        <v>39310</v>
      </c>
      <c r="D1076" s="4" t="s">
        <v>33</v>
      </c>
      <c r="E1076" s="4" t="s">
        <v>43</v>
      </c>
      <c r="F1076" s="4" t="s">
        <v>43</v>
      </c>
      <c r="G1076" s="4" t="s">
        <v>26</v>
      </c>
      <c r="H1076" s="4" t="s">
        <v>27</v>
      </c>
      <c r="I1076" s="4" t="s">
        <v>715</v>
      </c>
      <c r="J1076" s="4" t="s">
        <v>715</v>
      </c>
      <c r="K1076" s="5">
        <v>6064435</v>
      </c>
      <c r="L1076" s="5">
        <v>282722</v>
      </c>
      <c r="M1076" s="5">
        <v>19</v>
      </c>
      <c r="N1076" s="5">
        <v>1</v>
      </c>
      <c r="O1076" s="5">
        <v>6</v>
      </c>
      <c r="P1076" s="5"/>
    </row>
    <row r="1077" spans="1:16" x14ac:dyDescent="0.25">
      <c r="A1077" s="4" t="s">
        <v>54</v>
      </c>
      <c r="B1077" s="4" t="s">
        <v>415</v>
      </c>
      <c r="C1077" s="5">
        <v>39491</v>
      </c>
      <c r="D1077" s="4" t="s">
        <v>23</v>
      </c>
      <c r="E1077" s="4" t="s">
        <v>409</v>
      </c>
      <c r="F1077" s="4" t="s">
        <v>409</v>
      </c>
      <c r="G1077" s="4" t="s">
        <v>57</v>
      </c>
      <c r="H1077" s="4" t="s">
        <v>641</v>
      </c>
      <c r="I1077" s="4" t="s">
        <v>715</v>
      </c>
      <c r="J1077" s="4" t="s">
        <v>715</v>
      </c>
      <c r="K1077" s="5">
        <v>6274429</v>
      </c>
      <c r="L1077" s="5">
        <v>316668</v>
      </c>
      <c r="M1077" s="5">
        <v>19</v>
      </c>
      <c r="N1077" s="5">
        <v>1</v>
      </c>
      <c r="O1077" s="5">
        <v>0.1</v>
      </c>
      <c r="P1077" s="5"/>
    </row>
    <row r="1078" spans="1:16" x14ac:dyDescent="0.25">
      <c r="A1078" s="4" t="s">
        <v>13</v>
      </c>
      <c r="B1078" s="4" t="s">
        <v>415</v>
      </c>
      <c r="C1078" s="5">
        <v>39547</v>
      </c>
      <c r="D1078" s="4" t="s">
        <v>23</v>
      </c>
      <c r="E1078" s="4" t="s">
        <v>363</v>
      </c>
      <c r="F1078" s="4" t="s">
        <v>363</v>
      </c>
      <c r="G1078" s="4" t="s">
        <v>26</v>
      </c>
      <c r="H1078" s="4" t="s">
        <v>27</v>
      </c>
      <c r="I1078" s="4" t="s">
        <v>715</v>
      </c>
      <c r="J1078" s="4" t="s">
        <v>715</v>
      </c>
      <c r="K1078" s="5">
        <v>6281254</v>
      </c>
      <c r="L1078" s="5">
        <v>351411</v>
      </c>
      <c r="M1078" s="5">
        <v>19</v>
      </c>
      <c r="N1078" s="5">
        <v>1</v>
      </c>
      <c r="O1078" s="5">
        <v>5.5</v>
      </c>
      <c r="P1078" s="5"/>
    </row>
    <row r="1079" spans="1:16" x14ac:dyDescent="0.25">
      <c r="A1079" s="4" t="s">
        <v>54</v>
      </c>
      <c r="B1079" s="4" t="s">
        <v>423</v>
      </c>
      <c r="C1079" s="5">
        <v>35426</v>
      </c>
      <c r="D1079" s="4" t="s">
        <v>23</v>
      </c>
      <c r="E1079" s="4" t="s">
        <v>356</v>
      </c>
      <c r="F1079" s="4" t="s">
        <v>356</v>
      </c>
      <c r="G1079" s="4" t="s">
        <v>57</v>
      </c>
      <c r="H1079" s="4" t="s">
        <v>641</v>
      </c>
      <c r="I1079" s="4" t="s">
        <v>715</v>
      </c>
      <c r="J1079" s="4" t="s">
        <v>715</v>
      </c>
      <c r="K1079" s="5">
        <v>6259308</v>
      </c>
      <c r="L1079" s="5">
        <v>340640</v>
      </c>
      <c r="M1079" s="5">
        <v>19</v>
      </c>
      <c r="N1079" s="5">
        <v>1</v>
      </c>
      <c r="O1079" s="5">
        <v>0.02</v>
      </c>
      <c r="P1079" s="13" t="s">
        <v>649</v>
      </c>
    </row>
    <row r="1080" spans="1:16" x14ac:dyDescent="0.25">
      <c r="A1080" s="4" t="s">
        <v>54</v>
      </c>
      <c r="B1080" s="4" t="s">
        <v>423</v>
      </c>
      <c r="C1080" s="5">
        <v>35427</v>
      </c>
      <c r="D1080" s="4" t="s">
        <v>23</v>
      </c>
      <c r="E1080" s="4" t="s">
        <v>356</v>
      </c>
      <c r="F1080" s="4" t="s">
        <v>356</v>
      </c>
      <c r="G1080" s="4" t="s">
        <v>57</v>
      </c>
      <c r="H1080" s="4" t="s">
        <v>641</v>
      </c>
      <c r="I1080" s="4" t="s">
        <v>715</v>
      </c>
      <c r="J1080" s="4" t="s">
        <v>715</v>
      </c>
      <c r="K1080" s="5">
        <v>6259308</v>
      </c>
      <c r="L1080" s="5">
        <v>340640</v>
      </c>
      <c r="M1080" s="5">
        <v>19</v>
      </c>
      <c r="N1080" s="5">
        <v>1</v>
      </c>
      <c r="O1080" s="5">
        <v>0.02</v>
      </c>
      <c r="P1080" s="14"/>
    </row>
    <row r="1081" spans="1:16" x14ac:dyDescent="0.25">
      <c r="A1081" s="4" t="s">
        <v>54</v>
      </c>
      <c r="B1081" s="4" t="s">
        <v>423</v>
      </c>
      <c r="C1081" s="5">
        <v>35428</v>
      </c>
      <c r="D1081" s="4" t="s">
        <v>23</v>
      </c>
      <c r="E1081" s="4" t="s">
        <v>356</v>
      </c>
      <c r="F1081" s="4" t="s">
        <v>356</v>
      </c>
      <c r="G1081" s="4" t="s">
        <v>57</v>
      </c>
      <c r="H1081" s="4" t="s">
        <v>641</v>
      </c>
      <c r="I1081" s="4" t="s">
        <v>715</v>
      </c>
      <c r="J1081" s="4" t="s">
        <v>715</v>
      </c>
      <c r="K1081" s="5">
        <v>6259308</v>
      </c>
      <c r="L1081" s="5">
        <v>340640</v>
      </c>
      <c r="M1081" s="5">
        <v>19</v>
      </c>
      <c r="N1081" s="5">
        <v>1</v>
      </c>
      <c r="O1081" s="5">
        <v>0.02</v>
      </c>
      <c r="P1081" s="14"/>
    </row>
    <row r="1082" spans="1:16" x14ac:dyDescent="0.25">
      <c r="A1082" s="4" t="s">
        <v>54</v>
      </c>
      <c r="B1082" s="4" t="s">
        <v>423</v>
      </c>
      <c r="C1082" s="5">
        <v>35429</v>
      </c>
      <c r="D1082" s="4" t="s">
        <v>23</v>
      </c>
      <c r="E1082" s="4" t="s">
        <v>356</v>
      </c>
      <c r="F1082" s="4" t="s">
        <v>356</v>
      </c>
      <c r="G1082" s="4" t="s">
        <v>57</v>
      </c>
      <c r="H1082" s="4" t="s">
        <v>641</v>
      </c>
      <c r="I1082" s="4" t="s">
        <v>715</v>
      </c>
      <c r="J1082" s="4" t="s">
        <v>715</v>
      </c>
      <c r="K1082" s="5">
        <v>6259308</v>
      </c>
      <c r="L1082" s="5">
        <v>340640</v>
      </c>
      <c r="M1082" s="5">
        <v>19</v>
      </c>
      <c r="N1082" s="5">
        <v>1</v>
      </c>
      <c r="O1082" s="5">
        <v>0.02</v>
      </c>
      <c r="P1082" s="15"/>
    </row>
    <row r="1083" spans="1:16" x14ac:dyDescent="0.25">
      <c r="A1083" s="4" t="s">
        <v>21</v>
      </c>
      <c r="B1083" s="4" t="s">
        <v>423</v>
      </c>
      <c r="C1083" s="5">
        <v>35557</v>
      </c>
      <c r="D1083" s="4" t="s">
        <v>23</v>
      </c>
      <c r="E1083" s="4" t="s">
        <v>357</v>
      </c>
      <c r="F1083" s="4" t="s">
        <v>361</v>
      </c>
      <c r="G1083" s="4" t="s">
        <v>26</v>
      </c>
      <c r="H1083" s="4" t="s">
        <v>27</v>
      </c>
      <c r="I1083" s="4" t="s">
        <v>715</v>
      </c>
      <c r="J1083" s="4" t="s">
        <v>715</v>
      </c>
      <c r="K1083" s="5">
        <v>6273747</v>
      </c>
      <c r="L1083" s="5">
        <v>336581</v>
      </c>
      <c r="M1083" s="5">
        <v>19</v>
      </c>
      <c r="N1083" s="5">
        <v>2</v>
      </c>
      <c r="O1083" s="5">
        <v>18</v>
      </c>
      <c r="P1083" s="5"/>
    </row>
    <row r="1084" spans="1:16" x14ac:dyDescent="0.25">
      <c r="A1084" s="4" t="s">
        <v>21</v>
      </c>
      <c r="B1084" s="4" t="s">
        <v>423</v>
      </c>
      <c r="C1084" s="5">
        <v>35569</v>
      </c>
      <c r="D1084" s="4" t="s">
        <v>37</v>
      </c>
      <c r="E1084" s="4" t="s">
        <v>73</v>
      </c>
      <c r="F1084" s="4" t="s">
        <v>424</v>
      </c>
      <c r="G1084" s="4" t="s">
        <v>26</v>
      </c>
      <c r="H1084" s="4" t="s">
        <v>27</v>
      </c>
      <c r="I1084" s="4" t="s">
        <v>715</v>
      </c>
      <c r="J1084" s="4" t="s">
        <v>638</v>
      </c>
      <c r="K1084" s="5">
        <v>6153367</v>
      </c>
      <c r="L1084" s="5">
        <v>313457</v>
      </c>
      <c r="M1084" s="5">
        <v>19</v>
      </c>
      <c r="N1084" s="5">
        <v>1</v>
      </c>
      <c r="O1084" s="5">
        <v>18</v>
      </c>
      <c r="P1084" s="5"/>
    </row>
    <row r="1085" spans="1:16" x14ac:dyDescent="0.25">
      <c r="A1085" s="4" t="s">
        <v>21</v>
      </c>
      <c r="B1085" s="4" t="s">
        <v>423</v>
      </c>
      <c r="C1085" s="5">
        <v>35571</v>
      </c>
      <c r="D1085" s="4" t="s">
        <v>37</v>
      </c>
      <c r="E1085" s="4" t="s">
        <v>73</v>
      </c>
      <c r="F1085" s="4" t="s">
        <v>73</v>
      </c>
      <c r="G1085" s="4" t="s">
        <v>26</v>
      </c>
      <c r="H1085" s="4" t="s">
        <v>27</v>
      </c>
      <c r="I1085" s="4" t="s">
        <v>715</v>
      </c>
      <c r="J1085" s="4" t="s">
        <v>638</v>
      </c>
      <c r="K1085" s="5">
        <v>6152758</v>
      </c>
      <c r="L1085" s="5">
        <v>313988</v>
      </c>
      <c r="M1085" s="5">
        <v>19</v>
      </c>
      <c r="N1085" s="5">
        <v>1</v>
      </c>
      <c r="O1085" s="5">
        <v>40</v>
      </c>
      <c r="P1085" s="5"/>
    </row>
    <row r="1086" spans="1:16" x14ac:dyDescent="0.25">
      <c r="A1086" s="4" t="s">
        <v>21</v>
      </c>
      <c r="B1086" s="4" t="s">
        <v>423</v>
      </c>
      <c r="C1086" s="5">
        <v>35585</v>
      </c>
      <c r="D1086" s="4" t="s">
        <v>33</v>
      </c>
      <c r="E1086" s="4" t="s">
        <v>66</v>
      </c>
      <c r="F1086" s="4" t="s">
        <v>43</v>
      </c>
      <c r="G1086" s="4" t="s">
        <v>26</v>
      </c>
      <c r="H1086" s="4" t="s">
        <v>27</v>
      </c>
      <c r="I1086" s="4" t="s">
        <v>715</v>
      </c>
      <c r="J1086" s="4" t="s">
        <v>715</v>
      </c>
      <c r="K1086" s="5">
        <v>6065065</v>
      </c>
      <c r="L1086" s="5">
        <v>265381</v>
      </c>
      <c r="M1086" s="5">
        <v>19</v>
      </c>
      <c r="N1086" s="5">
        <v>3</v>
      </c>
      <c r="O1086" s="5">
        <v>18.399999999999999</v>
      </c>
      <c r="P1086" s="5"/>
    </row>
    <row r="1087" spans="1:16" x14ac:dyDescent="0.25">
      <c r="A1087" s="4" t="s">
        <v>21</v>
      </c>
      <c r="B1087" s="4" t="s">
        <v>423</v>
      </c>
      <c r="C1087" s="5">
        <v>35590</v>
      </c>
      <c r="D1087" s="4" t="s">
        <v>23</v>
      </c>
      <c r="E1087" s="4" t="s">
        <v>76</v>
      </c>
      <c r="F1087" s="4" t="s">
        <v>76</v>
      </c>
      <c r="G1087" s="4" t="s">
        <v>26</v>
      </c>
      <c r="H1087" s="4" t="s">
        <v>27</v>
      </c>
      <c r="I1087" s="4" t="s">
        <v>715</v>
      </c>
      <c r="J1087" s="4" t="s">
        <v>715</v>
      </c>
      <c r="K1087" s="5">
        <v>6276422</v>
      </c>
      <c r="L1087" s="5">
        <v>323067</v>
      </c>
      <c r="M1087" s="5">
        <v>19</v>
      </c>
      <c r="N1087" s="5">
        <v>4</v>
      </c>
      <c r="O1087" s="5">
        <v>42.4</v>
      </c>
      <c r="P1087" s="5"/>
    </row>
    <row r="1088" spans="1:16" x14ac:dyDescent="0.25">
      <c r="A1088" s="4" t="s">
        <v>13</v>
      </c>
      <c r="B1088" s="4" t="s">
        <v>423</v>
      </c>
      <c r="C1088" s="5">
        <v>35591</v>
      </c>
      <c r="D1088" s="4" t="s">
        <v>37</v>
      </c>
      <c r="E1088" s="4" t="s">
        <v>151</v>
      </c>
      <c r="F1088" s="4" t="s">
        <v>425</v>
      </c>
      <c r="G1088" s="4" t="s">
        <v>26</v>
      </c>
      <c r="H1088" s="4" t="s">
        <v>27</v>
      </c>
      <c r="I1088" s="4" t="s">
        <v>715</v>
      </c>
      <c r="J1088" s="4" t="s">
        <v>715</v>
      </c>
      <c r="K1088" s="5">
        <v>6235812</v>
      </c>
      <c r="L1088" s="5">
        <v>341081</v>
      </c>
      <c r="M1088" s="5">
        <v>19</v>
      </c>
      <c r="N1088" s="5">
        <v>4</v>
      </c>
      <c r="O1088" s="5">
        <v>42.7</v>
      </c>
      <c r="P1088" s="5"/>
    </row>
    <row r="1089" spans="1:16" x14ac:dyDescent="0.25">
      <c r="A1089" s="4" t="s">
        <v>13</v>
      </c>
      <c r="B1089" s="4" t="s">
        <v>423</v>
      </c>
      <c r="C1089" s="5">
        <v>35598</v>
      </c>
      <c r="D1089" s="4" t="s">
        <v>37</v>
      </c>
      <c r="E1089" s="4" t="s">
        <v>169</v>
      </c>
      <c r="F1089" s="4" t="s">
        <v>295</v>
      </c>
      <c r="G1089" s="4" t="s">
        <v>26</v>
      </c>
      <c r="H1089" s="4" t="s">
        <v>27</v>
      </c>
      <c r="I1089" s="4" t="s">
        <v>715</v>
      </c>
      <c r="J1089" s="4" t="s">
        <v>715</v>
      </c>
      <c r="K1089" s="5">
        <v>6228264</v>
      </c>
      <c r="L1089" s="5">
        <v>342453</v>
      </c>
      <c r="M1089" s="5">
        <v>19</v>
      </c>
      <c r="N1089" s="5">
        <v>1</v>
      </c>
      <c r="O1089" s="5">
        <v>49</v>
      </c>
      <c r="P1089" s="5"/>
    </row>
    <row r="1090" spans="1:16" x14ac:dyDescent="0.25">
      <c r="A1090" s="4" t="s">
        <v>21</v>
      </c>
      <c r="B1090" s="4" t="s">
        <v>423</v>
      </c>
      <c r="C1090" s="5">
        <v>35600</v>
      </c>
      <c r="D1090" s="4" t="s">
        <v>37</v>
      </c>
      <c r="E1090" s="4" t="s">
        <v>73</v>
      </c>
      <c r="F1090" s="4" t="s">
        <v>73</v>
      </c>
      <c r="G1090" s="4" t="s">
        <v>26</v>
      </c>
      <c r="H1090" s="4" t="s">
        <v>27</v>
      </c>
      <c r="I1090" s="4" t="s">
        <v>715</v>
      </c>
      <c r="J1090" s="4" t="s">
        <v>638</v>
      </c>
      <c r="K1090" s="12">
        <v>6153526</v>
      </c>
      <c r="L1090" s="12">
        <v>313950</v>
      </c>
      <c r="M1090" s="12">
        <v>19</v>
      </c>
      <c r="N1090" s="5">
        <v>2</v>
      </c>
      <c r="O1090" s="5">
        <v>19.34</v>
      </c>
      <c r="P1090" s="5" t="s">
        <v>650</v>
      </c>
    </row>
    <row r="1091" spans="1:16" x14ac:dyDescent="0.25">
      <c r="A1091" s="4" t="s">
        <v>21</v>
      </c>
      <c r="B1091" s="4" t="s">
        <v>423</v>
      </c>
      <c r="C1091" s="5">
        <v>35601</v>
      </c>
      <c r="D1091" s="4" t="s">
        <v>33</v>
      </c>
      <c r="E1091" s="4" t="s">
        <v>247</v>
      </c>
      <c r="F1091" s="4" t="s">
        <v>247</v>
      </c>
      <c r="G1091" s="4" t="s">
        <v>26</v>
      </c>
      <c r="H1091" s="4" t="s">
        <v>27</v>
      </c>
      <c r="I1091" s="4" t="s">
        <v>715</v>
      </c>
      <c r="J1091" s="4" t="s">
        <v>715</v>
      </c>
      <c r="K1091" s="5">
        <v>6121985</v>
      </c>
      <c r="L1091" s="5">
        <v>292301</v>
      </c>
      <c r="M1091" s="5">
        <v>19</v>
      </c>
      <c r="N1091" s="5">
        <v>1</v>
      </c>
      <c r="O1091" s="5">
        <v>35</v>
      </c>
      <c r="P1091" s="5"/>
    </row>
    <row r="1092" spans="1:16" x14ac:dyDescent="0.25">
      <c r="A1092" s="4" t="s">
        <v>21</v>
      </c>
      <c r="B1092" s="4" t="s">
        <v>423</v>
      </c>
      <c r="C1092" s="5">
        <v>35602</v>
      </c>
      <c r="D1092" s="4" t="s">
        <v>33</v>
      </c>
      <c r="E1092" s="4" t="s">
        <v>34</v>
      </c>
      <c r="F1092" s="4" t="s">
        <v>247</v>
      </c>
      <c r="G1092" s="4" t="s">
        <v>26</v>
      </c>
      <c r="H1092" s="4" t="s">
        <v>27</v>
      </c>
      <c r="I1092" s="4" t="s">
        <v>715</v>
      </c>
      <c r="J1092" s="4" t="s">
        <v>715</v>
      </c>
      <c r="K1092" s="5">
        <v>6122341</v>
      </c>
      <c r="L1092" s="5">
        <v>292668</v>
      </c>
      <c r="M1092" s="5">
        <v>19</v>
      </c>
      <c r="N1092" s="5">
        <v>1</v>
      </c>
      <c r="O1092" s="5">
        <v>18</v>
      </c>
      <c r="P1092" s="5"/>
    </row>
    <row r="1093" spans="1:16" x14ac:dyDescent="0.25">
      <c r="A1093" s="4" t="s">
        <v>13</v>
      </c>
      <c r="B1093" s="4" t="s">
        <v>423</v>
      </c>
      <c r="C1093" s="5">
        <v>35603</v>
      </c>
      <c r="D1093" s="4" t="s">
        <v>37</v>
      </c>
      <c r="E1093" s="4" t="s">
        <v>169</v>
      </c>
      <c r="F1093" s="4" t="s">
        <v>426</v>
      </c>
      <c r="G1093" s="4" t="s">
        <v>26</v>
      </c>
      <c r="H1093" s="4" t="s">
        <v>27</v>
      </c>
      <c r="I1093" s="4" t="s">
        <v>715</v>
      </c>
      <c r="J1093" s="4" t="s">
        <v>715</v>
      </c>
      <c r="K1093" s="5">
        <v>6158764</v>
      </c>
      <c r="L1093" s="5">
        <v>316050</v>
      </c>
      <c r="M1093" s="5">
        <v>19</v>
      </c>
      <c r="N1093" s="5">
        <v>1</v>
      </c>
      <c r="O1093" s="5">
        <v>4.4000000000000004</v>
      </c>
      <c r="P1093" s="5"/>
    </row>
    <row r="1094" spans="1:16" x14ac:dyDescent="0.25">
      <c r="A1094" s="4" t="s">
        <v>13</v>
      </c>
      <c r="B1094" s="4" t="s">
        <v>423</v>
      </c>
      <c r="C1094" s="5">
        <v>35605</v>
      </c>
      <c r="D1094" s="4" t="s">
        <v>37</v>
      </c>
      <c r="E1094" s="4" t="s">
        <v>73</v>
      </c>
      <c r="F1094" s="4" t="s">
        <v>73</v>
      </c>
      <c r="G1094" s="4" t="s">
        <v>26</v>
      </c>
      <c r="H1094" s="4" t="s">
        <v>27</v>
      </c>
      <c r="I1094" s="4" t="s">
        <v>715</v>
      </c>
      <c r="J1094" s="4" t="s">
        <v>715</v>
      </c>
      <c r="K1094" s="5">
        <v>6154121</v>
      </c>
      <c r="L1094" s="5">
        <v>319447</v>
      </c>
      <c r="M1094" s="5">
        <v>19</v>
      </c>
      <c r="N1094" s="5">
        <v>4</v>
      </c>
      <c r="O1094" s="5">
        <v>57.68</v>
      </c>
      <c r="P1094" s="5"/>
    </row>
    <row r="1095" spans="1:16" x14ac:dyDescent="0.25">
      <c r="A1095" s="4" t="s">
        <v>13</v>
      </c>
      <c r="B1095" s="4" t="s">
        <v>423</v>
      </c>
      <c r="C1095" s="5">
        <v>35607</v>
      </c>
      <c r="D1095" s="4" t="s">
        <v>37</v>
      </c>
      <c r="E1095" s="4" t="s">
        <v>73</v>
      </c>
      <c r="F1095" s="4" t="s">
        <v>73</v>
      </c>
      <c r="G1095" s="4" t="s">
        <v>26</v>
      </c>
      <c r="H1095" s="4" t="s">
        <v>27</v>
      </c>
      <c r="I1095" s="4" t="s">
        <v>715</v>
      </c>
      <c r="J1095" s="4" t="s">
        <v>715</v>
      </c>
      <c r="K1095" s="5">
        <v>6154475</v>
      </c>
      <c r="L1095" s="5">
        <v>320035</v>
      </c>
      <c r="M1095" s="5">
        <v>19</v>
      </c>
      <c r="N1095" s="5">
        <v>2</v>
      </c>
      <c r="O1095" s="5">
        <v>21.01</v>
      </c>
      <c r="P1095" s="5"/>
    </row>
    <row r="1096" spans="1:16" x14ac:dyDescent="0.25">
      <c r="A1096" s="4" t="s">
        <v>21</v>
      </c>
      <c r="B1096" s="4" t="s">
        <v>423</v>
      </c>
      <c r="C1096" s="5">
        <v>35608</v>
      </c>
      <c r="D1096" s="4" t="s">
        <v>33</v>
      </c>
      <c r="E1096" s="4" t="s">
        <v>247</v>
      </c>
      <c r="F1096" s="4" t="s">
        <v>247</v>
      </c>
      <c r="G1096" s="4" t="s">
        <v>26</v>
      </c>
      <c r="H1096" s="4" t="s">
        <v>27</v>
      </c>
      <c r="I1096" s="4" t="s">
        <v>715</v>
      </c>
      <c r="J1096" s="4" t="s">
        <v>715</v>
      </c>
      <c r="K1096" s="5">
        <v>6121103</v>
      </c>
      <c r="L1096" s="5">
        <v>293063</v>
      </c>
      <c r="M1096" s="5">
        <v>19</v>
      </c>
      <c r="N1096" s="5">
        <v>1</v>
      </c>
      <c r="O1096" s="5">
        <v>13</v>
      </c>
      <c r="P1096" s="5"/>
    </row>
    <row r="1097" spans="1:16" x14ac:dyDescent="0.25">
      <c r="A1097" s="4" t="s">
        <v>21</v>
      </c>
      <c r="B1097" s="4" t="s">
        <v>423</v>
      </c>
      <c r="C1097" s="5">
        <v>35609</v>
      </c>
      <c r="D1097" s="4" t="s">
        <v>37</v>
      </c>
      <c r="E1097" s="4" t="s">
        <v>73</v>
      </c>
      <c r="F1097" s="4" t="s">
        <v>73</v>
      </c>
      <c r="G1097" s="4" t="s">
        <v>26</v>
      </c>
      <c r="H1097" s="4" t="s">
        <v>27</v>
      </c>
      <c r="I1097" s="4" t="s">
        <v>715</v>
      </c>
      <c r="J1097" s="4" t="s">
        <v>715</v>
      </c>
      <c r="K1097" s="5">
        <v>6151809</v>
      </c>
      <c r="L1097" s="5">
        <v>316757</v>
      </c>
      <c r="M1097" s="5">
        <v>19</v>
      </c>
      <c r="N1097" s="5">
        <v>1</v>
      </c>
      <c r="O1097" s="5">
        <v>4</v>
      </c>
      <c r="P1097" s="5"/>
    </row>
    <row r="1098" spans="1:16" x14ac:dyDescent="0.25">
      <c r="A1098" s="4" t="s">
        <v>21</v>
      </c>
      <c r="B1098" s="4" t="s">
        <v>423</v>
      </c>
      <c r="C1098" s="5">
        <v>35611</v>
      </c>
      <c r="D1098" s="4" t="s">
        <v>33</v>
      </c>
      <c r="E1098" s="4" t="s">
        <v>247</v>
      </c>
      <c r="F1098" s="4" t="s">
        <v>247</v>
      </c>
      <c r="G1098" s="4" t="s">
        <v>26</v>
      </c>
      <c r="H1098" s="4" t="s">
        <v>27</v>
      </c>
      <c r="I1098" s="4" t="s">
        <v>715</v>
      </c>
      <c r="J1098" s="4" t="s">
        <v>715</v>
      </c>
      <c r="K1098" s="5" t="s">
        <v>709</v>
      </c>
      <c r="L1098" s="5">
        <v>292886</v>
      </c>
      <c r="M1098" s="5">
        <v>19</v>
      </c>
      <c r="N1098" s="5">
        <v>5</v>
      </c>
      <c r="O1098" s="5">
        <v>42.13</v>
      </c>
      <c r="P1098" s="5"/>
    </row>
    <row r="1099" spans="1:16" x14ac:dyDescent="0.25">
      <c r="A1099" s="4" t="s">
        <v>21</v>
      </c>
      <c r="B1099" s="4" t="s">
        <v>423</v>
      </c>
      <c r="C1099" s="5">
        <v>35613</v>
      </c>
      <c r="D1099" s="4" t="s">
        <v>33</v>
      </c>
      <c r="E1099" s="4" t="s">
        <v>247</v>
      </c>
      <c r="F1099" s="4" t="s">
        <v>247</v>
      </c>
      <c r="G1099" s="4" t="s">
        <v>26</v>
      </c>
      <c r="H1099" s="4" t="s">
        <v>27</v>
      </c>
      <c r="I1099" s="4" t="s">
        <v>715</v>
      </c>
      <c r="J1099" s="4" t="s">
        <v>638</v>
      </c>
      <c r="K1099" s="5">
        <v>6121589</v>
      </c>
      <c r="L1099" s="5">
        <v>293838</v>
      </c>
      <c r="M1099" s="5">
        <v>19</v>
      </c>
      <c r="N1099" s="5">
        <v>4</v>
      </c>
      <c r="O1099" s="5">
        <v>33.5</v>
      </c>
      <c r="P1099" s="5"/>
    </row>
    <row r="1100" spans="1:16" x14ac:dyDescent="0.25">
      <c r="A1100" s="4" t="s">
        <v>21</v>
      </c>
      <c r="B1100" s="4" t="s">
        <v>423</v>
      </c>
      <c r="C1100" s="5">
        <v>35657</v>
      </c>
      <c r="D1100" s="4" t="s">
        <v>37</v>
      </c>
      <c r="E1100" s="4" t="s">
        <v>73</v>
      </c>
      <c r="F1100" s="4" t="s">
        <v>73</v>
      </c>
      <c r="G1100" s="4" t="s">
        <v>26</v>
      </c>
      <c r="H1100" s="4" t="s">
        <v>27</v>
      </c>
      <c r="I1100" s="4" t="s">
        <v>715</v>
      </c>
      <c r="J1100" s="4" t="s">
        <v>715</v>
      </c>
      <c r="K1100" s="5">
        <v>6152448</v>
      </c>
      <c r="L1100" s="5">
        <v>317343</v>
      </c>
      <c r="M1100" s="5">
        <v>19</v>
      </c>
      <c r="N1100" s="5">
        <v>1</v>
      </c>
      <c r="O1100" s="5">
        <v>8.5</v>
      </c>
      <c r="P1100" s="5"/>
    </row>
    <row r="1101" spans="1:16" x14ac:dyDescent="0.25">
      <c r="A1101" s="4" t="s">
        <v>13</v>
      </c>
      <c r="B1101" s="4" t="s">
        <v>423</v>
      </c>
      <c r="C1101" s="5">
        <v>35659</v>
      </c>
      <c r="D1101" s="4" t="s">
        <v>37</v>
      </c>
      <c r="E1101" s="4" t="s">
        <v>73</v>
      </c>
      <c r="F1101" s="4" t="s">
        <v>248</v>
      </c>
      <c r="G1101" s="4" t="s">
        <v>26</v>
      </c>
      <c r="H1101" s="4" t="s">
        <v>27</v>
      </c>
      <c r="I1101" s="4" t="s">
        <v>715</v>
      </c>
      <c r="J1101" s="4" t="s">
        <v>715</v>
      </c>
      <c r="K1101" s="5">
        <v>6158822</v>
      </c>
      <c r="L1101" s="5">
        <v>321609</v>
      </c>
      <c r="M1101" s="5">
        <v>19</v>
      </c>
      <c r="N1101" s="5">
        <v>1</v>
      </c>
      <c r="O1101" s="5">
        <v>15</v>
      </c>
      <c r="P1101" s="5"/>
    </row>
    <row r="1102" spans="1:16" x14ac:dyDescent="0.25">
      <c r="A1102" s="4" t="s">
        <v>13</v>
      </c>
      <c r="B1102" s="4" t="s">
        <v>423</v>
      </c>
      <c r="C1102" s="5">
        <v>35661</v>
      </c>
      <c r="D1102" s="4" t="s">
        <v>37</v>
      </c>
      <c r="E1102" s="4" t="s">
        <v>73</v>
      </c>
      <c r="F1102" s="4" t="s">
        <v>162</v>
      </c>
      <c r="G1102" s="4" t="s">
        <v>26</v>
      </c>
      <c r="H1102" s="4" t="s">
        <v>27</v>
      </c>
      <c r="I1102" s="4" t="s">
        <v>715</v>
      </c>
      <c r="J1102" s="4" t="s">
        <v>715</v>
      </c>
      <c r="K1102" s="5">
        <v>6158795</v>
      </c>
      <c r="L1102" s="5">
        <v>316345</v>
      </c>
      <c r="M1102" s="5">
        <v>19</v>
      </c>
      <c r="N1102" s="5">
        <v>1</v>
      </c>
      <c r="O1102" s="5">
        <v>14</v>
      </c>
      <c r="P1102" s="5"/>
    </row>
    <row r="1103" spans="1:16" x14ac:dyDescent="0.25">
      <c r="A1103" s="4" t="s">
        <v>13</v>
      </c>
      <c r="B1103" s="4" t="s">
        <v>423</v>
      </c>
      <c r="C1103" s="5">
        <v>35663</v>
      </c>
      <c r="D1103" s="4" t="s">
        <v>37</v>
      </c>
      <c r="E1103" s="4" t="s">
        <v>169</v>
      </c>
      <c r="F1103" s="4" t="s">
        <v>75</v>
      </c>
      <c r="G1103" s="4" t="s">
        <v>26</v>
      </c>
      <c r="H1103" s="4" t="s">
        <v>27</v>
      </c>
      <c r="I1103" s="4" t="s">
        <v>715</v>
      </c>
      <c r="J1103" s="4" t="s">
        <v>715</v>
      </c>
      <c r="K1103" s="5">
        <v>6231397</v>
      </c>
      <c r="L1103" s="5">
        <v>349474</v>
      </c>
      <c r="M1103" s="5">
        <v>19</v>
      </c>
      <c r="N1103" s="5">
        <v>3</v>
      </c>
      <c r="O1103" s="5">
        <v>25</v>
      </c>
      <c r="P1103" s="5"/>
    </row>
    <row r="1104" spans="1:16" x14ac:dyDescent="0.25">
      <c r="A1104" s="4" t="s">
        <v>21</v>
      </c>
      <c r="B1104" s="4" t="s">
        <v>423</v>
      </c>
      <c r="C1104" s="5">
        <v>35669</v>
      </c>
      <c r="D1104" s="4" t="s">
        <v>23</v>
      </c>
      <c r="E1104" s="4" t="s">
        <v>427</v>
      </c>
      <c r="F1104" s="4" t="s">
        <v>428</v>
      </c>
      <c r="G1104" s="4" t="s">
        <v>26</v>
      </c>
      <c r="H1104" s="4" t="s">
        <v>18</v>
      </c>
      <c r="I1104" s="4" t="s">
        <v>715</v>
      </c>
      <c r="J1104" s="4" t="s">
        <v>715</v>
      </c>
      <c r="K1104" s="5">
        <v>6325681</v>
      </c>
      <c r="L1104" s="5">
        <v>325607</v>
      </c>
      <c r="M1104" s="5">
        <v>19</v>
      </c>
      <c r="N1104" s="5">
        <v>1</v>
      </c>
      <c r="O1104" s="5">
        <v>1.1000000000000001</v>
      </c>
      <c r="P1104" s="5"/>
    </row>
    <row r="1105" spans="1:16" x14ac:dyDescent="0.25">
      <c r="A1105" s="4" t="s">
        <v>21</v>
      </c>
      <c r="B1105" s="4" t="s">
        <v>423</v>
      </c>
      <c r="C1105" s="5">
        <v>35670</v>
      </c>
      <c r="D1105" s="4" t="s">
        <v>37</v>
      </c>
      <c r="E1105" s="4" t="s">
        <v>295</v>
      </c>
      <c r="F1105" s="4" t="s">
        <v>429</v>
      </c>
      <c r="G1105" s="4" t="s">
        <v>26</v>
      </c>
      <c r="H1105" s="4" t="s">
        <v>18</v>
      </c>
      <c r="I1105" s="4" t="s">
        <v>715</v>
      </c>
      <c r="J1105" s="4" t="s">
        <v>715</v>
      </c>
      <c r="K1105" s="5">
        <v>6222953</v>
      </c>
      <c r="L1105" s="5">
        <v>344307</v>
      </c>
      <c r="M1105" s="5">
        <v>19</v>
      </c>
      <c r="N1105" s="5">
        <v>1</v>
      </c>
      <c r="O1105" s="5">
        <v>1</v>
      </c>
      <c r="P1105" s="5"/>
    </row>
    <row r="1106" spans="1:16" x14ac:dyDescent="0.25">
      <c r="A1106" s="4" t="s">
        <v>13</v>
      </c>
      <c r="B1106" s="4" t="s">
        <v>423</v>
      </c>
      <c r="C1106" s="5">
        <v>35671</v>
      </c>
      <c r="D1106" s="4" t="s">
        <v>23</v>
      </c>
      <c r="E1106" s="4" t="s">
        <v>356</v>
      </c>
      <c r="F1106" s="4" t="s">
        <v>380</v>
      </c>
      <c r="G1106" s="4" t="s">
        <v>26</v>
      </c>
      <c r="H1106" s="4" t="s">
        <v>27</v>
      </c>
      <c r="I1106" s="4" t="s">
        <v>715</v>
      </c>
      <c r="J1106" s="4" t="s">
        <v>715</v>
      </c>
      <c r="K1106" s="5">
        <v>6259926</v>
      </c>
      <c r="L1106" s="5">
        <v>337097</v>
      </c>
      <c r="M1106" s="5">
        <v>19</v>
      </c>
      <c r="N1106" s="5">
        <v>1</v>
      </c>
      <c r="O1106" s="5">
        <v>0.42</v>
      </c>
      <c r="P1106" s="5"/>
    </row>
    <row r="1107" spans="1:16" x14ac:dyDescent="0.25">
      <c r="A1107" s="4" t="s">
        <v>13</v>
      </c>
      <c r="B1107" s="4" t="s">
        <v>423</v>
      </c>
      <c r="C1107" s="5">
        <v>35673</v>
      </c>
      <c r="D1107" s="4" t="s">
        <v>37</v>
      </c>
      <c r="E1107" s="4" t="s">
        <v>73</v>
      </c>
      <c r="F1107" s="4" t="s">
        <v>162</v>
      </c>
      <c r="G1107" s="4" t="s">
        <v>26</v>
      </c>
      <c r="H1107" s="4" t="s">
        <v>27</v>
      </c>
      <c r="I1107" s="4" t="s">
        <v>715</v>
      </c>
      <c r="J1107" s="4" t="s">
        <v>715</v>
      </c>
      <c r="K1107" s="5">
        <v>6158445</v>
      </c>
      <c r="L1107" s="5">
        <v>316170</v>
      </c>
      <c r="M1107" s="5">
        <v>19</v>
      </c>
      <c r="N1107" s="5">
        <v>1</v>
      </c>
      <c r="O1107" s="5">
        <v>10</v>
      </c>
      <c r="P1107" s="5"/>
    </row>
    <row r="1108" spans="1:16" x14ac:dyDescent="0.25">
      <c r="A1108" s="4" t="s">
        <v>13</v>
      </c>
      <c r="B1108" s="4" t="s">
        <v>423</v>
      </c>
      <c r="C1108" s="5">
        <v>35674</v>
      </c>
      <c r="D1108" s="4" t="s">
        <v>37</v>
      </c>
      <c r="E1108" s="4" t="s">
        <v>73</v>
      </c>
      <c r="F1108" s="4" t="s">
        <v>162</v>
      </c>
      <c r="G1108" s="4" t="s">
        <v>26</v>
      </c>
      <c r="H1108" s="4" t="s">
        <v>27</v>
      </c>
      <c r="I1108" s="4" t="s">
        <v>715</v>
      </c>
      <c r="J1108" s="4" t="s">
        <v>715</v>
      </c>
      <c r="K1108" s="5">
        <v>6258589</v>
      </c>
      <c r="L1108" s="5">
        <v>315785</v>
      </c>
      <c r="M1108" s="5">
        <v>19</v>
      </c>
      <c r="N1108" s="5">
        <v>1</v>
      </c>
      <c r="O1108" s="5">
        <v>8.5</v>
      </c>
      <c r="P1108" s="5"/>
    </row>
    <row r="1109" spans="1:16" x14ac:dyDescent="0.25">
      <c r="A1109" s="4" t="s">
        <v>13</v>
      </c>
      <c r="B1109" s="4" t="s">
        <v>423</v>
      </c>
      <c r="C1109" s="5">
        <v>35675</v>
      </c>
      <c r="D1109" s="4" t="s">
        <v>37</v>
      </c>
      <c r="E1109" s="4" t="s">
        <v>73</v>
      </c>
      <c r="F1109" s="4" t="s">
        <v>149</v>
      </c>
      <c r="G1109" s="4" t="s">
        <v>26</v>
      </c>
      <c r="H1109" s="4" t="s">
        <v>27</v>
      </c>
      <c r="I1109" s="4" t="s">
        <v>715</v>
      </c>
      <c r="J1109" s="4" t="s">
        <v>715</v>
      </c>
      <c r="K1109" s="5">
        <v>6158336</v>
      </c>
      <c r="L1109" s="5">
        <v>315380</v>
      </c>
      <c r="M1109" s="5">
        <v>19</v>
      </c>
      <c r="N1109" s="5">
        <v>1</v>
      </c>
      <c r="O1109" s="5">
        <v>18</v>
      </c>
      <c r="P1109" s="5"/>
    </row>
    <row r="1110" spans="1:16" x14ac:dyDescent="0.25">
      <c r="A1110" s="4" t="s">
        <v>13</v>
      </c>
      <c r="B1110" s="4" t="s">
        <v>423</v>
      </c>
      <c r="C1110" s="5">
        <v>35676</v>
      </c>
      <c r="D1110" s="4" t="s">
        <v>37</v>
      </c>
      <c r="E1110" s="4" t="s">
        <v>73</v>
      </c>
      <c r="F1110" s="4" t="s">
        <v>162</v>
      </c>
      <c r="G1110" s="4" t="s">
        <v>26</v>
      </c>
      <c r="H1110" s="4" t="s">
        <v>27</v>
      </c>
      <c r="I1110" s="4" t="s">
        <v>715</v>
      </c>
      <c r="J1110" s="4" t="s">
        <v>715</v>
      </c>
      <c r="K1110" s="5">
        <v>6158622</v>
      </c>
      <c r="L1110" s="5">
        <v>316794</v>
      </c>
      <c r="M1110" s="5">
        <v>19</v>
      </c>
      <c r="N1110" s="5">
        <v>1</v>
      </c>
      <c r="O1110" s="5">
        <v>9.92</v>
      </c>
      <c r="P1110" s="5"/>
    </row>
    <row r="1111" spans="1:16" x14ac:dyDescent="0.25">
      <c r="A1111" s="4" t="s">
        <v>21</v>
      </c>
      <c r="B1111" s="4" t="s">
        <v>423</v>
      </c>
      <c r="C1111" s="5">
        <v>35677</v>
      </c>
      <c r="D1111" s="4" t="s">
        <v>58</v>
      </c>
      <c r="E1111" s="4" t="s">
        <v>59</v>
      </c>
      <c r="F1111" s="4" t="s">
        <v>112</v>
      </c>
      <c r="G1111" s="4" t="s">
        <v>57</v>
      </c>
      <c r="H1111" s="4" t="s">
        <v>27</v>
      </c>
      <c r="I1111" s="4" t="s">
        <v>715</v>
      </c>
      <c r="J1111" s="4" t="s">
        <v>638</v>
      </c>
      <c r="K1111" s="5">
        <v>5848689</v>
      </c>
      <c r="L1111" s="5">
        <v>740715</v>
      </c>
      <c r="M1111" s="5">
        <v>18</v>
      </c>
      <c r="N1111" s="5">
        <v>1</v>
      </c>
      <c r="O1111" s="5">
        <v>10</v>
      </c>
      <c r="P1111" s="5"/>
    </row>
    <row r="1112" spans="1:16" x14ac:dyDescent="0.25">
      <c r="A1112" s="4" t="s">
        <v>13</v>
      </c>
      <c r="B1112" s="4" t="s">
        <v>423</v>
      </c>
      <c r="C1112" s="5">
        <v>35682</v>
      </c>
      <c r="D1112" s="4" t="s">
        <v>37</v>
      </c>
      <c r="E1112" s="4" t="s">
        <v>73</v>
      </c>
      <c r="F1112" s="4" t="s">
        <v>430</v>
      </c>
      <c r="G1112" s="4" t="s">
        <v>26</v>
      </c>
      <c r="H1112" s="4" t="s">
        <v>27</v>
      </c>
      <c r="I1112" s="4" t="s">
        <v>715</v>
      </c>
      <c r="J1112" s="4" t="s">
        <v>715</v>
      </c>
      <c r="K1112" s="5">
        <v>6157883</v>
      </c>
      <c r="L1112" s="5">
        <v>321748</v>
      </c>
      <c r="M1112" s="5">
        <v>19</v>
      </c>
      <c r="N1112" s="5">
        <v>1</v>
      </c>
      <c r="O1112" s="5">
        <v>6.5</v>
      </c>
      <c r="P1112" s="5"/>
    </row>
    <row r="1113" spans="1:16" x14ac:dyDescent="0.25">
      <c r="A1113" s="4" t="s">
        <v>21</v>
      </c>
      <c r="B1113" s="4" t="s">
        <v>423</v>
      </c>
      <c r="C1113" s="5">
        <v>35684</v>
      </c>
      <c r="D1113" s="4" t="s">
        <v>97</v>
      </c>
      <c r="E1113" s="4" t="s">
        <v>234</v>
      </c>
      <c r="F1113" s="4" t="s">
        <v>234</v>
      </c>
      <c r="G1113" s="4" t="s">
        <v>57</v>
      </c>
      <c r="H1113" s="4" t="s">
        <v>27</v>
      </c>
      <c r="I1113" s="4" t="s">
        <v>715</v>
      </c>
      <c r="J1113" s="4" t="s">
        <v>638</v>
      </c>
      <c r="K1113" s="5">
        <v>5712990</v>
      </c>
      <c r="L1113" s="5">
        <v>677579</v>
      </c>
      <c r="M1113" s="5">
        <v>18</v>
      </c>
      <c r="N1113" s="5">
        <v>3</v>
      </c>
      <c r="O1113" s="5">
        <v>31</v>
      </c>
      <c r="P1113" s="5"/>
    </row>
    <row r="1114" spans="1:16" x14ac:dyDescent="0.25">
      <c r="A1114" s="4" t="s">
        <v>21</v>
      </c>
      <c r="B1114" s="4" t="s">
        <v>423</v>
      </c>
      <c r="C1114" s="5">
        <v>35685</v>
      </c>
      <c r="D1114" s="4" t="s">
        <v>37</v>
      </c>
      <c r="E1114" s="4" t="s">
        <v>73</v>
      </c>
      <c r="F1114" s="4" t="s">
        <v>73</v>
      </c>
      <c r="G1114" s="4" t="s">
        <v>26</v>
      </c>
      <c r="H1114" s="4" t="s">
        <v>27</v>
      </c>
      <c r="I1114" s="4" t="s">
        <v>715</v>
      </c>
      <c r="J1114" s="4" t="s">
        <v>715</v>
      </c>
      <c r="K1114" s="5">
        <v>6150493</v>
      </c>
      <c r="L1114" s="5">
        <v>317052</v>
      </c>
      <c r="M1114" s="5">
        <v>19</v>
      </c>
      <c r="N1114" s="5">
        <v>2</v>
      </c>
      <c r="O1114" s="5">
        <v>17.16</v>
      </c>
      <c r="P1114" s="5"/>
    </row>
    <row r="1115" spans="1:16" x14ac:dyDescent="0.25">
      <c r="A1115" s="4" t="s">
        <v>21</v>
      </c>
      <c r="B1115" s="4" t="s">
        <v>423</v>
      </c>
      <c r="C1115" s="5">
        <v>35687</v>
      </c>
      <c r="D1115" s="4" t="s">
        <v>97</v>
      </c>
      <c r="E1115" s="4" t="s">
        <v>234</v>
      </c>
      <c r="F1115" s="4" t="s">
        <v>234</v>
      </c>
      <c r="G1115" s="4" t="s">
        <v>57</v>
      </c>
      <c r="H1115" s="4" t="s">
        <v>27</v>
      </c>
      <c r="I1115" s="4" t="s">
        <v>715</v>
      </c>
      <c r="J1115" s="4" t="s">
        <v>638</v>
      </c>
      <c r="K1115" s="5">
        <v>5712723</v>
      </c>
      <c r="L1115" s="5">
        <v>675758</v>
      </c>
      <c r="M1115" s="5">
        <v>18</v>
      </c>
      <c r="N1115" s="5">
        <v>2</v>
      </c>
      <c r="O1115" s="5">
        <v>12</v>
      </c>
      <c r="P1115" s="5"/>
    </row>
    <row r="1116" spans="1:16" x14ac:dyDescent="0.25">
      <c r="A1116" s="4" t="s">
        <v>21</v>
      </c>
      <c r="B1116" s="4" t="s">
        <v>423</v>
      </c>
      <c r="C1116" s="5">
        <v>35688</v>
      </c>
      <c r="D1116" s="4" t="s">
        <v>37</v>
      </c>
      <c r="E1116" s="4" t="s">
        <v>73</v>
      </c>
      <c r="F1116" s="4" t="s">
        <v>73</v>
      </c>
      <c r="G1116" s="4" t="s">
        <v>26</v>
      </c>
      <c r="H1116" s="4" t="s">
        <v>27</v>
      </c>
      <c r="I1116" s="4" t="s">
        <v>715</v>
      </c>
      <c r="J1116" s="4" t="s">
        <v>715</v>
      </c>
      <c r="K1116" s="5">
        <v>6153115</v>
      </c>
      <c r="L1116" s="5">
        <v>316713</v>
      </c>
      <c r="M1116" s="5">
        <v>19</v>
      </c>
      <c r="N1116" s="5">
        <v>1</v>
      </c>
      <c r="O1116" s="5">
        <v>17</v>
      </c>
      <c r="P1116" s="5"/>
    </row>
    <row r="1117" spans="1:16" x14ac:dyDescent="0.25">
      <c r="A1117" s="4" t="s">
        <v>21</v>
      </c>
      <c r="B1117" s="4" t="s">
        <v>423</v>
      </c>
      <c r="C1117" s="5">
        <v>35689</v>
      </c>
      <c r="D1117" s="4" t="s">
        <v>37</v>
      </c>
      <c r="E1117" s="4" t="s">
        <v>73</v>
      </c>
      <c r="F1117" s="4" t="s">
        <v>73</v>
      </c>
      <c r="G1117" s="4" t="s">
        <v>26</v>
      </c>
      <c r="H1117" s="4" t="s">
        <v>27</v>
      </c>
      <c r="I1117" s="4" t="s">
        <v>715</v>
      </c>
      <c r="J1117" s="4" t="s">
        <v>715</v>
      </c>
      <c r="K1117" s="5">
        <v>6150400</v>
      </c>
      <c r="L1117" s="5">
        <v>316439</v>
      </c>
      <c r="M1117" s="5">
        <v>19</v>
      </c>
      <c r="N1117" s="5">
        <v>1</v>
      </c>
      <c r="O1117" s="5">
        <v>10</v>
      </c>
      <c r="P1117" s="5"/>
    </row>
    <row r="1118" spans="1:16" x14ac:dyDescent="0.25">
      <c r="A1118" s="4" t="s">
        <v>21</v>
      </c>
      <c r="B1118" s="4" t="s">
        <v>423</v>
      </c>
      <c r="C1118" s="5">
        <v>35690</v>
      </c>
      <c r="D1118" s="4" t="s">
        <v>58</v>
      </c>
      <c r="E1118" s="4" t="s">
        <v>59</v>
      </c>
      <c r="F1118" s="4" t="s">
        <v>59</v>
      </c>
      <c r="G1118" s="4" t="s">
        <v>57</v>
      </c>
      <c r="H1118" s="4" t="s">
        <v>27</v>
      </c>
      <c r="I1118" s="4" t="s">
        <v>715</v>
      </c>
      <c r="J1118" s="4" t="s">
        <v>638</v>
      </c>
      <c r="K1118" s="5">
        <v>5850233</v>
      </c>
      <c r="L1118" s="5">
        <v>724126</v>
      </c>
      <c r="M1118" s="5">
        <v>18</v>
      </c>
      <c r="N1118" s="5">
        <v>3</v>
      </c>
      <c r="O1118" s="5">
        <v>35</v>
      </c>
      <c r="P1118" s="5"/>
    </row>
    <row r="1119" spans="1:16" x14ac:dyDescent="0.25">
      <c r="A1119" s="4" t="s">
        <v>21</v>
      </c>
      <c r="B1119" s="4" t="s">
        <v>423</v>
      </c>
      <c r="C1119" s="5">
        <v>35691</v>
      </c>
      <c r="D1119" s="4" t="s">
        <v>37</v>
      </c>
      <c r="E1119" s="4" t="s">
        <v>73</v>
      </c>
      <c r="F1119" s="4" t="s">
        <v>73</v>
      </c>
      <c r="G1119" s="4" t="s">
        <v>26</v>
      </c>
      <c r="H1119" s="4" t="s">
        <v>27</v>
      </c>
      <c r="I1119" s="4" t="s">
        <v>715</v>
      </c>
      <c r="J1119" s="4" t="s">
        <v>715</v>
      </c>
      <c r="K1119" s="5">
        <v>6150367</v>
      </c>
      <c r="L1119" s="5">
        <v>316762</v>
      </c>
      <c r="M1119" s="5">
        <v>19</v>
      </c>
      <c r="N1119" s="5">
        <v>1</v>
      </c>
      <c r="O1119" s="5">
        <v>11.5</v>
      </c>
      <c r="P1119" s="5"/>
    </row>
    <row r="1120" spans="1:16" x14ac:dyDescent="0.25">
      <c r="A1120" s="4" t="s">
        <v>21</v>
      </c>
      <c r="B1120" s="4" t="s">
        <v>423</v>
      </c>
      <c r="C1120" s="5">
        <v>35692</v>
      </c>
      <c r="D1120" s="4" t="s">
        <v>37</v>
      </c>
      <c r="E1120" s="4" t="s">
        <v>73</v>
      </c>
      <c r="F1120" s="4" t="s">
        <v>73</v>
      </c>
      <c r="G1120" s="4" t="s">
        <v>26</v>
      </c>
      <c r="H1120" s="4" t="s">
        <v>27</v>
      </c>
      <c r="I1120" s="4" t="s">
        <v>715</v>
      </c>
      <c r="J1120" s="4" t="s">
        <v>715</v>
      </c>
      <c r="K1120" s="5">
        <v>6152613</v>
      </c>
      <c r="L1120" s="5">
        <v>317219</v>
      </c>
      <c r="M1120" s="5">
        <v>19</v>
      </c>
      <c r="N1120" s="5">
        <v>1</v>
      </c>
      <c r="O1120" s="5">
        <v>6.8</v>
      </c>
      <c r="P1120" s="5"/>
    </row>
    <row r="1121" spans="1:16" x14ac:dyDescent="0.25">
      <c r="A1121" s="4" t="s">
        <v>21</v>
      </c>
      <c r="B1121" s="4" t="s">
        <v>423</v>
      </c>
      <c r="C1121" s="5">
        <v>35694</v>
      </c>
      <c r="D1121" s="4" t="s">
        <v>58</v>
      </c>
      <c r="E1121" s="4" t="s">
        <v>200</v>
      </c>
      <c r="F1121" s="4" t="s">
        <v>200</v>
      </c>
      <c r="G1121" s="4" t="s">
        <v>57</v>
      </c>
      <c r="H1121" s="4" t="s">
        <v>27</v>
      </c>
      <c r="I1121" s="4" t="s">
        <v>715</v>
      </c>
      <c r="J1121" s="4" t="s">
        <v>638</v>
      </c>
      <c r="K1121" s="5">
        <v>5830433</v>
      </c>
      <c r="L1121" s="5">
        <v>751218</v>
      </c>
      <c r="M1121" s="5">
        <v>18</v>
      </c>
      <c r="N1121" s="5">
        <v>1</v>
      </c>
      <c r="O1121" s="5">
        <v>72</v>
      </c>
      <c r="P1121" s="5"/>
    </row>
    <row r="1122" spans="1:16" x14ac:dyDescent="0.25">
      <c r="A1122" s="4" t="s">
        <v>13</v>
      </c>
      <c r="B1122" s="4" t="s">
        <v>423</v>
      </c>
      <c r="C1122" s="5">
        <v>35695</v>
      </c>
      <c r="D1122" s="4" t="s">
        <v>37</v>
      </c>
      <c r="E1122" s="4" t="s">
        <v>38</v>
      </c>
      <c r="F1122" s="4" t="s">
        <v>38</v>
      </c>
      <c r="G1122" s="4" t="s">
        <v>26</v>
      </c>
      <c r="H1122" s="4" t="s">
        <v>27</v>
      </c>
      <c r="I1122" s="4" t="s">
        <v>715</v>
      </c>
      <c r="J1122" s="4" t="s">
        <v>715</v>
      </c>
      <c r="K1122" s="5">
        <v>6173982</v>
      </c>
      <c r="L1122" s="5">
        <v>318154</v>
      </c>
      <c r="M1122" s="5">
        <v>19</v>
      </c>
      <c r="N1122" s="5">
        <v>1</v>
      </c>
      <c r="O1122" s="5">
        <v>8</v>
      </c>
      <c r="P1122" s="5"/>
    </row>
    <row r="1123" spans="1:16" x14ac:dyDescent="0.25">
      <c r="A1123" s="4" t="s">
        <v>13</v>
      </c>
      <c r="B1123" s="4" t="s">
        <v>423</v>
      </c>
      <c r="C1123" s="5">
        <v>35697</v>
      </c>
      <c r="D1123" s="4" t="s">
        <v>37</v>
      </c>
      <c r="E1123" s="4" t="s">
        <v>73</v>
      </c>
      <c r="F1123" s="4" t="s">
        <v>162</v>
      </c>
      <c r="G1123" s="4" t="s">
        <v>26</v>
      </c>
      <c r="H1123" s="4" t="s">
        <v>27</v>
      </c>
      <c r="I1123" s="4" t="s">
        <v>715</v>
      </c>
      <c r="J1123" s="4" t="s">
        <v>715</v>
      </c>
      <c r="K1123" s="5">
        <v>6158919</v>
      </c>
      <c r="L1123" s="5">
        <v>316918</v>
      </c>
      <c r="M1123" s="5">
        <v>19</v>
      </c>
      <c r="N1123" s="5">
        <v>1</v>
      </c>
      <c r="O1123" s="5">
        <v>4.2</v>
      </c>
      <c r="P1123" s="5"/>
    </row>
    <row r="1124" spans="1:16" x14ac:dyDescent="0.25">
      <c r="A1124" s="4" t="s">
        <v>13</v>
      </c>
      <c r="B1124" s="4" t="s">
        <v>423</v>
      </c>
      <c r="C1124" s="5">
        <v>35698</v>
      </c>
      <c r="D1124" s="4" t="s">
        <v>37</v>
      </c>
      <c r="E1124" s="4" t="s">
        <v>38</v>
      </c>
      <c r="F1124" s="4" t="s">
        <v>431</v>
      </c>
      <c r="G1124" s="4" t="s">
        <v>26</v>
      </c>
      <c r="H1124" s="4" t="s">
        <v>27</v>
      </c>
      <c r="I1124" s="4" t="s">
        <v>715</v>
      </c>
      <c r="J1124" s="4" t="s">
        <v>715</v>
      </c>
      <c r="K1124" s="5">
        <v>6173497</v>
      </c>
      <c r="L1124" s="5">
        <v>317823</v>
      </c>
      <c r="M1124" s="5">
        <v>19</v>
      </c>
      <c r="N1124" s="5">
        <v>3</v>
      </c>
      <c r="O1124" s="5">
        <v>12.1</v>
      </c>
      <c r="P1124" s="5"/>
    </row>
    <row r="1125" spans="1:16" x14ac:dyDescent="0.25">
      <c r="A1125" s="4" t="s">
        <v>13</v>
      </c>
      <c r="B1125" s="4" t="s">
        <v>423</v>
      </c>
      <c r="C1125" s="5">
        <v>35699</v>
      </c>
      <c r="D1125" s="4" t="s">
        <v>37</v>
      </c>
      <c r="E1125" s="4" t="s">
        <v>38</v>
      </c>
      <c r="F1125" s="4" t="s">
        <v>38</v>
      </c>
      <c r="G1125" s="4" t="s">
        <v>26</v>
      </c>
      <c r="H1125" s="4" t="s">
        <v>27</v>
      </c>
      <c r="I1125" s="4" t="s">
        <v>715</v>
      </c>
      <c r="J1125" s="4" t="s">
        <v>715</v>
      </c>
      <c r="K1125" s="5">
        <v>6173554</v>
      </c>
      <c r="L1125" s="5">
        <v>317959</v>
      </c>
      <c r="M1125" s="5">
        <v>19</v>
      </c>
      <c r="N1125" s="5">
        <v>1</v>
      </c>
      <c r="O1125" s="5">
        <v>1.5</v>
      </c>
      <c r="P1125" s="5"/>
    </row>
    <row r="1126" spans="1:16" x14ac:dyDescent="0.25">
      <c r="A1126" s="4" t="s">
        <v>21</v>
      </c>
      <c r="B1126" s="4" t="s">
        <v>423</v>
      </c>
      <c r="C1126" s="5">
        <v>35700</v>
      </c>
      <c r="D1126" s="4" t="s">
        <v>37</v>
      </c>
      <c r="E1126" s="4" t="s">
        <v>73</v>
      </c>
      <c r="F1126" s="4" t="s">
        <v>73</v>
      </c>
      <c r="G1126" s="4" t="s">
        <v>26</v>
      </c>
      <c r="H1126" s="4" t="s">
        <v>27</v>
      </c>
      <c r="I1126" s="4" t="s">
        <v>715</v>
      </c>
      <c r="J1126" s="4" t="s">
        <v>715</v>
      </c>
      <c r="K1126" s="5">
        <v>6150549</v>
      </c>
      <c r="L1126" s="5">
        <v>316156</v>
      </c>
      <c r="M1126" s="5">
        <v>19</v>
      </c>
      <c r="N1126" s="5">
        <v>1</v>
      </c>
      <c r="O1126" s="5">
        <v>16.8</v>
      </c>
      <c r="P1126" s="5"/>
    </row>
    <row r="1127" spans="1:16" x14ac:dyDescent="0.25">
      <c r="A1127" s="4" t="s">
        <v>21</v>
      </c>
      <c r="B1127" s="4" t="s">
        <v>423</v>
      </c>
      <c r="C1127" s="5">
        <v>35702</v>
      </c>
      <c r="D1127" s="4" t="s">
        <v>58</v>
      </c>
      <c r="E1127" s="4" t="s">
        <v>59</v>
      </c>
      <c r="F1127" s="4" t="s">
        <v>432</v>
      </c>
      <c r="G1127" s="4" t="s">
        <v>57</v>
      </c>
      <c r="H1127" s="4" t="s">
        <v>27</v>
      </c>
      <c r="I1127" s="4" t="s">
        <v>715</v>
      </c>
      <c r="J1127" s="4" t="s">
        <v>638</v>
      </c>
      <c r="K1127" s="5">
        <v>5853876</v>
      </c>
      <c r="L1127" s="5">
        <v>722450</v>
      </c>
      <c r="M1127" s="5">
        <v>18</v>
      </c>
      <c r="N1127" s="5">
        <v>1</v>
      </c>
      <c r="O1127" s="5">
        <v>7.5</v>
      </c>
      <c r="P1127" s="5"/>
    </row>
    <row r="1128" spans="1:16" x14ac:dyDescent="0.25">
      <c r="A1128" s="4" t="s">
        <v>21</v>
      </c>
      <c r="B1128" s="4" t="s">
        <v>423</v>
      </c>
      <c r="C1128" s="5">
        <v>35704</v>
      </c>
      <c r="D1128" s="4" t="s">
        <v>58</v>
      </c>
      <c r="E1128" s="4" t="s">
        <v>59</v>
      </c>
      <c r="F1128" s="4" t="s">
        <v>432</v>
      </c>
      <c r="G1128" s="4" t="s">
        <v>57</v>
      </c>
      <c r="H1128" s="4" t="s">
        <v>27</v>
      </c>
      <c r="I1128" s="4" t="s">
        <v>715</v>
      </c>
      <c r="J1128" s="4" t="s">
        <v>638</v>
      </c>
      <c r="K1128" s="5">
        <v>5853876</v>
      </c>
      <c r="L1128" s="5">
        <v>722450</v>
      </c>
      <c r="M1128" s="5">
        <v>18</v>
      </c>
      <c r="N1128" s="5">
        <v>1</v>
      </c>
      <c r="O1128" s="5">
        <v>27.5</v>
      </c>
      <c r="P1128" s="5"/>
    </row>
    <row r="1129" spans="1:16" x14ac:dyDescent="0.25">
      <c r="A1129" s="4" t="s">
        <v>21</v>
      </c>
      <c r="B1129" s="4" t="s">
        <v>423</v>
      </c>
      <c r="C1129" s="5">
        <v>35706</v>
      </c>
      <c r="D1129" s="4" t="s">
        <v>23</v>
      </c>
      <c r="E1129" s="4" t="s">
        <v>262</v>
      </c>
      <c r="F1129" s="4" t="s">
        <v>433</v>
      </c>
      <c r="G1129" s="4" t="s">
        <v>26</v>
      </c>
      <c r="H1129" s="4" t="s">
        <v>18</v>
      </c>
      <c r="I1129" s="4" t="s">
        <v>715</v>
      </c>
      <c r="J1129" s="4" t="s">
        <v>715</v>
      </c>
      <c r="K1129" s="5">
        <v>6281378</v>
      </c>
      <c r="L1129" s="5">
        <v>327877</v>
      </c>
      <c r="M1129" s="5">
        <v>19</v>
      </c>
      <c r="N1129" s="5">
        <v>1</v>
      </c>
      <c r="O1129" s="5">
        <v>1</v>
      </c>
      <c r="P1129" s="5"/>
    </row>
    <row r="1130" spans="1:16" x14ac:dyDescent="0.25">
      <c r="A1130" s="4" t="s">
        <v>13</v>
      </c>
      <c r="B1130" s="4" t="s">
        <v>423</v>
      </c>
      <c r="C1130" s="5">
        <v>35708</v>
      </c>
      <c r="D1130" s="4" t="s">
        <v>37</v>
      </c>
      <c r="E1130" s="4" t="s">
        <v>349</v>
      </c>
      <c r="F1130" s="4" t="s">
        <v>350</v>
      </c>
      <c r="G1130" s="4" t="s">
        <v>26</v>
      </c>
      <c r="H1130" s="4" t="s">
        <v>27</v>
      </c>
      <c r="I1130" s="4" t="s">
        <v>715</v>
      </c>
      <c r="J1130" s="4" t="s">
        <v>715</v>
      </c>
      <c r="K1130" s="5">
        <v>6165861</v>
      </c>
      <c r="L1130" s="5">
        <v>290452</v>
      </c>
      <c r="M1130" s="5">
        <v>19</v>
      </c>
      <c r="N1130" s="5">
        <v>3</v>
      </c>
      <c r="O1130" s="5">
        <v>28.54</v>
      </c>
      <c r="P1130" s="5"/>
    </row>
    <row r="1131" spans="1:16" x14ac:dyDescent="0.25">
      <c r="A1131" s="4" t="s">
        <v>13</v>
      </c>
      <c r="B1131" s="4" t="s">
        <v>423</v>
      </c>
      <c r="C1131" s="5">
        <v>35709</v>
      </c>
      <c r="D1131" s="4" t="s">
        <v>37</v>
      </c>
      <c r="E1131" s="4" t="s">
        <v>73</v>
      </c>
      <c r="F1131" s="4" t="s">
        <v>248</v>
      </c>
      <c r="G1131" s="4" t="s">
        <v>26</v>
      </c>
      <c r="H1131" s="4" t="s">
        <v>27</v>
      </c>
      <c r="I1131" s="4" t="s">
        <v>715</v>
      </c>
      <c r="J1131" s="4" t="s">
        <v>715</v>
      </c>
      <c r="K1131" s="5">
        <v>6157933</v>
      </c>
      <c r="L1131" s="5">
        <v>321679</v>
      </c>
      <c r="M1131" s="5">
        <v>19</v>
      </c>
      <c r="N1131" s="5">
        <v>1</v>
      </c>
      <c r="O1131" s="5">
        <v>5</v>
      </c>
      <c r="P1131" s="5"/>
    </row>
    <row r="1132" spans="1:16" x14ac:dyDescent="0.25">
      <c r="A1132" s="4" t="s">
        <v>21</v>
      </c>
      <c r="B1132" s="4" t="s">
        <v>423</v>
      </c>
      <c r="C1132" s="5">
        <v>35710</v>
      </c>
      <c r="D1132" s="4" t="s">
        <v>37</v>
      </c>
      <c r="E1132" s="4" t="s">
        <v>73</v>
      </c>
      <c r="F1132" s="4" t="s">
        <v>248</v>
      </c>
      <c r="G1132" s="4" t="s">
        <v>26</v>
      </c>
      <c r="H1132" s="4" t="s">
        <v>27</v>
      </c>
      <c r="I1132" s="4" t="s">
        <v>715</v>
      </c>
      <c r="J1132" s="4" t="s">
        <v>715</v>
      </c>
      <c r="K1132" s="5">
        <v>6152679</v>
      </c>
      <c r="L1132" s="5">
        <v>317023</v>
      </c>
      <c r="M1132" s="5">
        <v>19</v>
      </c>
      <c r="N1132" s="5">
        <v>1</v>
      </c>
      <c r="O1132" s="5">
        <v>12</v>
      </c>
      <c r="P1132" s="5"/>
    </row>
    <row r="1133" spans="1:16" x14ac:dyDescent="0.25">
      <c r="A1133" s="4" t="s">
        <v>21</v>
      </c>
      <c r="B1133" s="4" t="s">
        <v>423</v>
      </c>
      <c r="C1133" s="5">
        <v>35711</v>
      </c>
      <c r="D1133" s="4" t="s">
        <v>37</v>
      </c>
      <c r="E1133" s="4" t="s">
        <v>73</v>
      </c>
      <c r="F1133" s="4" t="s">
        <v>73</v>
      </c>
      <c r="G1133" s="4" t="s">
        <v>26</v>
      </c>
      <c r="H1133" s="4" t="s">
        <v>27</v>
      </c>
      <c r="I1133" s="4" t="s">
        <v>715</v>
      </c>
      <c r="J1133" s="4" t="s">
        <v>715</v>
      </c>
      <c r="K1133" s="5">
        <v>6154283</v>
      </c>
      <c r="L1133" s="5">
        <v>313682</v>
      </c>
      <c r="M1133" s="5">
        <v>19</v>
      </c>
      <c r="N1133" s="5">
        <v>2</v>
      </c>
      <c r="O1133" s="5">
        <v>4.5</v>
      </c>
      <c r="P1133" s="5"/>
    </row>
    <row r="1134" spans="1:16" x14ac:dyDescent="0.25">
      <c r="A1134" s="4" t="s">
        <v>21</v>
      </c>
      <c r="B1134" s="4" t="s">
        <v>423</v>
      </c>
      <c r="C1134" s="5">
        <v>35712</v>
      </c>
      <c r="D1134" s="4" t="s">
        <v>23</v>
      </c>
      <c r="E1134" s="4" t="s">
        <v>76</v>
      </c>
      <c r="F1134" s="4" t="s">
        <v>76</v>
      </c>
      <c r="G1134" s="4" t="s">
        <v>26</v>
      </c>
      <c r="H1134" s="4" t="s">
        <v>27</v>
      </c>
      <c r="I1134" s="4" t="s">
        <v>715</v>
      </c>
      <c r="J1134" s="4" t="s">
        <v>638</v>
      </c>
      <c r="K1134" s="5">
        <v>6275879</v>
      </c>
      <c r="L1134" s="5">
        <v>326607</v>
      </c>
      <c r="M1134" s="5">
        <v>19</v>
      </c>
      <c r="N1134" s="5">
        <v>2</v>
      </c>
      <c r="O1134" s="5">
        <v>16.3</v>
      </c>
      <c r="P1134" s="5"/>
    </row>
    <row r="1135" spans="1:16" x14ac:dyDescent="0.25">
      <c r="A1135" s="4" t="s">
        <v>21</v>
      </c>
      <c r="B1135" s="4" t="s">
        <v>423</v>
      </c>
      <c r="C1135" s="5">
        <v>35713</v>
      </c>
      <c r="D1135" s="4" t="s">
        <v>37</v>
      </c>
      <c r="E1135" s="4" t="s">
        <v>73</v>
      </c>
      <c r="F1135" s="4" t="s">
        <v>434</v>
      </c>
      <c r="G1135" s="4" t="s">
        <v>26</v>
      </c>
      <c r="H1135" s="4" t="s">
        <v>27</v>
      </c>
      <c r="I1135" s="4" t="s">
        <v>715</v>
      </c>
      <c r="J1135" s="4" t="s">
        <v>715</v>
      </c>
      <c r="K1135" s="5">
        <v>6154510</v>
      </c>
      <c r="L1135" s="5">
        <v>315220</v>
      </c>
      <c r="M1135" s="5">
        <v>19</v>
      </c>
      <c r="N1135" s="5">
        <v>1</v>
      </c>
      <c r="O1135" s="5">
        <v>8.5</v>
      </c>
      <c r="P1135" s="5"/>
    </row>
    <row r="1136" spans="1:16" x14ac:dyDescent="0.25">
      <c r="A1136" s="4" t="s">
        <v>21</v>
      </c>
      <c r="B1136" s="4" t="s">
        <v>423</v>
      </c>
      <c r="C1136" s="5">
        <v>35714</v>
      </c>
      <c r="D1136" s="4" t="s">
        <v>37</v>
      </c>
      <c r="E1136" s="4" t="s">
        <v>73</v>
      </c>
      <c r="F1136" s="4" t="s">
        <v>73</v>
      </c>
      <c r="G1136" s="4" t="s">
        <v>26</v>
      </c>
      <c r="H1136" s="4" t="s">
        <v>27</v>
      </c>
      <c r="I1136" s="4" t="s">
        <v>715</v>
      </c>
      <c r="J1136" s="4" t="s">
        <v>715</v>
      </c>
      <c r="K1136" s="5">
        <v>6154920</v>
      </c>
      <c r="L1136" s="5">
        <v>315676</v>
      </c>
      <c r="M1136" s="5">
        <v>19</v>
      </c>
      <c r="N1136" s="5">
        <v>1</v>
      </c>
      <c r="O1136" s="5">
        <v>5</v>
      </c>
      <c r="P1136" s="5"/>
    </row>
    <row r="1137" spans="1:16" x14ac:dyDescent="0.25">
      <c r="A1137" s="4" t="s">
        <v>21</v>
      </c>
      <c r="B1137" s="4" t="s">
        <v>423</v>
      </c>
      <c r="C1137" s="5">
        <v>35715</v>
      </c>
      <c r="D1137" s="4" t="s">
        <v>37</v>
      </c>
      <c r="E1137" s="4" t="s">
        <v>73</v>
      </c>
      <c r="F1137" s="4" t="s">
        <v>73</v>
      </c>
      <c r="G1137" s="4" t="s">
        <v>26</v>
      </c>
      <c r="H1137" s="4" t="s">
        <v>27</v>
      </c>
      <c r="I1137" s="4" t="s">
        <v>715</v>
      </c>
      <c r="J1137" s="4" t="s">
        <v>715</v>
      </c>
      <c r="K1137" s="5">
        <v>6154684</v>
      </c>
      <c r="L1137" s="5">
        <v>315609</v>
      </c>
      <c r="M1137" s="5">
        <v>19</v>
      </c>
      <c r="N1137" s="5">
        <v>1</v>
      </c>
      <c r="O1137" s="5">
        <v>6.34</v>
      </c>
      <c r="P1137" s="5"/>
    </row>
    <row r="1138" spans="1:16" x14ac:dyDescent="0.25">
      <c r="A1138" s="4" t="s">
        <v>13</v>
      </c>
      <c r="B1138" s="4" t="s">
        <v>423</v>
      </c>
      <c r="C1138" s="5">
        <v>35716</v>
      </c>
      <c r="D1138" s="4" t="s">
        <v>37</v>
      </c>
      <c r="E1138" s="4" t="s">
        <v>349</v>
      </c>
      <c r="F1138" s="4" t="s">
        <v>349</v>
      </c>
      <c r="G1138" s="4" t="s">
        <v>26</v>
      </c>
      <c r="H1138" s="4" t="s">
        <v>27</v>
      </c>
      <c r="I1138" s="4" t="s">
        <v>715</v>
      </c>
      <c r="J1138" s="4" t="s">
        <v>715</v>
      </c>
      <c r="K1138" s="5">
        <v>6166087</v>
      </c>
      <c r="L1138" s="5">
        <v>290433</v>
      </c>
      <c r="M1138" s="5">
        <v>19</v>
      </c>
      <c r="N1138" s="5">
        <v>1</v>
      </c>
      <c r="O1138" s="5">
        <v>10.1</v>
      </c>
      <c r="P1138" s="5"/>
    </row>
    <row r="1139" spans="1:16" x14ac:dyDescent="0.25">
      <c r="A1139" s="4" t="s">
        <v>21</v>
      </c>
      <c r="B1139" s="4" t="s">
        <v>423</v>
      </c>
      <c r="C1139" s="5">
        <v>35717</v>
      </c>
      <c r="D1139" s="4" t="s">
        <v>23</v>
      </c>
      <c r="E1139" s="4" t="s">
        <v>76</v>
      </c>
      <c r="F1139" s="4" t="s">
        <v>76</v>
      </c>
      <c r="G1139" s="4" t="s">
        <v>26</v>
      </c>
      <c r="H1139" s="4" t="s">
        <v>27</v>
      </c>
      <c r="I1139" s="4" t="s">
        <v>715</v>
      </c>
      <c r="J1139" s="4" t="s">
        <v>638</v>
      </c>
      <c r="K1139" s="5">
        <v>6272122</v>
      </c>
      <c r="L1139" s="5">
        <v>307171</v>
      </c>
      <c r="M1139" s="5">
        <v>19</v>
      </c>
      <c r="N1139" s="5">
        <v>1</v>
      </c>
      <c r="O1139" s="5">
        <v>6</v>
      </c>
      <c r="P1139" s="5"/>
    </row>
    <row r="1140" spans="1:16" x14ac:dyDescent="0.25">
      <c r="A1140" s="4" t="s">
        <v>13</v>
      </c>
      <c r="B1140" s="4" t="s">
        <v>423</v>
      </c>
      <c r="C1140" s="5">
        <v>35718</v>
      </c>
      <c r="D1140" s="4" t="s">
        <v>37</v>
      </c>
      <c r="E1140" s="4" t="s">
        <v>73</v>
      </c>
      <c r="F1140" s="4" t="s">
        <v>248</v>
      </c>
      <c r="G1140" s="4" t="s">
        <v>26</v>
      </c>
      <c r="H1140" s="4" t="s">
        <v>27</v>
      </c>
      <c r="I1140" s="4" t="s">
        <v>715</v>
      </c>
      <c r="J1140" s="4" t="s">
        <v>715</v>
      </c>
      <c r="K1140" s="5">
        <v>6158628</v>
      </c>
      <c r="L1140" s="5">
        <v>321809</v>
      </c>
      <c r="M1140" s="5">
        <v>19</v>
      </c>
      <c r="N1140" s="5">
        <v>1</v>
      </c>
      <c r="O1140" s="5">
        <v>13.5</v>
      </c>
      <c r="P1140" s="5"/>
    </row>
    <row r="1141" spans="1:16" x14ac:dyDescent="0.25">
      <c r="A1141" s="4" t="s">
        <v>21</v>
      </c>
      <c r="B1141" s="4" t="s">
        <v>423</v>
      </c>
      <c r="C1141" s="5">
        <v>35719</v>
      </c>
      <c r="D1141" s="4" t="s">
        <v>23</v>
      </c>
      <c r="E1141" s="4" t="s">
        <v>43</v>
      </c>
      <c r="F1141" s="4" t="s">
        <v>435</v>
      </c>
      <c r="G1141" s="4" t="s">
        <v>26</v>
      </c>
      <c r="H1141" s="4" t="s">
        <v>27</v>
      </c>
      <c r="I1141" s="4" t="s">
        <v>715</v>
      </c>
      <c r="J1141" s="4" t="s">
        <v>638</v>
      </c>
      <c r="K1141" s="5">
        <v>6275642</v>
      </c>
      <c r="L1141" s="5">
        <v>326796</v>
      </c>
      <c r="M1141" s="5">
        <v>19</v>
      </c>
      <c r="N1141" s="5">
        <v>1</v>
      </c>
      <c r="O1141" s="5">
        <v>4</v>
      </c>
      <c r="P1141" s="5"/>
    </row>
    <row r="1142" spans="1:16" x14ac:dyDescent="0.25">
      <c r="A1142" s="4" t="s">
        <v>13</v>
      </c>
      <c r="B1142" s="4" t="s">
        <v>423</v>
      </c>
      <c r="C1142" s="5">
        <v>35720</v>
      </c>
      <c r="D1142" s="4" t="s">
        <v>37</v>
      </c>
      <c r="E1142" s="4" t="s">
        <v>73</v>
      </c>
      <c r="F1142" s="4" t="s">
        <v>248</v>
      </c>
      <c r="G1142" s="4" t="s">
        <v>26</v>
      </c>
      <c r="H1142" s="4" t="s">
        <v>27</v>
      </c>
      <c r="I1142" s="4" t="s">
        <v>715</v>
      </c>
      <c r="J1142" s="4" t="s">
        <v>715</v>
      </c>
      <c r="K1142" s="5">
        <v>6158444</v>
      </c>
      <c r="L1142" s="5">
        <v>321912</v>
      </c>
      <c r="M1142" s="5">
        <v>19</v>
      </c>
      <c r="N1142" s="5">
        <v>1</v>
      </c>
      <c r="O1142" s="5">
        <v>2.5</v>
      </c>
      <c r="P1142" s="5"/>
    </row>
    <row r="1143" spans="1:16" x14ac:dyDescent="0.25">
      <c r="A1143" s="4" t="s">
        <v>21</v>
      </c>
      <c r="B1143" s="4" t="s">
        <v>423</v>
      </c>
      <c r="C1143" s="5">
        <v>35721</v>
      </c>
      <c r="D1143" s="4" t="s">
        <v>37</v>
      </c>
      <c r="E1143" s="4" t="s">
        <v>73</v>
      </c>
      <c r="F1143" s="4" t="s">
        <v>73</v>
      </c>
      <c r="G1143" s="4" t="s">
        <v>26</v>
      </c>
      <c r="H1143" s="4" t="s">
        <v>27</v>
      </c>
      <c r="I1143" s="4" t="s">
        <v>715</v>
      </c>
      <c r="J1143" s="4" t="s">
        <v>715</v>
      </c>
      <c r="K1143" s="5">
        <v>6154793</v>
      </c>
      <c r="L1143" s="5">
        <v>315126</v>
      </c>
      <c r="M1143" s="5">
        <v>19</v>
      </c>
      <c r="N1143" s="5">
        <v>3</v>
      </c>
      <c r="O1143" s="5">
        <v>12.21</v>
      </c>
      <c r="P1143" s="5"/>
    </row>
    <row r="1144" spans="1:16" x14ac:dyDescent="0.25">
      <c r="A1144" s="4" t="s">
        <v>13</v>
      </c>
      <c r="B1144" s="4" t="s">
        <v>423</v>
      </c>
      <c r="C1144" s="5">
        <v>35722</v>
      </c>
      <c r="D1144" s="4" t="s">
        <v>37</v>
      </c>
      <c r="E1144" s="4" t="s">
        <v>169</v>
      </c>
      <c r="F1144" s="4" t="s">
        <v>75</v>
      </c>
      <c r="G1144" s="4" t="s">
        <v>26</v>
      </c>
      <c r="H1144" s="4" t="s">
        <v>27</v>
      </c>
      <c r="I1144" s="4" t="s">
        <v>715</v>
      </c>
      <c r="J1144" s="4" t="s">
        <v>715</v>
      </c>
      <c r="K1144" s="5">
        <v>6232471</v>
      </c>
      <c r="L1144" s="5">
        <v>343942</v>
      </c>
      <c r="M1144" s="5">
        <v>19</v>
      </c>
      <c r="N1144" s="5">
        <v>1</v>
      </c>
      <c r="O1144" s="5">
        <v>8.92</v>
      </c>
      <c r="P1144" s="5"/>
    </row>
    <row r="1145" spans="1:16" x14ac:dyDescent="0.25">
      <c r="A1145" s="4" t="s">
        <v>21</v>
      </c>
      <c r="B1145" s="4" t="s">
        <v>423</v>
      </c>
      <c r="C1145" s="5">
        <v>35723</v>
      </c>
      <c r="D1145" s="4" t="s">
        <v>37</v>
      </c>
      <c r="E1145" s="4" t="s">
        <v>73</v>
      </c>
      <c r="F1145" s="4" t="s">
        <v>73</v>
      </c>
      <c r="G1145" s="4" t="s">
        <v>26</v>
      </c>
      <c r="H1145" s="4" t="s">
        <v>27</v>
      </c>
      <c r="I1145" s="4" t="s">
        <v>715</v>
      </c>
      <c r="J1145" s="4" t="s">
        <v>715</v>
      </c>
      <c r="K1145" s="5">
        <v>6154321</v>
      </c>
      <c r="L1145" s="5">
        <v>313662</v>
      </c>
      <c r="M1145" s="5">
        <v>19</v>
      </c>
      <c r="N1145" s="5">
        <v>1</v>
      </c>
      <c r="O1145" s="5">
        <v>5.5</v>
      </c>
      <c r="P1145" s="5"/>
    </row>
    <row r="1146" spans="1:16" x14ac:dyDescent="0.25">
      <c r="A1146" s="4" t="s">
        <v>13</v>
      </c>
      <c r="B1146" s="4" t="s">
        <v>423</v>
      </c>
      <c r="C1146" s="5">
        <v>35728</v>
      </c>
      <c r="D1146" s="4" t="s">
        <v>37</v>
      </c>
      <c r="E1146" s="4" t="s">
        <v>169</v>
      </c>
      <c r="F1146" s="4" t="s">
        <v>169</v>
      </c>
      <c r="G1146" s="4" t="s">
        <v>26</v>
      </c>
      <c r="H1146" s="4" t="s">
        <v>27</v>
      </c>
      <c r="I1146" s="4" t="s">
        <v>715</v>
      </c>
      <c r="J1146" s="4" t="s">
        <v>638</v>
      </c>
      <c r="K1146" s="5">
        <v>6220803</v>
      </c>
      <c r="L1146" s="5">
        <v>344152</v>
      </c>
      <c r="M1146" s="5">
        <v>19</v>
      </c>
      <c r="N1146" s="5">
        <v>1</v>
      </c>
      <c r="O1146" s="5">
        <v>15</v>
      </c>
      <c r="P1146" s="5"/>
    </row>
    <row r="1147" spans="1:16" x14ac:dyDescent="0.25">
      <c r="A1147" s="4" t="s">
        <v>13</v>
      </c>
      <c r="B1147" s="4" t="s">
        <v>423</v>
      </c>
      <c r="C1147" s="5">
        <v>35729</v>
      </c>
      <c r="D1147" s="4" t="s">
        <v>37</v>
      </c>
      <c r="E1147" s="4" t="s">
        <v>169</v>
      </c>
      <c r="F1147" s="4" t="s">
        <v>169</v>
      </c>
      <c r="G1147" s="4" t="s">
        <v>26</v>
      </c>
      <c r="H1147" s="4" t="s">
        <v>27</v>
      </c>
      <c r="I1147" s="4" t="s">
        <v>715</v>
      </c>
      <c r="J1147" s="4" t="s">
        <v>638</v>
      </c>
      <c r="K1147" s="5">
        <v>6220942</v>
      </c>
      <c r="L1147" s="5">
        <v>343999</v>
      </c>
      <c r="M1147" s="5">
        <v>19</v>
      </c>
      <c r="N1147" s="5">
        <v>1</v>
      </c>
      <c r="O1147" s="5">
        <v>4.5</v>
      </c>
      <c r="P1147" s="5"/>
    </row>
    <row r="1148" spans="1:16" x14ac:dyDescent="0.25">
      <c r="A1148" s="4" t="s">
        <v>13</v>
      </c>
      <c r="B1148" s="4" t="s">
        <v>423</v>
      </c>
      <c r="C1148" s="5">
        <v>35730</v>
      </c>
      <c r="D1148" s="4" t="s">
        <v>37</v>
      </c>
      <c r="E1148" s="4" t="s">
        <v>169</v>
      </c>
      <c r="F1148" s="4" t="s">
        <v>169</v>
      </c>
      <c r="G1148" s="4" t="s">
        <v>26</v>
      </c>
      <c r="H1148" s="4" t="s">
        <v>27</v>
      </c>
      <c r="I1148" s="4" t="s">
        <v>715</v>
      </c>
      <c r="J1148" s="4" t="s">
        <v>638</v>
      </c>
      <c r="K1148" s="5">
        <v>6221286</v>
      </c>
      <c r="L1148" s="5">
        <v>344064</v>
      </c>
      <c r="M1148" s="5">
        <v>19</v>
      </c>
      <c r="N1148" s="5">
        <v>3</v>
      </c>
      <c r="O1148" s="5">
        <v>13.92</v>
      </c>
      <c r="P1148" s="5"/>
    </row>
    <row r="1149" spans="1:16" x14ac:dyDescent="0.25">
      <c r="A1149" s="4" t="s">
        <v>13</v>
      </c>
      <c r="B1149" s="4" t="s">
        <v>423</v>
      </c>
      <c r="C1149" s="5">
        <v>35748</v>
      </c>
      <c r="D1149" s="4" t="s">
        <v>37</v>
      </c>
      <c r="E1149" s="4" t="s">
        <v>151</v>
      </c>
      <c r="F1149" s="4" t="s">
        <v>151</v>
      </c>
      <c r="G1149" s="4" t="s">
        <v>26</v>
      </c>
      <c r="H1149" s="4" t="s">
        <v>27</v>
      </c>
      <c r="I1149" s="4" t="s">
        <v>715</v>
      </c>
      <c r="J1149" s="4" t="s">
        <v>715</v>
      </c>
      <c r="K1149" s="5">
        <v>6235454</v>
      </c>
      <c r="L1149" s="5">
        <v>340522</v>
      </c>
      <c r="M1149" s="5">
        <v>19</v>
      </c>
      <c r="N1149" s="5">
        <v>1</v>
      </c>
      <c r="O1149" s="5">
        <v>9</v>
      </c>
      <c r="P1149" s="5"/>
    </row>
    <row r="1150" spans="1:16" x14ac:dyDescent="0.25">
      <c r="A1150" s="4" t="s">
        <v>21</v>
      </c>
      <c r="B1150" s="4" t="s">
        <v>423</v>
      </c>
      <c r="C1150" s="5">
        <v>35817</v>
      </c>
      <c r="D1150" s="4" t="s">
        <v>37</v>
      </c>
      <c r="E1150" s="4" t="s">
        <v>73</v>
      </c>
      <c r="F1150" s="4" t="s">
        <v>248</v>
      </c>
      <c r="G1150" s="4" t="s">
        <v>26</v>
      </c>
      <c r="H1150" s="4" t="s">
        <v>27</v>
      </c>
      <c r="I1150" s="4" t="s">
        <v>715</v>
      </c>
      <c r="J1150" s="4" t="s">
        <v>715</v>
      </c>
      <c r="K1150" s="5">
        <v>6154905</v>
      </c>
      <c r="L1150" s="5">
        <v>313653</v>
      </c>
      <c r="M1150" s="5">
        <v>19</v>
      </c>
      <c r="N1150" s="5">
        <v>2</v>
      </c>
      <c r="O1150" s="5">
        <v>53</v>
      </c>
      <c r="P1150" s="5"/>
    </row>
    <row r="1151" spans="1:16" x14ac:dyDescent="0.25">
      <c r="A1151" s="4" t="s">
        <v>21</v>
      </c>
      <c r="B1151" s="4" t="s">
        <v>423</v>
      </c>
      <c r="C1151" s="5">
        <v>35818</v>
      </c>
      <c r="D1151" s="4" t="s">
        <v>37</v>
      </c>
      <c r="E1151" s="4" t="s">
        <v>73</v>
      </c>
      <c r="F1151" s="4" t="s">
        <v>424</v>
      </c>
      <c r="G1151" s="4" t="s">
        <v>26</v>
      </c>
      <c r="H1151" s="4" t="s">
        <v>27</v>
      </c>
      <c r="I1151" s="4" t="s">
        <v>715</v>
      </c>
      <c r="J1151" s="4" t="s">
        <v>715</v>
      </c>
      <c r="K1151" s="5">
        <v>6154037</v>
      </c>
      <c r="L1151" s="5">
        <v>313908</v>
      </c>
      <c r="M1151" s="5">
        <v>19</v>
      </c>
      <c r="N1151" s="5">
        <v>1</v>
      </c>
      <c r="O1151" s="5">
        <v>5</v>
      </c>
      <c r="P1151" s="5"/>
    </row>
    <row r="1152" spans="1:16" x14ac:dyDescent="0.25">
      <c r="A1152" s="4" t="s">
        <v>21</v>
      </c>
      <c r="B1152" s="4" t="s">
        <v>423</v>
      </c>
      <c r="C1152" s="5">
        <v>35820</v>
      </c>
      <c r="D1152" s="4" t="s">
        <v>37</v>
      </c>
      <c r="E1152" s="4" t="s">
        <v>73</v>
      </c>
      <c r="F1152" s="4" t="s">
        <v>249</v>
      </c>
      <c r="G1152" s="4" t="s">
        <v>26</v>
      </c>
      <c r="H1152" s="4" t="s">
        <v>27</v>
      </c>
      <c r="I1152" s="4" t="s">
        <v>715</v>
      </c>
      <c r="J1152" s="4" t="s">
        <v>715</v>
      </c>
      <c r="K1152" s="5">
        <v>6154921</v>
      </c>
      <c r="L1152" s="5">
        <v>314593</v>
      </c>
      <c r="M1152" s="5">
        <v>19</v>
      </c>
      <c r="N1152" s="5">
        <v>1</v>
      </c>
      <c r="O1152" s="5">
        <v>15</v>
      </c>
      <c r="P1152" s="5"/>
    </row>
    <row r="1153" spans="1:16" x14ac:dyDescent="0.25">
      <c r="A1153" s="4" t="s">
        <v>21</v>
      </c>
      <c r="B1153" s="4" t="s">
        <v>423</v>
      </c>
      <c r="C1153" s="5">
        <v>35835</v>
      </c>
      <c r="D1153" s="4" t="s">
        <v>37</v>
      </c>
      <c r="E1153" s="4" t="s">
        <v>169</v>
      </c>
      <c r="F1153" s="4" t="s">
        <v>436</v>
      </c>
      <c r="G1153" s="4" t="s">
        <v>26</v>
      </c>
      <c r="H1153" s="4" t="s">
        <v>27</v>
      </c>
      <c r="I1153" s="4" t="s">
        <v>715</v>
      </c>
      <c r="J1153" s="4" t="s">
        <v>715</v>
      </c>
      <c r="K1153" s="5">
        <v>6218186</v>
      </c>
      <c r="L1153" s="5">
        <v>335460</v>
      </c>
      <c r="M1153" s="5">
        <v>19</v>
      </c>
      <c r="N1153" s="5">
        <v>1</v>
      </c>
      <c r="O1153" s="5">
        <v>18</v>
      </c>
      <c r="P1153" s="5"/>
    </row>
    <row r="1154" spans="1:16" x14ac:dyDescent="0.25">
      <c r="A1154" s="4" t="s">
        <v>21</v>
      </c>
      <c r="B1154" s="4" t="s">
        <v>423</v>
      </c>
      <c r="C1154" s="5">
        <v>35838</v>
      </c>
      <c r="D1154" s="4" t="s">
        <v>37</v>
      </c>
      <c r="E1154" s="4" t="s">
        <v>73</v>
      </c>
      <c r="F1154" s="4" t="s">
        <v>73</v>
      </c>
      <c r="G1154" s="4" t="s">
        <v>26</v>
      </c>
      <c r="H1154" s="4" t="s">
        <v>27</v>
      </c>
      <c r="I1154" s="4" t="s">
        <v>715</v>
      </c>
      <c r="J1154" s="4" t="s">
        <v>715</v>
      </c>
      <c r="K1154" s="5">
        <v>6154310</v>
      </c>
      <c r="L1154" s="5">
        <v>313927</v>
      </c>
      <c r="M1154" s="5">
        <v>19</v>
      </c>
      <c r="N1154" s="5">
        <v>2</v>
      </c>
      <c r="O1154" s="5">
        <v>17</v>
      </c>
      <c r="P1154" s="5"/>
    </row>
    <row r="1155" spans="1:16" x14ac:dyDescent="0.25">
      <c r="A1155" s="4" t="s">
        <v>21</v>
      </c>
      <c r="B1155" s="4" t="s">
        <v>423</v>
      </c>
      <c r="C1155" s="5">
        <v>35842</v>
      </c>
      <c r="D1155" s="4" t="s">
        <v>37</v>
      </c>
      <c r="E1155" s="4" t="s">
        <v>169</v>
      </c>
      <c r="F1155" s="4" t="s">
        <v>436</v>
      </c>
      <c r="G1155" s="4" t="s">
        <v>26</v>
      </c>
      <c r="H1155" s="4" t="s">
        <v>27</v>
      </c>
      <c r="I1155" s="4" t="s">
        <v>715</v>
      </c>
      <c r="J1155" s="4" t="s">
        <v>715</v>
      </c>
      <c r="K1155" s="5">
        <v>6218707</v>
      </c>
      <c r="L1155" s="5">
        <v>335109</v>
      </c>
      <c r="M1155" s="5">
        <v>19</v>
      </c>
      <c r="N1155" s="5">
        <v>1</v>
      </c>
      <c r="O1155" s="5">
        <v>16.600000000000001</v>
      </c>
      <c r="P1155" s="5"/>
    </row>
    <row r="1156" spans="1:16" x14ac:dyDescent="0.25">
      <c r="A1156" s="4" t="s">
        <v>21</v>
      </c>
      <c r="B1156" s="4" t="s">
        <v>423</v>
      </c>
      <c r="C1156" s="5">
        <v>35854</v>
      </c>
      <c r="D1156" s="4" t="s">
        <v>37</v>
      </c>
      <c r="E1156" s="4" t="s">
        <v>169</v>
      </c>
      <c r="F1156" s="4" t="s">
        <v>437</v>
      </c>
      <c r="G1156" s="4" t="s">
        <v>26</v>
      </c>
      <c r="H1156" s="4" t="s">
        <v>27</v>
      </c>
      <c r="I1156" s="4" t="s">
        <v>715</v>
      </c>
      <c r="J1156" s="4" t="s">
        <v>715</v>
      </c>
      <c r="K1156" s="5">
        <v>6217494</v>
      </c>
      <c r="L1156" s="5">
        <v>331221</v>
      </c>
      <c r="M1156" s="5">
        <v>19</v>
      </c>
      <c r="N1156" s="5">
        <v>9</v>
      </c>
      <c r="O1156" s="5">
        <v>117.6</v>
      </c>
      <c r="P1156" s="5"/>
    </row>
    <row r="1157" spans="1:16" x14ac:dyDescent="0.25">
      <c r="A1157" s="4" t="s">
        <v>21</v>
      </c>
      <c r="B1157" s="4" t="s">
        <v>423</v>
      </c>
      <c r="C1157" s="5">
        <v>35871</v>
      </c>
      <c r="D1157" s="4" t="s">
        <v>37</v>
      </c>
      <c r="E1157" s="4" t="s">
        <v>73</v>
      </c>
      <c r="F1157" s="4" t="s">
        <v>248</v>
      </c>
      <c r="G1157" s="4" t="s">
        <v>26</v>
      </c>
      <c r="H1157" s="4" t="s">
        <v>27</v>
      </c>
      <c r="I1157" s="4" t="s">
        <v>715</v>
      </c>
      <c r="J1157" s="4" t="s">
        <v>638</v>
      </c>
      <c r="K1157" s="5">
        <v>6159623</v>
      </c>
      <c r="L1157" s="5">
        <v>324331</v>
      </c>
      <c r="M1157" s="5">
        <v>19</v>
      </c>
      <c r="N1157" s="5">
        <v>1</v>
      </c>
      <c r="O1157" s="5">
        <v>8.5</v>
      </c>
      <c r="P1157" s="5"/>
    </row>
    <row r="1158" spans="1:16" x14ac:dyDescent="0.25">
      <c r="A1158" s="4" t="s">
        <v>21</v>
      </c>
      <c r="B1158" s="4" t="s">
        <v>423</v>
      </c>
      <c r="C1158" s="5">
        <v>35872</v>
      </c>
      <c r="D1158" s="4" t="s">
        <v>23</v>
      </c>
      <c r="E1158" s="4" t="s">
        <v>367</v>
      </c>
      <c r="F1158" s="4" t="s">
        <v>367</v>
      </c>
      <c r="G1158" s="4" t="s">
        <v>26</v>
      </c>
      <c r="H1158" s="4" t="s">
        <v>27</v>
      </c>
      <c r="I1158" s="4" t="s">
        <v>715</v>
      </c>
      <c r="J1158" s="4" t="s">
        <v>715</v>
      </c>
      <c r="K1158" s="5">
        <v>6278039</v>
      </c>
      <c r="L1158" s="5">
        <v>340265</v>
      </c>
      <c r="M1158" s="5">
        <v>19</v>
      </c>
      <c r="N1158" s="5">
        <v>2</v>
      </c>
      <c r="O1158" s="5">
        <v>23.2</v>
      </c>
      <c r="P1158" s="5"/>
    </row>
    <row r="1159" spans="1:16" x14ac:dyDescent="0.25">
      <c r="A1159" s="4" t="s">
        <v>13</v>
      </c>
      <c r="B1159" s="4" t="s">
        <v>423</v>
      </c>
      <c r="C1159" s="5">
        <v>35875</v>
      </c>
      <c r="D1159" s="4" t="s">
        <v>37</v>
      </c>
      <c r="E1159" s="4" t="s">
        <v>75</v>
      </c>
      <c r="F1159" s="4" t="s">
        <v>94</v>
      </c>
      <c r="G1159" s="4" t="s">
        <v>26</v>
      </c>
      <c r="H1159" s="4" t="s">
        <v>27</v>
      </c>
      <c r="I1159" s="4" t="s">
        <v>715</v>
      </c>
      <c r="J1159" s="4" t="s">
        <v>715</v>
      </c>
      <c r="K1159" s="5">
        <v>6227864</v>
      </c>
      <c r="L1159" s="5">
        <v>347541</v>
      </c>
      <c r="M1159" s="5">
        <v>19</v>
      </c>
      <c r="N1159" s="5">
        <v>1</v>
      </c>
      <c r="O1159" s="5">
        <v>13.26</v>
      </c>
      <c r="P1159" s="5"/>
    </row>
    <row r="1160" spans="1:16" x14ac:dyDescent="0.25">
      <c r="A1160" s="4" t="s">
        <v>21</v>
      </c>
      <c r="B1160" s="4" t="s">
        <v>423</v>
      </c>
      <c r="C1160" s="5">
        <v>35876</v>
      </c>
      <c r="D1160" s="4" t="s">
        <v>37</v>
      </c>
      <c r="E1160" s="4" t="s">
        <v>73</v>
      </c>
      <c r="F1160" s="4" t="s">
        <v>248</v>
      </c>
      <c r="G1160" s="4" t="s">
        <v>26</v>
      </c>
      <c r="H1160" s="4" t="s">
        <v>27</v>
      </c>
      <c r="I1160" s="4" t="s">
        <v>715</v>
      </c>
      <c r="J1160" s="4" t="s">
        <v>638</v>
      </c>
      <c r="K1160" s="5">
        <v>6159430</v>
      </c>
      <c r="L1160" s="5">
        <v>319286</v>
      </c>
      <c r="M1160" s="5">
        <v>19</v>
      </c>
      <c r="N1160" s="5">
        <v>1</v>
      </c>
      <c r="O1160" s="5">
        <v>16</v>
      </c>
      <c r="P1160" s="5"/>
    </row>
    <row r="1161" spans="1:16" x14ac:dyDescent="0.25">
      <c r="A1161" s="4" t="s">
        <v>21</v>
      </c>
      <c r="B1161" s="4" t="s">
        <v>423</v>
      </c>
      <c r="C1161" s="5">
        <v>35877</v>
      </c>
      <c r="D1161" s="4" t="s">
        <v>37</v>
      </c>
      <c r="E1161" s="4" t="s">
        <v>73</v>
      </c>
      <c r="F1161" s="4" t="s">
        <v>248</v>
      </c>
      <c r="G1161" s="4" t="s">
        <v>26</v>
      </c>
      <c r="H1161" s="4" t="s">
        <v>27</v>
      </c>
      <c r="I1161" s="4" t="s">
        <v>715</v>
      </c>
      <c r="J1161" s="4" t="s">
        <v>638</v>
      </c>
      <c r="K1161" s="5">
        <v>6158567</v>
      </c>
      <c r="L1161" s="5">
        <v>320204</v>
      </c>
      <c r="M1161" s="5">
        <v>19</v>
      </c>
      <c r="N1161" s="5">
        <v>1</v>
      </c>
      <c r="O1161" s="5">
        <v>30</v>
      </c>
      <c r="P1161" s="5"/>
    </row>
    <row r="1162" spans="1:16" x14ac:dyDescent="0.25">
      <c r="A1162" s="4" t="s">
        <v>21</v>
      </c>
      <c r="B1162" s="4" t="s">
        <v>423</v>
      </c>
      <c r="C1162" s="5">
        <v>35881</v>
      </c>
      <c r="D1162" s="4" t="s">
        <v>37</v>
      </c>
      <c r="E1162" s="4" t="s">
        <v>73</v>
      </c>
      <c r="F1162" s="4" t="s">
        <v>248</v>
      </c>
      <c r="G1162" s="4" t="s">
        <v>26</v>
      </c>
      <c r="H1162" s="4" t="s">
        <v>27</v>
      </c>
      <c r="I1162" s="4" t="s">
        <v>715</v>
      </c>
      <c r="J1162" s="4" t="s">
        <v>638</v>
      </c>
      <c r="K1162" s="5">
        <v>6158673</v>
      </c>
      <c r="L1162" s="5">
        <v>319909</v>
      </c>
      <c r="M1162" s="5">
        <v>19</v>
      </c>
      <c r="N1162" s="5">
        <v>1</v>
      </c>
      <c r="O1162" s="5">
        <v>4</v>
      </c>
      <c r="P1162" s="5"/>
    </row>
    <row r="1163" spans="1:16" x14ac:dyDescent="0.25">
      <c r="A1163" s="4" t="s">
        <v>21</v>
      </c>
      <c r="B1163" s="4" t="s">
        <v>423</v>
      </c>
      <c r="C1163" s="5">
        <v>35884</v>
      </c>
      <c r="D1163" s="4" t="s">
        <v>33</v>
      </c>
      <c r="E1163" s="4" t="s">
        <v>43</v>
      </c>
      <c r="F1163" s="4" t="s">
        <v>43</v>
      </c>
      <c r="G1163" s="4" t="s">
        <v>26</v>
      </c>
      <c r="H1163" s="4" t="s">
        <v>27</v>
      </c>
      <c r="I1163" s="4" t="s">
        <v>715</v>
      </c>
      <c r="J1163" s="4" t="s">
        <v>715</v>
      </c>
      <c r="K1163" s="5">
        <v>6063787</v>
      </c>
      <c r="L1163" s="5">
        <v>270435</v>
      </c>
      <c r="M1163" s="5">
        <v>19</v>
      </c>
      <c r="N1163" s="5">
        <v>1</v>
      </c>
      <c r="O1163" s="5">
        <v>17.7</v>
      </c>
      <c r="P1163" s="5"/>
    </row>
    <row r="1164" spans="1:16" x14ac:dyDescent="0.25">
      <c r="A1164" s="4" t="s">
        <v>21</v>
      </c>
      <c r="B1164" s="4" t="s">
        <v>423</v>
      </c>
      <c r="C1164" s="5">
        <v>35889</v>
      </c>
      <c r="D1164" s="4" t="s">
        <v>33</v>
      </c>
      <c r="E1164" s="4" t="s">
        <v>43</v>
      </c>
      <c r="F1164" s="4" t="s">
        <v>438</v>
      </c>
      <c r="G1164" s="4" t="s">
        <v>26</v>
      </c>
      <c r="H1164" s="4" t="s">
        <v>27</v>
      </c>
      <c r="I1164" s="4" t="s">
        <v>715</v>
      </c>
      <c r="J1164" s="4" t="s">
        <v>715</v>
      </c>
      <c r="K1164" s="5">
        <v>6063372</v>
      </c>
      <c r="L1164" s="5">
        <v>270043</v>
      </c>
      <c r="M1164" s="5">
        <v>19</v>
      </c>
      <c r="N1164" s="5">
        <v>1</v>
      </c>
      <c r="O1164" s="5">
        <v>8.5</v>
      </c>
      <c r="P1164" s="5"/>
    </row>
    <row r="1165" spans="1:16" x14ac:dyDescent="0.25">
      <c r="A1165" s="4" t="s">
        <v>21</v>
      </c>
      <c r="B1165" s="4" t="s">
        <v>423</v>
      </c>
      <c r="C1165" s="5">
        <v>35892</v>
      </c>
      <c r="D1165" s="4" t="s">
        <v>37</v>
      </c>
      <c r="E1165" s="4" t="s">
        <v>73</v>
      </c>
      <c r="F1165" s="4" t="s">
        <v>248</v>
      </c>
      <c r="G1165" s="4" t="s">
        <v>26</v>
      </c>
      <c r="H1165" s="4" t="s">
        <v>27</v>
      </c>
      <c r="I1165" s="4" t="s">
        <v>715</v>
      </c>
      <c r="J1165" s="4" t="s">
        <v>638</v>
      </c>
      <c r="K1165" s="5">
        <v>6159081</v>
      </c>
      <c r="L1165" s="5">
        <v>320945</v>
      </c>
      <c r="M1165" s="5">
        <v>19</v>
      </c>
      <c r="N1165" s="5">
        <v>1</v>
      </c>
      <c r="O1165" s="5">
        <v>9.5</v>
      </c>
      <c r="P1165" s="5"/>
    </row>
    <row r="1166" spans="1:16" x14ac:dyDescent="0.25">
      <c r="A1166" s="4" t="s">
        <v>21</v>
      </c>
      <c r="B1166" s="4" t="s">
        <v>423</v>
      </c>
      <c r="C1166" s="5">
        <v>35913</v>
      </c>
      <c r="D1166" s="4" t="s">
        <v>33</v>
      </c>
      <c r="E1166" s="4" t="s">
        <v>43</v>
      </c>
      <c r="F1166" s="4" t="s">
        <v>43</v>
      </c>
      <c r="G1166" s="4" t="s">
        <v>26</v>
      </c>
      <c r="H1166" s="4" t="s">
        <v>27</v>
      </c>
      <c r="I1166" s="4" t="s">
        <v>715</v>
      </c>
      <c r="J1166" s="4" t="s">
        <v>715</v>
      </c>
      <c r="K1166" s="5">
        <v>6067010</v>
      </c>
      <c r="L1166" s="5">
        <v>269544</v>
      </c>
      <c r="M1166" s="5">
        <v>19</v>
      </c>
      <c r="N1166" s="5">
        <v>5</v>
      </c>
      <c r="O1166" s="5">
        <v>41.5</v>
      </c>
      <c r="P1166" s="5"/>
    </row>
    <row r="1167" spans="1:16" x14ac:dyDescent="0.25">
      <c r="A1167" s="4" t="s">
        <v>13</v>
      </c>
      <c r="B1167" s="4" t="s">
        <v>423</v>
      </c>
      <c r="C1167" s="5">
        <v>35915</v>
      </c>
      <c r="D1167" s="4" t="s">
        <v>37</v>
      </c>
      <c r="E1167" s="4" t="s">
        <v>73</v>
      </c>
      <c r="F1167" s="4" t="s">
        <v>73</v>
      </c>
      <c r="G1167" s="4" t="s">
        <v>26</v>
      </c>
      <c r="H1167" s="4" t="s">
        <v>27</v>
      </c>
      <c r="I1167" s="4" t="s">
        <v>715</v>
      </c>
      <c r="J1167" s="4" t="s">
        <v>638</v>
      </c>
      <c r="K1167" s="5">
        <v>6144250</v>
      </c>
      <c r="L1167" s="5">
        <v>318661</v>
      </c>
      <c r="M1167" s="5">
        <v>19</v>
      </c>
      <c r="N1167" s="5">
        <v>2</v>
      </c>
      <c r="O1167" s="5">
        <v>16.5</v>
      </c>
      <c r="P1167" s="5"/>
    </row>
    <row r="1168" spans="1:16" x14ac:dyDescent="0.25">
      <c r="A1168" s="4" t="s">
        <v>21</v>
      </c>
      <c r="B1168" s="4" t="s">
        <v>423</v>
      </c>
      <c r="C1168" s="5">
        <v>35916</v>
      </c>
      <c r="D1168" s="4" t="s">
        <v>33</v>
      </c>
      <c r="E1168" s="4" t="s">
        <v>43</v>
      </c>
      <c r="F1168" s="4" t="s">
        <v>43</v>
      </c>
      <c r="G1168" s="4" t="s">
        <v>26</v>
      </c>
      <c r="H1168" s="4" t="s">
        <v>27</v>
      </c>
      <c r="I1168" s="4" t="s">
        <v>715</v>
      </c>
      <c r="J1168" s="4" t="s">
        <v>715</v>
      </c>
      <c r="K1168" s="5">
        <v>6060177</v>
      </c>
      <c r="L1168" s="5">
        <v>285228</v>
      </c>
      <c r="M1168" s="5">
        <v>19</v>
      </c>
      <c r="N1168" s="5">
        <v>1</v>
      </c>
      <c r="O1168" s="5">
        <v>16.489999999999998</v>
      </c>
      <c r="P1168" s="5"/>
    </row>
    <row r="1169" spans="1:16" x14ac:dyDescent="0.25">
      <c r="A1169" s="4" t="s">
        <v>13</v>
      </c>
      <c r="B1169" s="4" t="s">
        <v>423</v>
      </c>
      <c r="C1169" s="5">
        <v>35917</v>
      </c>
      <c r="D1169" s="4" t="s">
        <v>23</v>
      </c>
      <c r="E1169" s="4" t="s">
        <v>357</v>
      </c>
      <c r="F1169" s="4" t="s">
        <v>439</v>
      </c>
      <c r="G1169" s="4" t="s">
        <v>26</v>
      </c>
      <c r="H1169" s="4" t="s">
        <v>27</v>
      </c>
      <c r="I1169" s="4" t="s">
        <v>715</v>
      </c>
      <c r="J1169" s="4" t="s">
        <v>715</v>
      </c>
      <c r="K1169" s="5">
        <v>6277415</v>
      </c>
      <c r="L1169" s="5">
        <v>339276</v>
      </c>
      <c r="M1169" s="5">
        <v>19</v>
      </c>
      <c r="N1169" s="5">
        <v>1</v>
      </c>
      <c r="O1169" s="5">
        <v>0.41</v>
      </c>
      <c r="P1169" s="5"/>
    </row>
    <row r="1170" spans="1:16" x14ac:dyDescent="0.25">
      <c r="A1170" s="4" t="s">
        <v>13</v>
      </c>
      <c r="B1170" s="4" t="s">
        <v>423</v>
      </c>
      <c r="C1170" s="5">
        <v>35918</v>
      </c>
      <c r="D1170" s="4" t="s">
        <v>23</v>
      </c>
      <c r="E1170" s="4" t="s">
        <v>357</v>
      </c>
      <c r="F1170" s="4" t="s">
        <v>357</v>
      </c>
      <c r="G1170" s="4" t="s">
        <v>26</v>
      </c>
      <c r="H1170" s="4" t="s">
        <v>27</v>
      </c>
      <c r="I1170" s="4" t="s">
        <v>715</v>
      </c>
      <c r="J1170" s="4" t="s">
        <v>715</v>
      </c>
      <c r="K1170" s="5">
        <v>6274619</v>
      </c>
      <c r="L1170" s="5">
        <v>344195</v>
      </c>
      <c r="M1170" s="5">
        <v>19</v>
      </c>
      <c r="N1170" s="5">
        <v>1</v>
      </c>
      <c r="O1170" s="5">
        <v>1.6</v>
      </c>
      <c r="P1170" s="5"/>
    </row>
    <row r="1171" spans="1:16" x14ac:dyDescent="0.25">
      <c r="A1171" s="4" t="s">
        <v>13</v>
      </c>
      <c r="B1171" s="4" t="s">
        <v>423</v>
      </c>
      <c r="C1171" s="5">
        <v>35921</v>
      </c>
      <c r="D1171" s="4" t="s">
        <v>23</v>
      </c>
      <c r="E1171" s="4" t="s">
        <v>357</v>
      </c>
      <c r="F1171" s="4" t="s">
        <v>439</v>
      </c>
      <c r="G1171" s="4" t="s">
        <v>26</v>
      </c>
      <c r="H1171" s="4" t="s">
        <v>27</v>
      </c>
      <c r="I1171" s="4" t="s">
        <v>715</v>
      </c>
      <c r="J1171" s="4" t="s">
        <v>715</v>
      </c>
      <c r="K1171" s="5">
        <v>6277625</v>
      </c>
      <c r="L1171" s="5">
        <v>339542</v>
      </c>
      <c r="M1171" s="5">
        <v>19</v>
      </c>
      <c r="N1171" s="5">
        <v>1</v>
      </c>
      <c r="O1171" s="5">
        <v>0.41</v>
      </c>
      <c r="P1171" s="5"/>
    </row>
    <row r="1172" spans="1:16" x14ac:dyDescent="0.25">
      <c r="A1172" s="4" t="s">
        <v>21</v>
      </c>
      <c r="B1172" s="4" t="s">
        <v>423</v>
      </c>
      <c r="C1172" s="5">
        <v>35922</v>
      </c>
      <c r="D1172" s="4" t="s">
        <v>23</v>
      </c>
      <c r="E1172" s="4" t="s">
        <v>356</v>
      </c>
      <c r="F1172" s="4" t="s">
        <v>380</v>
      </c>
      <c r="G1172" s="4" t="s">
        <v>26</v>
      </c>
      <c r="H1172" s="4" t="s">
        <v>18</v>
      </c>
      <c r="I1172" s="4" t="s">
        <v>715</v>
      </c>
      <c r="J1172" s="4" t="s">
        <v>715</v>
      </c>
      <c r="K1172" s="5">
        <v>6259711</v>
      </c>
      <c r="L1172" s="5">
        <v>336420</v>
      </c>
      <c r="M1172" s="5">
        <v>19</v>
      </c>
      <c r="N1172" s="5">
        <v>1</v>
      </c>
      <c r="O1172" s="5">
        <v>0.16</v>
      </c>
      <c r="P1172" s="5"/>
    </row>
    <row r="1173" spans="1:16" x14ac:dyDescent="0.25">
      <c r="A1173" s="4" t="s">
        <v>21</v>
      </c>
      <c r="B1173" s="4" t="s">
        <v>423</v>
      </c>
      <c r="C1173" s="5">
        <v>35923</v>
      </c>
      <c r="D1173" s="4" t="s">
        <v>23</v>
      </c>
      <c r="E1173" s="4" t="s">
        <v>356</v>
      </c>
      <c r="F1173" s="4" t="s">
        <v>380</v>
      </c>
      <c r="G1173" s="4" t="s">
        <v>26</v>
      </c>
      <c r="H1173" s="4" t="s">
        <v>18</v>
      </c>
      <c r="I1173" s="4" t="s">
        <v>715</v>
      </c>
      <c r="J1173" s="4" t="s">
        <v>715</v>
      </c>
      <c r="K1173" s="5">
        <v>6259964</v>
      </c>
      <c r="L1173" s="5">
        <v>336448</v>
      </c>
      <c r="M1173" s="5">
        <v>19</v>
      </c>
      <c r="N1173" s="5">
        <v>1</v>
      </c>
      <c r="O1173" s="5">
        <v>0.18</v>
      </c>
      <c r="P1173" s="5"/>
    </row>
    <row r="1174" spans="1:16" x14ac:dyDescent="0.25">
      <c r="A1174" s="4" t="s">
        <v>21</v>
      </c>
      <c r="B1174" s="4" t="s">
        <v>423</v>
      </c>
      <c r="C1174" s="5">
        <v>35924</v>
      </c>
      <c r="D1174" s="4" t="s">
        <v>23</v>
      </c>
      <c r="E1174" s="4" t="s">
        <v>356</v>
      </c>
      <c r="F1174" s="4" t="s">
        <v>380</v>
      </c>
      <c r="G1174" s="4" t="s">
        <v>26</v>
      </c>
      <c r="H1174" s="4" t="s">
        <v>18</v>
      </c>
      <c r="I1174" s="4" t="s">
        <v>715</v>
      </c>
      <c r="J1174" s="4" t="s">
        <v>715</v>
      </c>
      <c r="K1174" s="5">
        <v>6260201</v>
      </c>
      <c r="L1174" s="5">
        <v>336604</v>
      </c>
      <c r="M1174" s="5">
        <v>19</v>
      </c>
      <c r="N1174" s="5">
        <v>1</v>
      </c>
      <c r="O1174" s="5">
        <v>0.17</v>
      </c>
      <c r="P1174" s="5"/>
    </row>
    <row r="1175" spans="1:16" x14ac:dyDescent="0.25">
      <c r="A1175" s="4" t="s">
        <v>21</v>
      </c>
      <c r="B1175" s="4" t="s">
        <v>423</v>
      </c>
      <c r="C1175" s="5">
        <v>35925</v>
      </c>
      <c r="D1175" s="4" t="s">
        <v>23</v>
      </c>
      <c r="E1175" s="4" t="s">
        <v>76</v>
      </c>
      <c r="F1175" s="4" t="s">
        <v>440</v>
      </c>
      <c r="G1175" s="4" t="s">
        <v>26</v>
      </c>
      <c r="H1175" s="4" t="s">
        <v>18</v>
      </c>
      <c r="I1175" s="4" t="s">
        <v>715</v>
      </c>
      <c r="J1175" s="4" t="s">
        <v>715</v>
      </c>
      <c r="K1175" s="5">
        <v>6271885</v>
      </c>
      <c r="L1175" s="5">
        <v>319957</v>
      </c>
      <c r="M1175" s="5">
        <v>19</v>
      </c>
      <c r="N1175" s="5">
        <v>1</v>
      </c>
      <c r="O1175" s="5">
        <v>0.27</v>
      </c>
      <c r="P1175" s="5"/>
    </row>
    <row r="1176" spans="1:16" x14ac:dyDescent="0.25">
      <c r="A1176" s="4" t="s">
        <v>21</v>
      </c>
      <c r="B1176" s="4" t="s">
        <v>423</v>
      </c>
      <c r="C1176" s="5">
        <v>35926</v>
      </c>
      <c r="D1176" s="4" t="s">
        <v>23</v>
      </c>
      <c r="E1176" s="4" t="s">
        <v>28</v>
      </c>
      <c r="F1176" s="4" t="s">
        <v>380</v>
      </c>
      <c r="G1176" s="4" t="s">
        <v>26</v>
      </c>
      <c r="H1176" s="4" t="s">
        <v>18</v>
      </c>
      <c r="I1176" s="4" t="s">
        <v>715</v>
      </c>
      <c r="J1176" s="4" t="s">
        <v>715</v>
      </c>
      <c r="K1176" s="5">
        <v>6256677</v>
      </c>
      <c r="L1176" s="5">
        <v>333362</v>
      </c>
      <c r="M1176" s="5">
        <v>19</v>
      </c>
      <c r="N1176" s="5">
        <v>1</v>
      </c>
      <c r="O1176" s="5">
        <v>0.24</v>
      </c>
      <c r="P1176" s="5"/>
    </row>
    <row r="1177" spans="1:16" x14ac:dyDescent="0.25">
      <c r="A1177" s="4" t="s">
        <v>21</v>
      </c>
      <c r="B1177" s="4" t="s">
        <v>423</v>
      </c>
      <c r="C1177" s="5">
        <v>35927</v>
      </c>
      <c r="D1177" s="4" t="s">
        <v>23</v>
      </c>
      <c r="E1177" s="4" t="s">
        <v>28</v>
      </c>
      <c r="F1177" s="4" t="s">
        <v>441</v>
      </c>
      <c r="G1177" s="4" t="s">
        <v>26</v>
      </c>
      <c r="H1177" s="4" t="s">
        <v>18</v>
      </c>
      <c r="I1177" s="4" t="s">
        <v>715</v>
      </c>
      <c r="J1177" s="4" t="s">
        <v>715</v>
      </c>
      <c r="K1177" s="5">
        <v>6264536</v>
      </c>
      <c r="L1177" s="5">
        <v>333606</v>
      </c>
      <c r="M1177" s="5">
        <v>19</v>
      </c>
      <c r="N1177" s="5">
        <v>1</v>
      </c>
      <c r="O1177" s="5">
        <v>0.2</v>
      </c>
      <c r="P1177" s="5"/>
    </row>
    <row r="1178" spans="1:16" x14ac:dyDescent="0.25">
      <c r="A1178" s="4" t="s">
        <v>21</v>
      </c>
      <c r="B1178" s="4" t="s">
        <v>423</v>
      </c>
      <c r="C1178" s="5">
        <v>35928</v>
      </c>
      <c r="D1178" s="4" t="s">
        <v>23</v>
      </c>
      <c r="E1178" s="4" t="s">
        <v>401</v>
      </c>
      <c r="F1178" s="4" t="s">
        <v>428</v>
      </c>
      <c r="G1178" s="4" t="s">
        <v>26</v>
      </c>
      <c r="H1178" s="4" t="s">
        <v>18</v>
      </c>
      <c r="I1178" s="4" t="s">
        <v>715</v>
      </c>
      <c r="J1178" s="4" t="s">
        <v>715</v>
      </c>
      <c r="K1178" s="5">
        <v>6343627</v>
      </c>
      <c r="L1178" s="5">
        <v>340349</v>
      </c>
      <c r="M1178" s="5">
        <v>19</v>
      </c>
      <c r="N1178" s="5">
        <v>1</v>
      </c>
      <c r="O1178" s="5">
        <v>0.7</v>
      </c>
      <c r="P1178" s="5"/>
    </row>
    <row r="1179" spans="1:16" x14ac:dyDescent="0.25">
      <c r="A1179" s="4" t="s">
        <v>21</v>
      </c>
      <c r="B1179" s="4" t="s">
        <v>423</v>
      </c>
      <c r="C1179" s="5">
        <v>35929</v>
      </c>
      <c r="D1179" s="4" t="s">
        <v>23</v>
      </c>
      <c r="E1179" s="4" t="s">
        <v>381</v>
      </c>
      <c r="F1179" s="4" t="s">
        <v>382</v>
      </c>
      <c r="G1179" s="4" t="s">
        <v>26</v>
      </c>
      <c r="H1179" s="4" t="s">
        <v>18</v>
      </c>
      <c r="I1179" s="4" t="s">
        <v>715</v>
      </c>
      <c r="J1179" s="4" t="s">
        <v>715</v>
      </c>
      <c r="K1179" s="5">
        <v>6265445</v>
      </c>
      <c r="L1179" s="5">
        <v>324599</v>
      </c>
      <c r="M1179" s="5">
        <v>19</v>
      </c>
      <c r="N1179" s="5">
        <v>1</v>
      </c>
      <c r="O1179" s="5">
        <v>1.1000000000000001</v>
      </c>
      <c r="P1179" s="5"/>
    </row>
    <row r="1180" spans="1:16" x14ac:dyDescent="0.25">
      <c r="A1180" s="4" t="s">
        <v>21</v>
      </c>
      <c r="B1180" s="4" t="s">
        <v>423</v>
      </c>
      <c r="C1180" s="5">
        <v>35930</v>
      </c>
      <c r="D1180" s="4" t="s">
        <v>23</v>
      </c>
      <c r="E1180" s="4" t="s">
        <v>357</v>
      </c>
      <c r="F1180" s="4" t="s">
        <v>361</v>
      </c>
      <c r="G1180" s="4" t="s">
        <v>26</v>
      </c>
      <c r="H1180" s="4" t="s">
        <v>18</v>
      </c>
      <c r="I1180" s="4" t="s">
        <v>715</v>
      </c>
      <c r="J1180" s="4" t="s">
        <v>715</v>
      </c>
      <c r="K1180" s="5">
        <v>6271874</v>
      </c>
      <c r="L1180" s="5">
        <v>338996</v>
      </c>
      <c r="M1180" s="5">
        <v>19</v>
      </c>
      <c r="N1180" s="5">
        <v>1</v>
      </c>
      <c r="O1180" s="5">
        <v>1.6</v>
      </c>
      <c r="P1180" s="5"/>
    </row>
    <row r="1181" spans="1:16" x14ac:dyDescent="0.25">
      <c r="A1181" s="4" t="s">
        <v>21</v>
      </c>
      <c r="B1181" s="4" t="s">
        <v>423</v>
      </c>
      <c r="C1181" s="5">
        <v>35933</v>
      </c>
      <c r="D1181" s="4" t="s">
        <v>23</v>
      </c>
      <c r="E1181" s="4" t="s">
        <v>356</v>
      </c>
      <c r="F1181" s="4" t="s">
        <v>365</v>
      </c>
      <c r="G1181" s="4" t="s">
        <v>26</v>
      </c>
      <c r="H1181" s="4" t="s">
        <v>18</v>
      </c>
      <c r="I1181" s="4" t="s">
        <v>715</v>
      </c>
      <c r="J1181" s="4" t="s">
        <v>715</v>
      </c>
      <c r="K1181" s="5">
        <v>6255039</v>
      </c>
      <c r="L1181" s="5">
        <v>344755</v>
      </c>
      <c r="M1181" s="5">
        <v>19</v>
      </c>
      <c r="N1181" s="5">
        <v>1</v>
      </c>
      <c r="O1181" s="5">
        <v>2.5</v>
      </c>
      <c r="P1181" s="5"/>
    </row>
    <row r="1182" spans="1:16" x14ac:dyDescent="0.25">
      <c r="A1182" s="4" t="s">
        <v>21</v>
      </c>
      <c r="B1182" s="4" t="s">
        <v>423</v>
      </c>
      <c r="C1182" s="5">
        <v>35934</v>
      </c>
      <c r="D1182" s="4" t="s">
        <v>23</v>
      </c>
      <c r="E1182" s="4" t="s">
        <v>25</v>
      </c>
      <c r="F1182" s="4" t="s">
        <v>442</v>
      </c>
      <c r="G1182" s="4" t="s">
        <v>26</v>
      </c>
      <c r="H1182" s="4" t="s">
        <v>18</v>
      </c>
      <c r="I1182" s="4" t="s">
        <v>715</v>
      </c>
      <c r="J1182" s="4" t="s">
        <v>715</v>
      </c>
      <c r="K1182" s="5">
        <v>6271754</v>
      </c>
      <c r="L1182" s="5">
        <v>302697</v>
      </c>
      <c r="M1182" s="5">
        <v>19</v>
      </c>
      <c r="N1182" s="5">
        <v>1</v>
      </c>
      <c r="O1182" s="5">
        <v>1.55</v>
      </c>
      <c r="P1182" s="5"/>
    </row>
    <row r="1183" spans="1:16" x14ac:dyDescent="0.25">
      <c r="A1183" s="4" t="s">
        <v>21</v>
      </c>
      <c r="B1183" s="4" t="s">
        <v>423</v>
      </c>
      <c r="C1183" s="5">
        <v>35936</v>
      </c>
      <c r="D1183" s="4" t="s">
        <v>33</v>
      </c>
      <c r="E1183" s="4" t="s">
        <v>292</v>
      </c>
      <c r="F1183" s="4" t="s">
        <v>443</v>
      </c>
      <c r="G1183" s="4" t="s">
        <v>26</v>
      </c>
      <c r="H1183" s="4" t="s">
        <v>27</v>
      </c>
      <c r="I1183" s="4" t="s">
        <v>715</v>
      </c>
      <c r="J1183" s="4" t="s">
        <v>715</v>
      </c>
      <c r="K1183" s="5">
        <v>6119810</v>
      </c>
      <c r="L1183" s="5">
        <v>291723</v>
      </c>
      <c r="M1183" s="5">
        <v>19</v>
      </c>
      <c r="N1183" s="5">
        <v>2</v>
      </c>
      <c r="O1183" s="5">
        <v>17.82</v>
      </c>
      <c r="P1183" s="5"/>
    </row>
    <row r="1184" spans="1:16" x14ac:dyDescent="0.25">
      <c r="A1184" s="4" t="s">
        <v>21</v>
      </c>
      <c r="B1184" s="4" t="s">
        <v>423</v>
      </c>
      <c r="C1184" s="5">
        <v>35937</v>
      </c>
      <c r="D1184" s="4" t="s">
        <v>23</v>
      </c>
      <c r="E1184" s="4" t="s">
        <v>42</v>
      </c>
      <c r="F1184" s="4" t="s">
        <v>444</v>
      </c>
      <c r="G1184" s="4" t="s">
        <v>26</v>
      </c>
      <c r="H1184" s="4" t="s">
        <v>18</v>
      </c>
      <c r="I1184" s="4" t="s">
        <v>715</v>
      </c>
      <c r="J1184" s="4" t="s">
        <v>715</v>
      </c>
      <c r="K1184" s="5">
        <v>6305050</v>
      </c>
      <c r="L1184" s="5">
        <v>331534</v>
      </c>
      <c r="M1184" s="5">
        <v>19</v>
      </c>
      <c r="N1184" s="5">
        <v>1</v>
      </c>
      <c r="O1184" s="5">
        <v>1.61</v>
      </c>
      <c r="P1184" s="5"/>
    </row>
    <row r="1185" spans="1:16" x14ac:dyDescent="0.25">
      <c r="A1185" s="4" t="s">
        <v>21</v>
      </c>
      <c r="B1185" s="4" t="s">
        <v>423</v>
      </c>
      <c r="C1185" s="5">
        <v>35938</v>
      </c>
      <c r="D1185" s="4" t="s">
        <v>23</v>
      </c>
      <c r="E1185" s="4" t="s">
        <v>445</v>
      </c>
      <c r="F1185" s="4" t="s">
        <v>428</v>
      </c>
      <c r="G1185" s="4" t="s">
        <v>26</v>
      </c>
      <c r="H1185" s="4" t="s">
        <v>18</v>
      </c>
      <c r="I1185" s="4" t="s">
        <v>715</v>
      </c>
      <c r="J1185" s="4" t="s">
        <v>715</v>
      </c>
      <c r="K1185" s="5">
        <v>6325403</v>
      </c>
      <c r="L1185" s="5">
        <v>333747</v>
      </c>
      <c r="M1185" s="5">
        <v>19</v>
      </c>
      <c r="N1185" s="5">
        <v>1</v>
      </c>
      <c r="O1185" s="5">
        <v>4.95</v>
      </c>
      <c r="P1185" s="5"/>
    </row>
    <row r="1186" spans="1:16" x14ac:dyDescent="0.25">
      <c r="A1186" s="4" t="s">
        <v>21</v>
      </c>
      <c r="B1186" s="4" t="s">
        <v>423</v>
      </c>
      <c r="C1186" s="5">
        <v>35939</v>
      </c>
      <c r="D1186" s="4" t="s">
        <v>23</v>
      </c>
      <c r="E1186" s="4" t="s">
        <v>25</v>
      </c>
      <c r="F1186" s="4" t="s">
        <v>147</v>
      </c>
      <c r="G1186" s="4" t="s">
        <v>26</v>
      </c>
      <c r="H1186" s="4" t="s">
        <v>18</v>
      </c>
      <c r="I1186" s="4" t="s">
        <v>715</v>
      </c>
      <c r="J1186" s="4" t="s">
        <v>715</v>
      </c>
      <c r="K1186" s="5">
        <v>6276833</v>
      </c>
      <c r="L1186" s="5">
        <v>290622</v>
      </c>
      <c r="M1186" s="5">
        <v>19</v>
      </c>
      <c r="N1186" s="5">
        <v>1</v>
      </c>
      <c r="O1186" s="5">
        <v>1</v>
      </c>
      <c r="P1186" s="5"/>
    </row>
    <row r="1187" spans="1:16" x14ac:dyDescent="0.25">
      <c r="A1187" s="4" t="s">
        <v>21</v>
      </c>
      <c r="B1187" s="4" t="s">
        <v>423</v>
      </c>
      <c r="C1187" s="5">
        <v>35941</v>
      </c>
      <c r="D1187" s="4" t="s">
        <v>23</v>
      </c>
      <c r="E1187" s="4" t="s">
        <v>445</v>
      </c>
      <c r="F1187" s="4" t="s">
        <v>444</v>
      </c>
      <c r="G1187" s="4" t="s">
        <v>26</v>
      </c>
      <c r="H1187" s="4" t="s">
        <v>18</v>
      </c>
      <c r="I1187" s="4" t="s">
        <v>715</v>
      </c>
      <c r="J1187" s="4" t="s">
        <v>715</v>
      </c>
      <c r="K1187" s="5">
        <v>6311855</v>
      </c>
      <c r="L1187" s="5">
        <v>329539</v>
      </c>
      <c r="M1187" s="5">
        <v>19</v>
      </c>
      <c r="N1187" s="5">
        <v>1</v>
      </c>
      <c r="O1187" s="5">
        <v>1.06</v>
      </c>
      <c r="P1187" s="5"/>
    </row>
    <row r="1188" spans="1:16" x14ac:dyDescent="0.25">
      <c r="A1188" s="4" t="s">
        <v>13</v>
      </c>
      <c r="B1188" s="4" t="s">
        <v>423</v>
      </c>
      <c r="C1188" s="5">
        <v>35942</v>
      </c>
      <c r="D1188" s="4" t="s">
        <v>23</v>
      </c>
      <c r="E1188" s="4" t="s">
        <v>31</v>
      </c>
      <c r="F1188" s="4" t="s">
        <v>446</v>
      </c>
      <c r="G1188" s="4" t="s">
        <v>26</v>
      </c>
      <c r="H1188" s="4" t="s">
        <v>27</v>
      </c>
      <c r="I1188" s="4" t="s">
        <v>715</v>
      </c>
      <c r="J1188" s="4" t="s">
        <v>715</v>
      </c>
      <c r="K1188" s="5">
        <v>6287773</v>
      </c>
      <c r="L1188" s="5">
        <v>332755</v>
      </c>
      <c r="M1188" s="5">
        <v>19</v>
      </c>
      <c r="N1188" s="5">
        <v>1</v>
      </c>
      <c r="O1188" s="5">
        <v>0.41</v>
      </c>
      <c r="P1188" s="5"/>
    </row>
    <row r="1189" spans="1:16" x14ac:dyDescent="0.25">
      <c r="A1189" s="4" t="s">
        <v>13</v>
      </c>
      <c r="B1189" s="4" t="s">
        <v>423</v>
      </c>
      <c r="C1189" s="5">
        <v>35943</v>
      </c>
      <c r="D1189" s="4" t="s">
        <v>23</v>
      </c>
      <c r="E1189" s="4" t="s">
        <v>367</v>
      </c>
      <c r="F1189" s="4" t="s">
        <v>367</v>
      </c>
      <c r="G1189" s="4" t="s">
        <v>26</v>
      </c>
      <c r="H1189" s="4" t="s">
        <v>27</v>
      </c>
      <c r="I1189" s="4" t="s">
        <v>715</v>
      </c>
      <c r="J1189" s="4" t="s">
        <v>715</v>
      </c>
      <c r="K1189" s="5">
        <v>6275888</v>
      </c>
      <c r="L1189" s="5">
        <v>337357</v>
      </c>
      <c r="M1189" s="5">
        <v>19</v>
      </c>
      <c r="N1189" s="5">
        <v>1</v>
      </c>
      <c r="O1189" s="5">
        <v>0.41</v>
      </c>
      <c r="P1189" s="5"/>
    </row>
    <row r="1190" spans="1:16" x14ac:dyDescent="0.25">
      <c r="A1190" s="4" t="s">
        <v>13</v>
      </c>
      <c r="B1190" s="4" t="s">
        <v>423</v>
      </c>
      <c r="C1190" s="5">
        <v>35945</v>
      </c>
      <c r="D1190" s="4" t="s">
        <v>37</v>
      </c>
      <c r="E1190" s="4" t="s">
        <v>75</v>
      </c>
      <c r="F1190" s="4" t="s">
        <v>447</v>
      </c>
      <c r="G1190" s="4" t="s">
        <v>26</v>
      </c>
      <c r="H1190" s="4" t="s">
        <v>27</v>
      </c>
      <c r="I1190" s="4" t="s">
        <v>715</v>
      </c>
      <c r="J1190" s="4" t="s">
        <v>638</v>
      </c>
      <c r="K1190" s="5">
        <v>6226229</v>
      </c>
      <c r="L1190" s="5">
        <v>345684</v>
      </c>
      <c r="M1190" s="5">
        <v>19</v>
      </c>
      <c r="N1190" s="5">
        <v>1</v>
      </c>
      <c r="O1190" s="5">
        <v>0.41</v>
      </c>
      <c r="P1190" s="5"/>
    </row>
    <row r="1191" spans="1:16" x14ac:dyDescent="0.25">
      <c r="A1191" s="4" t="s">
        <v>21</v>
      </c>
      <c r="B1191" s="4" t="s">
        <v>423</v>
      </c>
      <c r="C1191" s="5">
        <v>35951</v>
      </c>
      <c r="D1191" s="4" t="s">
        <v>23</v>
      </c>
      <c r="E1191" s="4" t="s">
        <v>356</v>
      </c>
      <c r="F1191" s="4" t="s">
        <v>380</v>
      </c>
      <c r="G1191" s="4" t="s">
        <v>26</v>
      </c>
      <c r="H1191" s="4" t="s">
        <v>18</v>
      </c>
      <c r="I1191" s="4" t="s">
        <v>715</v>
      </c>
      <c r="J1191" s="4" t="s">
        <v>715</v>
      </c>
      <c r="K1191" s="5">
        <v>6260460</v>
      </c>
      <c r="L1191" s="5">
        <v>336633</v>
      </c>
      <c r="M1191" s="5">
        <v>19</v>
      </c>
      <c r="N1191" s="5">
        <v>1</v>
      </c>
      <c r="O1191" s="5">
        <v>0.28999999999999998</v>
      </c>
      <c r="P1191" s="5"/>
    </row>
    <row r="1192" spans="1:16" x14ac:dyDescent="0.25">
      <c r="A1192" s="4" t="s">
        <v>21</v>
      </c>
      <c r="B1192" s="4" t="s">
        <v>423</v>
      </c>
      <c r="C1192" s="5">
        <v>35952</v>
      </c>
      <c r="D1192" s="4" t="s">
        <v>23</v>
      </c>
      <c r="E1192" s="4" t="s">
        <v>28</v>
      </c>
      <c r="F1192" s="4" t="s">
        <v>441</v>
      </c>
      <c r="G1192" s="4" t="s">
        <v>26</v>
      </c>
      <c r="H1192" s="4" t="s">
        <v>18</v>
      </c>
      <c r="I1192" s="4" t="s">
        <v>715</v>
      </c>
      <c r="J1192" s="4" t="s">
        <v>715</v>
      </c>
      <c r="K1192" s="5">
        <v>6264852</v>
      </c>
      <c r="L1192" s="5">
        <v>334288</v>
      </c>
      <c r="M1192" s="5">
        <v>19</v>
      </c>
      <c r="N1192" s="5">
        <v>1</v>
      </c>
      <c r="O1192" s="5">
        <v>0.31</v>
      </c>
      <c r="P1192" s="5"/>
    </row>
    <row r="1193" spans="1:16" x14ac:dyDescent="0.25">
      <c r="A1193" s="4" t="s">
        <v>21</v>
      </c>
      <c r="B1193" s="4" t="s">
        <v>423</v>
      </c>
      <c r="C1193" s="5">
        <v>35953</v>
      </c>
      <c r="D1193" s="4" t="s">
        <v>23</v>
      </c>
      <c r="E1193" s="4" t="s">
        <v>356</v>
      </c>
      <c r="F1193" s="4" t="s">
        <v>380</v>
      </c>
      <c r="G1193" s="4" t="s">
        <v>26</v>
      </c>
      <c r="H1193" s="4" t="s">
        <v>18</v>
      </c>
      <c r="I1193" s="4" t="s">
        <v>715</v>
      </c>
      <c r="J1193" s="4" t="s">
        <v>715</v>
      </c>
      <c r="K1193" s="5">
        <v>6260715</v>
      </c>
      <c r="L1193" s="5">
        <v>336654</v>
      </c>
      <c r="M1193" s="5">
        <v>19</v>
      </c>
      <c r="N1193" s="5">
        <v>1</v>
      </c>
      <c r="O1193" s="5">
        <v>0.28000000000000003</v>
      </c>
      <c r="P1193" s="5"/>
    </row>
    <row r="1194" spans="1:16" x14ac:dyDescent="0.25">
      <c r="A1194" s="4" t="s">
        <v>13</v>
      </c>
      <c r="B1194" s="4" t="s">
        <v>423</v>
      </c>
      <c r="C1194" s="5">
        <v>35956</v>
      </c>
      <c r="D1194" s="4" t="s">
        <v>37</v>
      </c>
      <c r="E1194" s="4" t="s">
        <v>349</v>
      </c>
      <c r="F1194" s="4" t="s">
        <v>448</v>
      </c>
      <c r="G1194" s="4" t="s">
        <v>26</v>
      </c>
      <c r="H1194" s="4" t="s">
        <v>27</v>
      </c>
      <c r="I1194" s="4" t="s">
        <v>715</v>
      </c>
      <c r="J1194" s="4" t="s">
        <v>715</v>
      </c>
      <c r="K1194" s="5">
        <v>6165870</v>
      </c>
      <c r="L1194" s="5">
        <v>291555</v>
      </c>
      <c r="M1194" s="5">
        <v>19</v>
      </c>
      <c r="N1194" s="5">
        <v>2</v>
      </c>
      <c r="O1194" s="5">
        <v>26</v>
      </c>
      <c r="P1194" s="5"/>
    </row>
    <row r="1195" spans="1:16" x14ac:dyDescent="0.25">
      <c r="A1195" s="4" t="s">
        <v>21</v>
      </c>
      <c r="B1195" s="4" t="s">
        <v>423</v>
      </c>
      <c r="C1195" s="5">
        <v>35957</v>
      </c>
      <c r="D1195" s="4" t="s">
        <v>33</v>
      </c>
      <c r="E1195" s="4" t="s">
        <v>43</v>
      </c>
      <c r="F1195" s="4" t="s">
        <v>438</v>
      </c>
      <c r="G1195" s="4" t="s">
        <v>26</v>
      </c>
      <c r="H1195" s="4" t="s">
        <v>27</v>
      </c>
      <c r="I1195" s="4" t="s">
        <v>715</v>
      </c>
      <c r="J1195" s="4" t="s">
        <v>715</v>
      </c>
      <c r="K1195" s="5">
        <v>6064013</v>
      </c>
      <c r="L1195" s="5">
        <v>270548</v>
      </c>
      <c r="M1195" s="5">
        <v>19</v>
      </c>
      <c r="N1195" s="5">
        <v>1</v>
      </c>
      <c r="O1195" s="5">
        <v>3</v>
      </c>
      <c r="P1195" s="5"/>
    </row>
    <row r="1196" spans="1:16" x14ac:dyDescent="0.25">
      <c r="A1196" s="4" t="s">
        <v>21</v>
      </c>
      <c r="B1196" s="4" t="s">
        <v>423</v>
      </c>
      <c r="C1196" s="5">
        <v>35963</v>
      </c>
      <c r="D1196" s="4" t="s">
        <v>37</v>
      </c>
      <c r="E1196" s="4" t="s">
        <v>73</v>
      </c>
      <c r="F1196" s="4" t="s">
        <v>248</v>
      </c>
      <c r="G1196" s="4" t="s">
        <v>26</v>
      </c>
      <c r="H1196" s="4" t="s">
        <v>27</v>
      </c>
      <c r="I1196" s="4" t="s">
        <v>715</v>
      </c>
      <c r="J1196" s="4" t="s">
        <v>638</v>
      </c>
      <c r="K1196" s="5">
        <v>6159281</v>
      </c>
      <c r="L1196" s="5">
        <v>323874</v>
      </c>
      <c r="M1196" s="5">
        <v>19</v>
      </c>
      <c r="N1196" s="5">
        <v>2</v>
      </c>
      <c r="O1196" s="5">
        <v>12</v>
      </c>
      <c r="P1196" s="5"/>
    </row>
    <row r="1197" spans="1:16" x14ac:dyDescent="0.25">
      <c r="A1197" s="4" t="s">
        <v>21</v>
      </c>
      <c r="B1197" s="4" t="s">
        <v>423</v>
      </c>
      <c r="C1197" s="5">
        <v>35965</v>
      </c>
      <c r="D1197" s="4" t="s">
        <v>37</v>
      </c>
      <c r="E1197" s="4" t="s">
        <v>73</v>
      </c>
      <c r="F1197" s="4" t="s">
        <v>73</v>
      </c>
      <c r="G1197" s="4" t="s">
        <v>26</v>
      </c>
      <c r="H1197" s="4" t="s">
        <v>27</v>
      </c>
      <c r="I1197" s="4" t="s">
        <v>715</v>
      </c>
      <c r="J1197" s="4" t="s">
        <v>638</v>
      </c>
      <c r="K1197" s="5">
        <v>6156736</v>
      </c>
      <c r="L1197" s="5">
        <v>320162</v>
      </c>
      <c r="M1197" s="5">
        <v>19</v>
      </c>
      <c r="N1197" s="5">
        <v>2</v>
      </c>
      <c r="O1197" s="5">
        <v>33</v>
      </c>
      <c r="P1197" s="5"/>
    </row>
    <row r="1198" spans="1:16" x14ac:dyDescent="0.25">
      <c r="A1198" s="4" t="s">
        <v>21</v>
      </c>
      <c r="B1198" s="4" t="s">
        <v>423</v>
      </c>
      <c r="C1198" s="5">
        <v>35967</v>
      </c>
      <c r="D1198" s="4" t="s">
        <v>37</v>
      </c>
      <c r="E1198" s="4" t="s">
        <v>73</v>
      </c>
      <c r="F1198" s="4" t="s">
        <v>248</v>
      </c>
      <c r="G1198" s="4" t="s">
        <v>26</v>
      </c>
      <c r="H1198" s="4" t="s">
        <v>27</v>
      </c>
      <c r="I1198" s="4" t="s">
        <v>715</v>
      </c>
      <c r="J1198" s="4" t="s">
        <v>638</v>
      </c>
      <c r="K1198" s="5">
        <v>6158736</v>
      </c>
      <c r="L1198" s="5">
        <v>319680</v>
      </c>
      <c r="M1198" s="5">
        <v>19</v>
      </c>
      <c r="N1198" s="5">
        <v>1</v>
      </c>
      <c r="O1198" s="5">
        <v>17.8</v>
      </c>
      <c r="P1198" s="5"/>
    </row>
    <row r="1199" spans="1:16" x14ac:dyDescent="0.25">
      <c r="A1199" s="4" t="s">
        <v>21</v>
      </c>
      <c r="B1199" s="4" t="s">
        <v>423</v>
      </c>
      <c r="C1199" s="5">
        <v>35979</v>
      </c>
      <c r="D1199" s="4" t="s">
        <v>33</v>
      </c>
      <c r="E1199" s="4" t="s">
        <v>34</v>
      </c>
      <c r="F1199" s="4" t="s">
        <v>449</v>
      </c>
      <c r="G1199" s="4" t="s">
        <v>26</v>
      </c>
      <c r="H1199" s="4" t="s">
        <v>27</v>
      </c>
      <c r="I1199" s="4" t="s">
        <v>715</v>
      </c>
      <c r="J1199" s="4" t="s">
        <v>715</v>
      </c>
      <c r="K1199" s="5">
        <v>6131348</v>
      </c>
      <c r="L1199" s="5">
        <v>292143</v>
      </c>
      <c r="M1199" s="5">
        <v>19</v>
      </c>
      <c r="N1199" s="5">
        <v>1</v>
      </c>
      <c r="O1199" s="5">
        <v>20.5</v>
      </c>
      <c r="P1199" s="5"/>
    </row>
    <row r="1200" spans="1:16" x14ac:dyDescent="0.25">
      <c r="A1200" s="4" t="s">
        <v>13</v>
      </c>
      <c r="B1200" s="4" t="s">
        <v>423</v>
      </c>
      <c r="C1200" s="5">
        <v>35982</v>
      </c>
      <c r="D1200" s="4" t="s">
        <v>37</v>
      </c>
      <c r="E1200" s="4" t="s">
        <v>349</v>
      </c>
      <c r="F1200" s="4" t="s">
        <v>350</v>
      </c>
      <c r="G1200" s="4" t="s">
        <v>26</v>
      </c>
      <c r="H1200" s="4" t="s">
        <v>27</v>
      </c>
      <c r="I1200" s="4" t="s">
        <v>715</v>
      </c>
      <c r="J1200" s="4" t="s">
        <v>715</v>
      </c>
      <c r="K1200" s="5">
        <v>6165095</v>
      </c>
      <c r="L1200" s="5">
        <v>292060</v>
      </c>
      <c r="M1200" s="5">
        <v>19</v>
      </c>
      <c r="N1200" s="5">
        <v>3</v>
      </c>
      <c r="O1200" s="5">
        <v>7.5</v>
      </c>
      <c r="P1200" s="5"/>
    </row>
    <row r="1201" spans="1:16" x14ac:dyDescent="0.25">
      <c r="A1201" s="4" t="s">
        <v>13</v>
      </c>
      <c r="B1201" s="4" t="s">
        <v>423</v>
      </c>
      <c r="C1201" s="5">
        <v>35984</v>
      </c>
      <c r="D1201" s="4" t="s">
        <v>37</v>
      </c>
      <c r="E1201" s="4" t="s">
        <v>349</v>
      </c>
      <c r="F1201" s="4" t="s">
        <v>350</v>
      </c>
      <c r="G1201" s="4" t="s">
        <v>26</v>
      </c>
      <c r="H1201" s="4" t="s">
        <v>27</v>
      </c>
      <c r="I1201" s="4" t="s">
        <v>715</v>
      </c>
      <c r="J1201" s="4" t="s">
        <v>715</v>
      </c>
      <c r="K1201" s="5">
        <v>6165153</v>
      </c>
      <c r="L1201" s="5">
        <v>291791</v>
      </c>
      <c r="M1201" s="5">
        <v>19</v>
      </c>
      <c r="N1201" s="5">
        <v>2</v>
      </c>
      <c r="O1201" s="5">
        <v>8</v>
      </c>
      <c r="P1201" s="5"/>
    </row>
    <row r="1202" spans="1:16" x14ac:dyDescent="0.25">
      <c r="A1202" s="4" t="s">
        <v>13</v>
      </c>
      <c r="B1202" s="4" t="s">
        <v>423</v>
      </c>
      <c r="C1202" s="5">
        <v>36003</v>
      </c>
      <c r="D1202" s="4" t="s">
        <v>23</v>
      </c>
      <c r="E1202" s="4" t="s">
        <v>445</v>
      </c>
      <c r="F1202" s="4" t="s">
        <v>450</v>
      </c>
      <c r="G1202" s="4" t="s">
        <v>26</v>
      </c>
      <c r="H1202" s="4" t="s">
        <v>27</v>
      </c>
      <c r="I1202" s="4" t="s">
        <v>715</v>
      </c>
      <c r="J1202" s="4" t="s">
        <v>638</v>
      </c>
      <c r="K1202" s="5">
        <v>6319529</v>
      </c>
      <c r="L1202" s="5">
        <v>334859</v>
      </c>
      <c r="M1202" s="5">
        <v>19</v>
      </c>
      <c r="N1202" s="5">
        <v>1</v>
      </c>
      <c r="O1202" s="5">
        <v>0.48</v>
      </c>
      <c r="P1202" s="5"/>
    </row>
    <row r="1203" spans="1:16" x14ac:dyDescent="0.25">
      <c r="A1203" s="4" t="s">
        <v>21</v>
      </c>
      <c r="B1203" s="4" t="s">
        <v>423</v>
      </c>
      <c r="C1203" s="5">
        <v>36006</v>
      </c>
      <c r="D1203" s="4" t="s">
        <v>23</v>
      </c>
      <c r="E1203" s="4" t="s">
        <v>76</v>
      </c>
      <c r="F1203" s="4" t="s">
        <v>76</v>
      </c>
      <c r="G1203" s="4" t="s">
        <v>26</v>
      </c>
      <c r="H1203" s="4" t="s">
        <v>18</v>
      </c>
      <c r="I1203" s="4" t="s">
        <v>715</v>
      </c>
      <c r="J1203" s="4" t="s">
        <v>715</v>
      </c>
      <c r="K1203" s="5">
        <v>6272293</v>
      </c>
      <c r="L1203" s="5">
        <v>321759</v>
      </c>
      <c r="M1203" s="5">
        <v>19</v>
      </c>
      <c r="N1203" s="5">
        <v>1</v>
      </c>
      <c r="O1203" s="5">
        <v>2.39</v>
      </c>
      <c r="P1203" s="5"/>
    </row>
    <row r="1204" spans="1:16" x14ac:dyDescent="0.25">
      <c r="A1204" s="4" t="s">
        <v>21</v>
      </c>
      <c r="B1204" s="4" t="s">
        <v>423</v>
      </c>
      <c r="C1204" s="5">
        <v>36007</v>
      </c>
      <c r="D1204" s="4" t="s">
        <v>23</v>
      </c>
      <c r="E1204" s="4" t="s">
        <v>76</v>
      </c>
      <c r="F1204" s="4" t="s">
        <v>451</v>
      </c>
      <c r="G1204" s="4" t="s">
        <v>26</v>
      </c>
      <c r="H1204" s="4" t="s">
        <v>18</v>
      </c>
      <c r="I1204" s="4" t="s">
        <v>715</v>
      </c>
      <c r="J1204" s="4" t="s">
        <v>715</v>
      </c>
      <c r="K1204" s="5">
        <v>6272992</v>
      </c>
      <c r="L1204" s="5">
        <v>326134</v>
      </c>
      <c r="M1204" s="5">
        <v>19</v>
      </c>
      <c r="N1204" s="5">
        <v>1</v>
      </c>
      <c r="O1204" s="5">
        <v>1.05</v>
      </c>
      <c r="P1204" s="5"/>
    </row>
    <row r="1205" spans="1:16" x14ac:dyDescent="0.25">
      <c r="A1205" s="4" t="s">
        <v>21</v>
      </c>
      <c r="B1205" s="4" t="s">
        <v>423</v>
      </c>
      <c r="C1205" s="5">
        <v>36008</v>
      </c>
      <c r="D1205" s="4" t="s">
        <v>23</v>
      </c>
      <c r="E1205" s="4" t="s">
        <v>357</v>
      </c>
      <c r="F1205" s="4" t="s">
        <v>357</v>
      </c>
      <c r="G1205" s="4" t="s">
        <v>26</v>
      </c>
      <c r="H1205" s="4" t="s">
        <v>18</v>
      </c>
      <c r="I1205" s="4" t="s">
        <v>715</v>
      </c>
      <c r="J1205" s="4" t="s">
        <v>715</v>
      </c>
      <c r="K1205" s="5">
        <v>6274753</v>
      </c>
      <c r="L1205" s="5">
        <v>344656</v>
      </c>
      <c r="M1205" s="5">
        <v>19</v>
      </c>
      <c r="N1205" s="5">
        <v>1</v>
      </c>
      <c r="O1205" s="5">
        <v>1.05</v>
      </c>
      <c r="P1205" s="5"/>
    </row>
    <row r="1206" spans="1:16" x14ac:dyDescent="0.25">
      <c r="A1206" s="4" t="s">
        <v>21</v>
      </c>
      <c r="B1206" s="4" t="s">
        <v>423</v>
      </c>
      <c r="C1206" s="5">
        <v>36009</v>
      </c>
      <c r="D1206" s="4" t="s">
        <v>23</v>
      </c>
      <c r="E1206" s="4" t="s">
        <v>76</v>
      </c>
      <c r="F1206" s="4" t="s">
        <v>451</v>
      </c>
      <c r="G1206" s="4" t="s">
        <v>26</v>
      </c>
      <c r="H1206" s="4" t="s">
        <v>18</v>
      </c>
      <c r="I1206" s="4" t="s">
        <v>715</v>
      </c>
      <c r="J1206" s="4" t="s">
        <v>715</v>
      </c>
      <c r="K1206" s="5">
        <v>6272649</v>
      </c>
      <c r="L1206" s="5">
        <v>325976</v>
      </c>
      <c r="M1206" s="5">
        <v>19</v>
      </c>
      <c r="N1206" s="5">
        <v>1</v>
      </c>
      <c r="O1206" s="5">
        <v>1.07</v>
      </c>
      <c r="P1206" s="5"/>
    </row>
    <row r="1207" spans="1:16" x14ac:dyDescent="0.25">
      <c r="A1207" s="4" t="s">
        <v>13</v>
      </c>
      <c r="B1207" s="4" t="s">
        <v>423</v>
      </c>
      <c r="C1207" s="5">
        <v>36010</v>
      </c>
      <c r="D1207" s="4" t="s">
        <v>23</v>
      </c>
      <c r="E1207" s="4" t="s">
        <v>356</v>
      </c>
      <c r="F1207" s="4" t="s">
        <v>356</v>
      </c>
      <c r="G1207" s="4" t="s">
        <v>26</v>
      </c>
      <c r="H1207" s="4" t="s">
        <v>27</v>
      </c>
      <c r="I1207" s="4" t="s">
        <v>715</v>
      </c>
      <c r="J1207" s="4" t="s">
        <v>715</v>
      </c>
      <c r="K1207" s="5">
        <v>6256062</v>
      </c>
      <c r="L1207" s="5">
        <v>342569</v>
      </c>
      <c r="M1207" s="5">
        <v>19</v>
      </c>
      <c r="N1207" s="5">
        <v>1</v>
      </c>
      <c r="O1207" s="5">
        <v>0.36</v>
      </c>
      <c r="P1207" s="5"/>
    </row>
    <row r="1208" spans="1:16" x14ac:dyDescent="0.25">
      <c r="A1208" s="4" t="s">
        <v>13</v>
      </c>
      <c r="B1208" s="4" t="s">
        <v>423</v>
      </c>
      <c r="C1208" s="5">
        <v>36011</v>
      </c>
      <c r="D1208" s="4" t="s">
        <v>23</v>
      </c>
      <c r="E1208" s="4" t="s">
        <v>25</v>
      </c>
      <c r="F1208" s="4" t="s">
        <v>452</v>
      </c>
      <c r="G1208" s="4" t="s">
        <v>26</v>
      </c>
      <c r="H1208" s="4" t="s">
        <v>27</v>
      </c>
      <c r="I1208" s="4" t="s">
        <v>715</v>
      </c>
      <c r="J1208" s="4" t="s">
        <v>638</v>
      </c>
      <c r="K1208" s="5">
        <v>6274361</v>
      </c>
      <c r="L1208" s="5">
        <v>284527</v>
      </c>
      <c r="M1208" s="5">
        <v>19</v>
      </c>
      <c r="N1208" s="5">
        <v>1</v>
      </c>
      <c r="O1208" s="5">
        <v>0.4</v>
      </c>
      <c r="P1208" s="5"/>
    </row>
    <row r="1209" spans="1:16" x14ac:dyDescent="0.25">
      <c r="A1209" s="4" t="s">
        <v>13</v>
      </c>
      <c r="B1209" s="4" t="s">
        <v>423</v>
      </c>
      <c r="C1209" s="5">
        <v>36012</v>
      </c>
      <c r="D1209" s="4" t="s">
        <v>23</v>
      </c>
      <c r="E1209" s="4" t="s">
        <v>367</v>
      </c>
      <c r="F1209" s="4" t="s">
        <v>393</v>
      </c>
      <c r="G1209" s="4" t="s">
        <v>26</v>
      </c>
      <c r="H1209" s="4" t="s">
        <v>27</v>
      </c>
      <c r="I1209" s="4" t="s">
        <v>715</v>
      </c>
      <c r="J1209" s="4" t="s">
        <v>715</v>
      </c>
      <c r="K1209" s="5">
        <v>6274714</v>
      </c>
      <c r="L1209" s="5">
        <v>331056</v>
      </c>
      <c r="M1209" s="5">
        <v>19</v>
      </c>
      <c r="N1209" s="5">
        <v>1</v>
      </c>
      <c r="O1209" s="5">
        <v>0.4</v>
      </c>
      <c r="P1209" s="5"/>
    </row>
    <row r="1210" spans="1:16" x14ac:dyDescent="0.25">
      <c r="A1210" s="4" t="s">
        <v>21</v>
      </c>
      <c r="B1210" s="4" t="s">
        <v>423</v>
      </c>
      <c r="C1210" s="5">
        <v>36013</v>
      </c>
      <c r="D1210" s="4" t="s">
        <v>23</v>
      </c>
      <c r="E1210" s="4" t="s">
        <v>357</v>
      </c>
      <c r="F1210" s="4" t="s">
        <v>453</v>
      </c>
      <c r="G1210" s="4" t="s">
        <v>26</v>
      </c>
      <c r="H1210" s="4" t="s">
        <v>18</v>
      </c>
      <c r="I1210" s="4" t="s">
        <v>715</v>
      </c>
      <c r="J1210" s="4" t="s">
        <v>715</v>
      </c>
      <c r="K1210" s="5">
        <v>6283616</v>
      </c>
      <c r="L1210" s="5">
        <v>338472</v>
      </c>
      <c r="M1210" s="5">
        <v>19</v>
      </c>
      <c r="N1210" s="5">
        <v>1</v>
      </c>
      <c r="O1210" s="5">
        <v>1.07</v>
      </c>
      <c r="P1210" s="5"/>
    </row>
    <row r="1211" spans="1:16" x14ac:dyDescent="0.25">
      <c r="A1211" s="4" t="s">
        <v>21</v>
      </c>
      <c r="B1211" s="4" t="s">
        <v>423</v>
      </c>
      <c r="C1211" s="5">
        <v>36083</v>
      </c>
      <c r="D1211" s="4" t="s">
        <v>23</v>
      </c>
      <c r="E1211" s="4" t="s">
        <v>357</v>
      </c>
      <c r="F1211" s="4" t="s">
        <v>361</v>
      </c>
      <c r="G1211" s="4" t="s">
        <v>26</v>
      </c>
      <c r="H1211" s="4" t="s">
        <v>18</v>
      </c>
      <c r="I1211" s="4" t="s">
        <v>715</v>
      </c>
      <c r="J1211" s="4" t="s">
        <v>715</v>
      </c>
      <c r="K1211" s="5">
        <v>6272090</v>
      </c>
      <c r="L1211" s="5">
        <v>338531</v>
      </c>
      <c r="M1211" s="5">
        <v>19</v>
      </c>
      <c r="N1211" s="5">
        <v>1</v>
      </c>
      <c r="O1211" s="5">
        <v>1.63</v>
      </c>
      <c r="P1211" s="5"/>
    </row>
    <row r="1212" spans="1:16" x14ac:dyDescent="0.25">
      <c r="A1212" s="4" t="s">
        <v>21</v>
      </c>
      <c r="B1212" s="4" t="s">
        <v>423</v>
      </c>
      <c r="C1212" s="5">
        <v>36084</v>
      </c>
      <c r="D1212" s="4" t="s">
        <v>23</v>
      </c>
      <c r="E1212" s="4" t="s">
        <v>357</v>
      </c>
      <c r="F1212" s="4" t="s">
        <v>364</v>
      </c>
      <c r="G1212" s="4" t="s">
        <v>26</v>
      </c>
      <c r="H1212" s="4" t="s">
        <v>18</v>
      </c>
      <c r="I1212" s="4" t="s">
        <v>715</v>
      </c>
      <c r="J1212" s="4" t="s">
        <v>715</v>
      </c>
      <c r="K1212" s="5">
        <v>6277979</v>
      </c>
      <c r="L1212" s="5">
        <v>345153</v>
      </c>
      <c r="M1212" s="5">
        <v>19</v>
      </c>
      <c r="N1212" s="5">
        <v>1</v>
      </c>
      <c r="O1212" s="5">
        <v>2.6</v>
      </c>
      <c r="P1212" s="5"/>
    </row>
    <row r="1213" spans="1:16" x14ac:dyDescent="0.25">
      <c r="A1213" s="4" t="s">
        <v>21</v>
      </c>
      <c r="B1213" s="4" t="s">
        <v>423</v>
      </c>
      <c r="C1213" s="5">
        <v>36086</v>
      </c>
      <c r="D1213" s="4" t="s">
        <v>23</v>
      </c>
      <c r="E1213" s="4" t="s">
        <v>356</v>
      </c>
      <c r="F1213" s="4" t="s">
        <v>77</v>
      </c>
      <c r="G1213" s="4" t="s">
        <v>26</v>
      </c>
      <c r="H1213" s="4" t="s">
        <v>18</v>
      </c>
      <c r="I1213" s="4" t="s">
        <v>715</v>
      </c>
      <c r="J1213" s="4" t="s">
        <v>715</v>
      </c>
      <c r="K1213" s="5">
        <v>6264078</v>
      </c>
      <c r="L1213" s="5">
        <v>340646</v>
      </c>
      <c r="M1213" s="5">
        <v>19</v>
      </c>
      <c r="N1213" s="5">
        <v>1</v>
      </c>
      <c r="O1213" s="5">
        <v>1.04</v>
      </c>
      <c r="P1213" s="5"/>
    </row>
    <row r="1214" spans="1:16" x14ac:dyDescent="0.25">
      <c r="A1214" s="4" t="s">
        <v>13</v>
      </c>
      <c r="B1214" s="4" t="s">
        <v>423</v>
      </c>
      <c r="C1214" s="5">
        <v>36087</v>
      </c>
      <c r="D1214" s="4" t="s">
        <v>23</v>
      </c>
      <c r="E1214" s="4" t="s">
        <v>356</v>
      </c>
      <c r="F1214" s="4" t="s">
        <v>356</v>
      </c>
      <c r="G1214" s="4" t="s">
        <v>26</v>
      </c>
      <c r="H1214" s="4" t="s">
        <v>27</v>
      </c>
      <c r="I1214" s="4" t="s">
        <v>715</v>
      </c>
      <c r="J1214" s="4" t="s">
        <v>715</v>
      </c>
      <c r="K1214" s="5">
        <v>6256303</v>
      </c>
      <c r="L1214" s="5">
        <v>342669</v>
      </c>
      <c r="M1214" s="5">
        <v>19</v>
      </c>
      <c r="N1214" s="5">
        <v>1</v>
      </c>
      <c r="O1214" s="5">
        <v>0.39</v>
      </c>
      <c r="P1214" s="5"/>
    </row>
    <row r="1215" spans="1:16" x14ac:dyDescent="0.25">
      <c r="A1215" s="4" t="s">
        <v>13</v>
      </c>
      <c r="B1215" s="4" t="s">
        <v>423</v>
      </c>
      <c r="C1215" s="5">
        <v>36088</v>
      </c>
      <c r="D1215" s="4" t="s">
        <v>23</v>
      </c>
      <c r="E1215" s="4" t="s">
        <v>356</v>
      </c>
      <c r="F1215" s="4" t="s">
        <v>356</v>
      </c>
      <c r="G1215" s="4" t="s">
        <v>26</v>
      </c>
      <c r="H1215" s="4" t="s">
        <v>27</v>
      </c>
      <c r="I1215" s="4" t="s">
        <v>715</v>
      </c>
      <c r="J1215" s="4" t="s">
        <v>715</v>
      </c>
      <c r="K1215" s="5">
        <v>6259755</v>
      </c>
      <c r="L1215" s="5">
        <v>342133</v>
      </c>
      <c r="M1215" s="5">
        <v>19</v>
      </c>
      <c r="N1215" s="5">
        <v>1</v>
      </c>
      <c r="O1215" s="5">
        <v>0.4</v>
      </c>
      <c r="P1215" s="5"/>
    </row>
    <row r="1216" spans="1:16" x14ac:dyDescent="0.25">
      <c r="A1216" s="4" t="s">
        <v>13</v>
      </c>
      <c r="B1216" s="4" t="s">
        <v>423</v>
      </c>
      <c r="C1216" s="5">
        <v>36090</v>
      </c>
      <c r="D1216" s="4" t="s">
        <v>23</v>
      </c>
      <c r="E1216" s="4" t="s">
        <v>356</v>
      </c>
      <c r="F1216" s="4" t="s">
        <v>380</v>
      </c>
      <c r="G1216" s="4" t="s">
        <v>26</v>
      </c>
      <c r="H1216" s="4" t="s">
        <v>27</v>
      </c>
      <c r="I1216" s="4" t="s">
        <v>715</v>
      </c>
      <c r="J1216" s="4" t="s">
        <v>715</v>
      </c>
      <c r="K1216" s="5">
        <v>6259625</v>
      </c>
      <c r="L1216" s="5">
        <v>336951</v>
      </c>
      <c r="M1216" s="5">
        <v>19</v>
      </c>
      <c r="N1216" s="5">
        <v>1</v>
      </c>
      <c r="O1216" s="5">
        <v>0.41</v>
      </c>
      <c r="P1216" s="5"/>
    </row>
    <row r="1217" spans="1:16" x14ac:dyDescent="0.25">
      <c r="A1217" s="4" t="s">
        <v>13</v>
      </c>
      <c r="B1217" s="4" t="s">
        <v>423</v>
      </c>
      <c r="C1217" s="5">
        <v>36091</v>
      </c>
      <c r="D1217" s="4" t="s">
        <v>23</v>
      </c>
      <c r="E1217" s="4" t="s">
        <v>445</v>
      </c>
      <c r="F1217" s="4" t="s">
        <v>450</v>
      </c>
      <c r="G1217" s="4" t="s">
        <v>26</v>
      </c>
      <c r="H1217" s="4" t="s">
        <v>27</v>
      </c>
      <c r="I1217" s="4" t="s">
        <v>715</v>
      </c>
      <c r="J1217" s="4" t="s">
        <v>715</v>
      </c>
      <c r="K1217" s="5">
        <v>6319389</v>
      </c>
      <c r="L1217" s="5">
        <v>334581</v>
      </c>
      <c r="M1217" s="5">
        <v>19</v>
      </c>
      <c r="N1217" s="5">
        <v>1</v>
      </c>
      <c r="O1217" s="5">
        <v>0.45</v>
      </c>
      <c r="P1217" s="5"/>
    </row>
    <row r="1218" spans="1:16" x14ac:dyDescent="0.25">
      <c r="A1218" s="4" t="s">
        <v>13</v>
      </c>
      <c r="B1218" s="4" t="s">
        <v>423</v>
      </c>
      <c r="C1218" s="5">
        <v>36095</v>
      </c>
      <c r="D1218" s="4" t="s">
        <v>37</v>
      </c>
      <c r="E1218" s="4" t="s">
        <v>75</v>
      </c>
      <c r="F1218" s="4" t="s">
        <v>454</v>
      </c>
      <c r="G1218" s="4" t="s">
        <v>26</v>
      </c>
      <c r="H1218" s="4" t="s">
        <v>27</v>
      </c>
      <c r="I1218" s="4" t="s">
        <v>715</v>
      </c>
      <c r="J1218" s="4" t="s">
        <v>715</v>
      </c>
      <c r="K1218" s="5">
        <v>6226665</v>
      </c>
      <c r="L1218" s="5">
        <v>345580</v>
      </c>
      <c r="M1218" s="5">
        <v>19</v>
      </c>
      <c r="N1218" s="5">
        <v>1</v>
      </c>
      <c r="O1218" s="5">
        <v>0.39</v>
      </c>
      <c r="P1218" s="5"/>
    </row>
    <row r="1219" spans="1:16" x14ac:dyDescent="0.25">
      <c r="A1219" s="4" t="s">
        <v>13</v>
      </c>
      <c r="B1219" s="4" t="s">
        <v>423</v>
      </c>
      <c r="C1219" s="5">
        <v>36096</v>
      </c>
      <c r="D1219" s="4" t="s">
        <v>37</v>
      </c>
      <c r="E1219" s="4" t="s">
        <v>75</v>
      </c>
      <c r="F1219" s="4" t="s">
        <v>454</v>
      </c>
      <c r="G1219" s="4" t="s">
        <v>26</v>
      </c>
      <c r="H1219" s="4" t="s">
        <v>27</v>
      </c>
      <c r="I1219" s="4" t="s">
        <v>715</v>
      </c>
      <c r="J1219" s="4" t="s">
        <v>715</v>
      </c>
      <c r="K1219" s="5">
        <v>6226543</v>
      </c>
      <c r="L1219" s="5">
        <v>345793</v>
      </c>
      <c r="M1219" s="5">
        <v>19</v>
      </c>
      <c r="N1219" s="5">
        <v>1</v>
      </c>
      <c r="O1219" s="5">
        <v>0.4</v>
      </c>
      <c r="P1219" s="5"/>
    </row>
    <row r="1220" spans="1:16" x14ac:dyDescent="0.25">
      <c r="A1220" s="4" t="s">
        <v>13</v>
      </c>
      <c r="B1220" s="4" t="s">
        <v>423</v>
      </c>
      <c r="C1220" s="5">
        <v>36099</v>
      </c>
      <c r="D1220" s="4" t="s">
        <v>23</v>
      </c>
      <c r="E1220" s="4" t="s">
        <v>25</v>
      </c>
      <c r="F1220" s="4" t="s">
        <v>455</v>
      </c>
      <c r="G1220" s="4" t="s">
        <v>26</v>
      </c>
      <c r="H1220" s="4" t="s">
        <v>27</v>
      </c>
      <c r="I1220" s="4" t="s">
        <v>715</v>
      </c>
      <c r="J1220" s="4" t="s">
        <v>715</v>
      </c>
      <c r="K1220" s="5">
        <v>6276898</v>
      </c>
      <c r="L1220" s="5">
        <v>289429</v>
      </c>
      <c r="M1220" s="5">
        <v>19</v>
      </c>
      <c r="N1220" s="5">
        <v>1</v>
      </c>
      <c r="O1220" s="5">
        <v>0.42</v>
      </c>
      <c r="P1220" s="5"/>
    </row>
    <row r="1221" spans="1:16" x14ac:dyDescent="0.25">
      <c r="A1221" s="4" t="s">
        <v>13</v>
      </c>
      <c r="B1221" s="4" t="s">
        <v>423</v>
      </c>
      <c r="C1221" s="5">
        <v>36100</v>
      </c>
      <c r="D1221" s="4" t="s">
        <v>23</v>
      </c>
      <c r="E1221" s="4" t="s">
        <v>445</v>
      </c>
      <c r="F1221" s="4" t="s">
        <v>450</v>
      </c>
      <c r="G1221" s="4" t="s">
        <v>26</v>
      </c>
      <c r="H1221" s="4" t="s">
        <v>27</v>
      </c>
      <c r="I1221" s="4" t="s">
        <v>715</v>
      </c>
      <c r="J1221" s="4" t="s">
        <v>715</v>
      </c>
      <c r="K1221" s="5">
        <v>6319455</v>
      </c>
      <c r="L1221" s="5">
        <v>334719</v>
      </c>
      <c r="M1221" s="5">
        <v>19</v>
      </c>
      <c r="N1221" s="5">
        <v>1</v>
      </c>
      <c r="O1221" s="5">
        <v>0.39</v>
      </c>
      <c r="P1221" s="5"/>
    </row>
    <row r="1222" spans="1:16" x14ac:dyDescent="0.25">
      <c r="A1222" s="4" t="s">
        <v>54</v>
      </c>
      <c r="B1222" s="4" t="s">
        <v>423</v>
      </c>
      <c r="C1222" s="5">
        <v>36103</v>
      </c>
      <c r="D1222" s="4" t="s">
        <v>23</v>
      </c>
      <c r="E1222" s="4" t="s">
        <v>28</v>
      </c>
      <c r="F1222" s="4" t="s">
        <v>380</v>
      </c>
      <c r="G1222" s="4" t="s">
        <v>26</v>
      </c>
      <c r="H1222" s="4" t="s">
        <v>641</v>
      </c>
      <c r="I1222" s="4" t="s">
        <v>715</v>
      </c>
      <c r="J1222" s="4" t="s">
        <v>715</v>
      </c>
      <c r="K1222" s="5">
        <v>6259153</v>
      </c>
      <c r="L1222" s="5">
        <v>332637</v>
      </c>
      <c r="M1222" s="5">
        <v>19</v>
      </c>
      <c r="N1222" s="5">
        <v>1</v>
      </c>
      <c r="O1222" s="5">
        <v>0.6</v>
      </c>
      <c r="P1222" s="5"/>
    </row>
    <row r="1223" spans="1:16" x14ac:dyDescent="0.25">
      <c r="A1223" s="4" t="s">
        <v>21</v>
      </c>
      <c r="B1223" s="4" t="s">
        <v>423</v>
      </c>
      <c r="C1223" s="5">
        <v>36106</v>
      </c>
      <c r="D1223" s="4" t="s">
        <v>33</v>
      </c>
      <c r="E1223" s="4" t="s">
        <v>43</v>
      </c>
      <c r="F1223" s="4" t="s">
        <v>43</v>
      </c>
      <c r="G1223" s="4" t="s">
        <v>26</v>
      </c>
      <c r="H1223" s="4" t="s">
        <v>27</v>
      </c>
      <c r="I1223" s="4" t="s">
        <v>715</v>
      </c>
      <c r="J1223" s="4" t="s">
        <v>715</v>
      </c>
      <c r="K1223" s="5">
        <v>6064114</v>
      </c>
      <c r="L1223" s="5">
        <v>270065</v>
      </c>
      <c r="M1223" s="5">
        <v>19</v>
      </c>
      <c r="N1223" s="5">
        <v>16</v>
      </c>
      <c r="O1223" s="5">
        <v>132.5</v>
      </c>
      <c r="P1223" s="5"/>
    </row>
    <row r="1224" spans="1:16" x14ac:dyDescent="0.25">
      <c r="A1224" s="4" t="s">
        <v>21</v>
      </c>
      <c r="B1224" s="4" t="s">
        <v>423</v>
      </c>
      <c r="C1224" s="5">
        <v>36132</v>
      </c>
      <c r="D1224" s="4" t="s">
        <v>33</v>
      </c>
      <c r="E1224" s="4" t="s">
        <v>43</v>
      </c>
      <c r="F1224" s="4" t="s">
        <v>43</v>
      </c>
      <c r="G1224" s="4" t="s">
        <v>26</v>
      </c>
      <c r="H1224" s="4" t="s">
        <v>27</v>
      </c>
      <c r="I1224" s="4" t="s">
        <v>715</v>
      </c>
      <c r="J1224" s="4" t="s">
        <v>715</v>
      </c>
      <c r="K1224" s="5">
        <v>6067314</v>
      </c>
      <c r="L1224" s="5">
        <v>269315</v>
      </c>
      <c r="M1224" s="5">
        <v>19</v>
      </c>
      <c r="N1224" s="5">
        <v>2</v>
      </c>
      <c r="O1224" s="5">
        <v>14</v>
      </c>
      <c r="P1224" s="5"/>
    </row>
    <row r="1225" spans="1:16" x14ac:dyDescent="0.25">
      <c r="A1225" s="4" t="s">
        <v>21</v>
      </c>
      <c r="B1225" s="4" t="s">
        <v>423</v>
      </c>
      <c r="C1225" s="5">
        <v>36147</v>
      </c>
      <c r="D1225" s="4" t="s">
        <v>37</v>
      </c>
      <c r="E1225" s="4" t="s">
        <v>295</v>
      </c>
      <c r="F1225" s="4" t="s">
        <v>429</v>
      </c>
      <c r="G1225" s="4" t="s">
        <v>26</v>
      </c>
      <c r="H1225" s="4" t="s">
        <v>18</v>
      </c>
      <c r="I1225" s="4" t="s">
        <v>715</v>
      </c>
      <c r="J1225" s="4" t="s">
        <v>715</v>
      </c>
      <c r="K1225" s="5">
        <v>6222715</v>
      </c>
      <c r="L1225" s="5">
        <v>344150</v>
      </c>
      <c r="M1225" s="5">
        <v>19</v>
      </c>
      <c r="N1225" s="5">
        <v>1</v>
      </c>
      <c r="O1225" s="5">
        <v>0.2</v>
      </c>
      <c r="P1225" s="5"/>
    </row>
    <row r="1226" spans="1:16" x14ac:dyDescent="0.25">
      <c r="A1226" s="4" t="s">
        <v>21</v>
      </c>
      <c r="B1226" s="4" t="s">
        <v>423</v>
      </c>
      <c r="C1226" s="5">
        <v>36148</v>
      </c>
      <c r="D1226" s="4" t="s">
        <v>23</v>
      </c>
      <c r="E1226" s="4" t="s">
        <v>427</v>
      </c>
      <c r="F1226" s="4" t="s">
        <v>428</v>
      </c>
      <c r="G1226" s="4" t="s">
        <v>26</v>
      </c>
      <c r="H1226" s="4" t="s">
        <v>18</v>
      </c>
      <c r="I1226" s="4" t="s">
        <v>715</v>
      </c>
      <c r="J1226" s="4" t="s">
        <v>715</v>
      </c>
      <c r="K1226" s="5">
        <v>6325428</v>
      </c>
      <c r="L1226" s="5">
        <v>325820</v>
      </c>
      <c r="M1226" s="5">
        <v>19</v>
      </c>
      <c r="N1226" s="5">
        <v>1</v>
      </c>
      <c r="O1226" s="5">
        <v>1.05</v>
      </c>
      <c r="P1226" s="5"/>
    </row>
    <row r="1227" spans="1:16" x14ac:dyDescent="0.25">
      <c r="A1227" s="4" t="s">
        <v>21</v>
      </c>
      <c r="B1227" s="4" t="s">
        <v>423</v>
      </c>
      <c r="C1227" s="5">
        <v>36149</v>
      </c>
      <c r="D1227" s="4" t="s">
        <v>23</v>
      </c>
      <c r="E1227" s="4" t="s">
        <v>427</v>
      </c>
      <c r="F1227" s="4" t="s">
        <v>428</v>
      </c>
      <c r="G1227" s="4" t="s">
        <v>26</v>
      </c>
      <c r="H1227" s="4" t="s">
        <v>18</v>
      </c>
      <c r="I1227" s="4" t="s">
        <v>715</v>
      </c>
      <c r="J1227" s="4" t="s">
        <v>715</v>
      </c>
      <c r="K1227" s="5">
        <v>6325716</v>
      </c>
      <c r="L1227" s="5">
        <v>325961</v>
      </c>
      <c r="M1227" s="5">
        <v>19</v>
      </c>
      <c r="N1227" s="5">
        <v>1</v>
      </c>
      <c r="O1227" s="5">
        <v>1.1000000000000001</v>
      </c>
      <c r="P1227" s="5"/>
    </row>
    <row r="1228" spans="1:16" x14ac:dyDescent="0.25">
      <c r="A1228" s="4" t="s">
        <v>21</v>
      </c>
      <c r="B1228" s="4" t="s">
        <v>423</v>
      </c>
      <c r="C1228" s="5">
        <v>36150</v>
      </c>
      <c r="D1228" s="4" t="s">
        <v>23</v>
      </c>
      <c r="E1228" s="4" t="s">
        <v>76</v>
      </c>
      <c r="F1228" s="4" t="s">
        <v>456</v>
      </c>
      <c r="G1228" s="4" t="s">
        <v>26</v>
      </c>
      <c r="H1228" s="4" t="s">
        <v>18</v>
      </c>
      <c r="I1228" s="4" t="s">
        <v>715</v>
      </c>
      <c r="J1228" s="4" t="s">
        <v>715</v>
      </c>
      <c r="K1228" s="5">
        <v>6269976</v>
      </c>
      <c r="L1228" s="5">
        <v>329399</v>
      </c>
      <c r="M1228" s="5">
        <v>19</v>
      </c>
      <c r="N1228" s="5">
        <v>1</v>
      </c>
      <c r="O1228" s="5">
        <v>1.1200000000000001</v>
      </c>
      <c r="P1228" s="5"/>
    </row>
    <row r="1229" spans="1:16" x14ac:dyDescent="0.25">
      <c r="A1229" s="4" t="s">
        <v>21</v>
      </c>
      <c r="B1229" s="4" t="s">
        <v>423</v>
      </c>
      <c r="C1229" s="5">
        <v>36151</v>
      </c>
      <c r="D1229" s="4" t="s">
        <v>23</v>
      </c>
      <c r="E1229" s="4" t="s">
        <v>457</v>
      </c>
      <c r="F1229" s="4" t="s">
        <v>457</v>
      </c>
      <c r="G1229" s="4" t="s">
        <v>26</v>
      </c>
      <c r="H1229" s="4" t="s">
        <v>18</v>
      </c>
      <c r="I1229" s="4" t="s">
        <v>715</v>
      </c>
      <c r="J1229" s="4" t="s">
        <v>715</v>
      </c>
      <c r="K1229" s="5">
        <v>6306775</v>
      </c>
      <c r="L1229" s="5">
        <v>345246</v>
      </c>
      <c r="M1229" s="5">
        <v>19</v>
      </c>
      <c r="N1229" s="5">
        <v>1</v>
      </c>
      <c r="O1229" s="5">
        <v>3.61</v>
      </c>
      <c r="P1229" s="5"/>
    </row>
    <row r="1230" spans="1:16" x14ac:dyDescent="0.25">
      <c r="A1230" s="4" t="s">
        <v>13</v>
      </c>
      <c r="B1230" s="4" t="s">
        <v>423</v>
      </c>
      <c r="C1230" s="5">
        <v>36152</v>
      </c>
      <c r="D1230" s="4" t="s">
        <v>23</v>
      </c>
      <c r="E1230" s="4" t="s">
        <v>28</v>
      </c>
      <c r="F1230" s="4" t="s">
        <v>441</v>
      </c>
      <c r="G1230" s="4" t="s">
        <v>26</v>
      </c>
      <c r="H1230" s="4" t="s">
        <v>27</v>
      </c>
      <c r="I1230" s="4" t="s">
        <v>715</v>
      </c>
      <c r="J1230" s="4" t="s">
        <v>715</v>
      </c>
      <c r="K1230" s="5">
        <v>6260989</v>
      </c>
      <c r="L1230" s="5">
        <v>329680</v>
      </c>
      <c r="M1230" s="5">
        <v>19</v>
      </c>
      <c r="N1230" s="5">
        <v>1</v>
      </c>
      <c r="O1230" s="5">
        <v>0.41</v>
      </c>
      <c r="P1230" s="5"/>
    </row>
    <row r="1231" spans="1:16" x14ac:dyDescent="0.25">
      <c r="A1231" s="4" t="s">
        <v>21</v>
      </c>
      <c r="B1231" s="4" t="s">
        <v>423</v>
      </c>
      <c r="C1231" s="5">
        <v>36153</v>
      </c>
      <c r="D1231" s="4" t="s">
        <v>23</v>
      </c>
      <c r="E1231" s="4" t="s">
        <v>445</v>
      </c>
      <c r="F1231" s="4" t="s">
        <v>445</v>
      </c>
      <c r="G1231" s="4" t="s">
        <v>26</v>
      </c>
      <c r="H1231" s="4" t="s">
        <v>18</v>
      </c>
      <c r="I1231" s="4" t="s">
        <v>715</v>
      </c>
      <c r="J1231" s="4" t="s">
        <v>715</v>
      </c>
      <c r="K1231" s="5">
        <v>6314469</v>
      </c>
      <c r="L1231" s="5">
        <v>328141</v>
      </c>
      <c r="M1231" s="5">
        <v>19</v>
      </c>
      <c r="N1231" s="5">
        <v>1</v>
      </c>
      <c r="O1231" s="5">
        <v>0.12</v>
      </c>
      <c r="P1231" s="5"/>
    </row>
    <row r="1232" spans="1:16" x14ac:dyDescent="0.25">
      <c r="A1232" s="4" t="s">
        <v>21</v>
      </c>
      <c r="B1232" s="4" t="s">
        <v>423</v>
      </c>
      <c r="C1232" s="5">
        <v>36155</v>
      </c>
      <c r="D1232" s="4" t="s">
        <v>23</v>
      </c>
      <c r="E1232" s="4" t="s">
        <v>25</v>
      </c>
      <c r="F1232" s="4" t="s">
        <v>458</v>
      </c>
      <c r="G1232" s="4" t="s">
        <v>26</v>
      </c>
      <c r="H1232" s="4" t="s">
        <v>18</v>
      </c>
      <c r="I1232" s="4" t="s">
        <v>715</v>
      </c>
      <c r="J1232" s="4" t="s">
        <v>715</v>
      </c>
      <c r="K1232" s="5">
        <v>6280716</v>
      </c>
      <c r="L1232" s="5">
        <v>293500</v>
      </c>
      <c r="M1232" s="5">
        <v>19</v>
      </c>
      <c r="N1232" s="5">
        <v>1</v>
      </c>
      <c r="O1232" s="5">
        <v>0.98</v>
      </c>
      <c r="P1232" s="5"/>
    </row>
    <row r="1233" spans="1:16" x14ac:dyDescent="0.25">
      <c r="A1233" s="4" t="s">
        <v>21</v>
      </c>
      <c r="B1233" s="4" t="s">
        <v>423</v>
      </c>
      <c r="C1233" s="5">
        <v>36158</v>
      </c>
      <c r="D1233" s="4" t="s">
        <v>23</v>
      </c>
      <c r="E1233" s="4" t="s">
        <v>356</v>
      </c>
      <c r="F1233" s="4" t="s">
        <v>365</v>
      </c>
      <c r="G1233" s="4" t="s">
        <v>26</v>
      </c>
      <c r="H1233" s="4" t="s">
        <v>18</v>
      </c>
      <c r="I1233" s="4" t="s">
        <v>715</v>
      </c>
      <c r="J1233" s="4" t="s">
        <v>715</v>
      </c>
      <c r="K1233" s="5">
        <v>6253249</v>
      </c>
      <c r="L1233" s="5">
        <v>345202</v>
      </c>
      <c r="M1233" s="5">
        <v>19</v>
      </c>
      <c r="N1233" s="5">
        <v>1</v>
      </c>
      <c r="O1233" s="5">
        <v>1.6</v>
      </c>
      <c r="P1233" s="5"/>
    </row>
    <row r="1234" spans="1:16" x14ac:dyDescent="0.25">
      <c r="A1234" s="4" t="s">
        <v>21</v>
      </c>
      <c r="B1234" s="4" t="s">
        <v>423</v>
      </c>
      <c r="C1234" s="5">
        <v>36159</v>
      </c>
      <c r="D1234" s="4" t="s">
        <v>37</v>
      </c>
      <c r="E1234" s="4" t="s">
        <v>75</v>
      </c>
      <c r="F1234" s="4" t="s">
        <v>454</v>
      </c>
      <c r="G1234" s="4" t="s">
        <v>26</v>
      </c>
      <c r="H1234" s="4" t="s">
        <v>18</v>
      </c>
      <c r="I1234" s="4" t="s">
        <v>715</v>
      </c>
      <c r="J1234" s="4" t="s">
        <v>715</v>
      </c>
      <c r="K1234" s="5">
        <v>6226871</v>
      </c>
      <c r="L1234" s="5">
        <v>345861</v>
      </c>
      <c r="M1234" s="5">
        <v>19</v>
      </c>
      <c r="N1234" s="5">
        <v>1</v>
      </c>
      <c r="O1234" s="5">
        <v>3.4</v>
      </c>
      <c r="P1234" s="5"/>
    </row>
    <row r="1235" spans="1:16" x14ac:dyDescent="0.25">
      <c r="A1235" s="4" t="s">
        <v>13</v>
      </c>
      <c r="B1235" s="4" t="s">
        <v>423</v>
      </c>
      <c r="C1235" s="5">
        <v>36162</v>
      </c>
      <c r="D1235" s="4" t="s">
        <v>23</v>
      </c>
      <c r="E1235" s="4" t="s">
        <v>367</v>
      </c>
      <c r="F1235" s="4" t="s">
        <v>459</v>
      </c>
      <c r="G1235" s="4" t="s">
        <v>26</v>
      </c>
      <c r="H1235" s="4" t="s">
        <v>27</v>
      </c>
      <c r="I1235" s="4" t="s">
        <v>715</v>
      </c>
      <c r="J1235" s="4" t="s">
        <v>638</v>
      </c>
      <c r="K1235" s="5">
        <v>6277465</v>
      </c>
      <c r="L1235" s="5">
        <v>338441</v>
      </c>
      <c r="M1235" s="5">
        <v>19</v>
      </c>
      <c r="N1235" s="5">
        <v>1</v>
      </c>
      <c r="O1235" s="5">
        <v>0.41</v>
      </c>
      <c r="P1235" s="5"/>
    </row>
    <row r="1236" spans="1:16" x14ac:dyDescent="0.25">
      <c r="A1236" s="4" t="s">
        <v>21</v>
      </c>
      <c r="B1236" s="4" t="s">
        <v>423</v>
      </c>
      <c r="C1236" s="5">
        <v>36163</v>
      </c>
      <c r="D1236" s="4" t="s">
        <v>23</v>
      </c>
      <c r="E1236" s="4" t="s">
        <v>445</v>
      </c>
      <c r="F1236" s="4" t="s">
        <v>445</v>
      </c>
      <c r="G1236" s="4" t="s">
        <v>26</v>
      </c>
      <c r="H1236" s="4" t="s">
        <v>18</v>
      </c>
      <c r="I1236" s="4" t="s">
        <v>715</v>
      </c>
      <c r="J1236" s="4" t="s">
        <v>715</v>
      </c>
      <c r="K1236" s="5">
        <v>6314732</v>
      </c>
      <c r="L1236" s="5">
        <v>328187</v>
      </c>
      <c r="M1236" s="5">
        <v>19</v>
      </c>
      <c r="N1236" s="5">
        <v>1</v>
      </c>
      <c r="O1236" s="5">
        <v>0.11</v>
      </c>
      <c r="P1236" s="5"/>
    </row>
    <row r="1237" spans="1:16" x14ac:dyDescent="0.25">
      <c r="A1237" s="4" t="s">
        <v>21</v>
      </c>
      <c r="B1237" s="4" t="s">
        <v>423</v>
      </c>
      <c r="C1237" s="5">
        <v>36164</v>
      </c>
      <c r="D1237" s="4" t="s">
        <v>23</v>
      </c>
      <c r="E1237" s="4" t="s">
        <v>445</v>
      </c>
      <c r="F1237" s="4" t="s">
        <v>445</v>
      </c>
      <c r="G1237" s="4" t="s">
        <v>26</v>
      </c>
      <c r="H1237" s="4" t="s">
        <v>18</v>
      </c>
      <c r="I1237" s="4" t="s">
        <v>715</v>
      </c>
      <c r="J1237" s="4" t="s">
        <v>715</v>
      </c>
      <c r="K1237" s="5">
        <v>6314597</v>
      </c>
      <c r="L1237" s="5">
        <v>327886</v>
      </c>
      <c r="M1237" s="5">
        <v>19</v>
      </c>
      <c r="N1237" s="5">
        <v>1</v>
      </c>
      <c r="O1237" s="5">
        <v>0.05</v>
      </c>
      <c r="P1237" s="5"/>
    </row>
    <row r="1238" spans="1:16" x14ac:dyDescent="0.25">
      <c r="A1238" s="4" t="s">
        <v>13</v>
      </c>
      <c r="B1238" s="4" t="s">
        <v>423</v>
      </c>
      <c r="C1238" s="5">
        <v>36165</v>
      </c>
      <c r="D1238" s="4" t="s">
        <v>23</v>
      </c>
      <c r="E1238" s="4" t="s">
        <v>356</v>
      </c>
      <c r="F1238" s="4" t="s">
        <v>356</v>
      </c>
      <c r="G1238" s="4" t="s">
        <v>26</v>
      </c>
      <c r="H1238" s="4" t="s">
        <v>27</v>
      </c>
      <c r="I1238" s="4" t="s">
        <v>715</v>
      </c>
      <c r="J1238" s="4" t="s">
        <v>715</v>
      </c>
      <c r="K1238" s="5">
        <v>6259538</v>
      </c>
      <c r="L1238" s="5">
        <v>342309</v>
      </c>
      <c r="M1238" s="5">
        <v>19</v>
      </c>
      <c r="N1238" s="5">
        <v>1</v>
      </c>
      <c r="O1238" s="5">
        <v>0.42</v>
      </c>
      <c r="P1238" s="5"/>
    </row>
    <row r="1239" spans="1:16" x14ac:dyDescent="0.25">
      <c r="A1239" s="4" t="s">
        <v>13</v>
      </c>
      <c r="B1239" s="4" t="s">
        <v>423</v>
      </c>
      <c r="C1239" s="5">
        <v>36166</v>
      </c>
      <c r="D1239" s="4" t="s">
        <v>23</v>
      </c>
      <c r="E1239" s="4" t="s">
        <v>367</v>
      </c>
      <c r="F1239" s="4" t="s">
        <v>367</v>
      </c>
      <c r="G1239" s="4" t="s">
        <v>26</v>
      </c>
      <c r="H1239" s="4" t="s">
        <v>27</v>
      </c>
      <c r="I1239" s="4" t="s">
        <v>715</v>
      </c>
      <c r="J1239" s="4" t="s">
        <v>715</v>
      </c>
      <c r="K1239" s="5">
        <v>6275665</v>
      </c>
      <c r="L1239" s="5">
        <v>337355</v>
      </c>
      <c r="M1239" s="5">
        <v>19</v>
      </c>
      <c r="N1239" s="5">
        <v>1</v>
      </c>
      <c r="O1239" s="5">
        <v>0.41</v>
      </c>
      <c r="P1239" s="5"/>
    </row>
    <row r="1240" spans="1:16" x14ac:dyDescent="0.25">
      <c r="A1240" s="4" t="s">
        <v>13</v>
      </c>
      <c r="B1240" s="4" t="s">
        <v>423</v>
      </c>
      <c r="C1240" s="5">
        <v>36167</v>
      </c>
      <c r="D1240" s="4" t="s">
        <v>23</v>
      </c>
      <c r="E1240" s="4" t="s">
        <v>28</v>
      </c>
      <c r="F1240" s="4" t="s">
        <v>441</v>
      </c>
      <c r="G1240" s="4" t="s">
        <v>26</v>
      </c>
      <c r="H1240" s="4" t="s">
        <v>27</v>
      </c>
      <c r="I1240" s="4" t="s">
        <v>715</v>
      </c>
      <c r="J1240" s="4" t="s">
        <v>715</v>
      </c>
      <c r="K1240" s="5">
        <v>6261609</v>
      </c>
      <c r="L1240" s="5">
        <v>330516</v>
      </c>
      <c r="M1240" s="5">
        <v>19</v>
      </c>
      <c r="N1240" s="5">
        <v>1</v>
      </c>
      <c r="O1240" s="5">
        <v>0.3</v>
      </c>
      <c r="P1240" s="5"/>
    </row>
    <row r="1241" spans="1:16" x14ac:dyDescent="0.25">
      <c r="A1241" s="4" t="s">
        <v>13</v>
      </c>
      <c r="B1241" s="4" t="s">
        <v>423</v>
      </c>
      <c r="C1241" s="5">
        <v>36168</v>
      </c>
      <c r="D1241" s="4" t="s">
        <v>23</v>
      </c>
      <c r="E1241" s="4" t="s">
        <v>357</v>
      </c>
      <c r="F1241" s="4" t="s">
        <v>361</v>
      </c>
      <c r="G1241" s="4" t="s">
        <v>26</v>
      </c>
      <c r="H1241" s="4" t="s">
        <v>27</v>
      </c>
      <c r="I1241" s="4" t="s">
        <v>715</v>
      </c>
      <c r="J1241" s="4" t="s">
        <v>715</v>
      </c>
      <c r="K1241" s="5">
        <v>6272778</v>
      </c>
      <c r="L1241" s="5">
        <v>339308</v>
      </c>
      <c r="M1241" s="5">
        <v>19</v>
      </c>
      <c r="N1241" s="5">
        <v>1</v>
      </c>
      <c r="O1241" s="5">
        <v>1.64</v>
      </c>
      <c r="P1241" s="5"/>
    </row>
    <row r="1242" spans="1:16" x14ac:dyDescent="0.25">
      <c r="A1242" s="4" t="s">
        <v>21</v>
      </c>
      <c r="B1242" s="4" t="s">
        <v>423</v>
      </c>
      <c r="C1242" s="5">
        <v>36169</v>
      </c>
      <c r="D1242" s="4" t="s">
        <v>23</v>
      </c>
      <c r="E1242" s="4" t="s">
        <v>356</v>
      </c>
      <c r="F1242" s="4" t="s">
        <v>356</v>
      </c>
      <c r="G1242" s="4" t="s">
        <v>26</v>
      </c>
      <c r="H1242" s="4" t="s">
        <v>18</v>
      </c>
      <c r="I1242" s="4" t="s">
        <v>715</v>
      </c>
      <c r="J1242" s="4" t="s">
        <v>715</v>
      </c>
      <c r="K1242" s="5">
        <v>6258887</v>
      </c>
      <c r="L1242" s="5">
        <v>337536</v>
      </c>
      <c r="M1242" s="5">
        <v>19</v>
      </c>
      <c r="N1242" s="5">
        <v>1</v>
      </c>
      <c r="O1242" s="5">
        <v>0.17</v>
      </c>
      <c r="P1242" s="5"/>
    </row>
    <row r="1243" spans="1:16" x14ac:dyDescent="0.25">
      <c r="A1243" s="4" t="s">
        <v>21</v>
      </c>
      <c r="B1243" s="4" t="s">
        <v>423</v>
      </c>
      <c r="C1243" s="5">
        <v>36170</v>
      </c>
      <c r="D1243" s="4" t="s">
        <v>23</v>
      </c>
      <c r="E1243" s="4" t="s">
        <v>28</v>
      </c>
      <c r="F1243" s="4" t="s">
        <v>460</v>
      </c>
      <c r="G1243" s="4" t="s">
        <v>26</v>
      </c>
      <c r="H1243" s="4" t="s">
        <v>18</v>
      </c>
      <c r="I1243" s="4" t="s">
        <v>715</v>
      </c>
      <c r="J1243" s="4" t="s">
        <v>715</v>
      </c>
      <c r="K1243" s="5">
        <v>6256422</v>
      </c>
      <c r="L1243" s="5">
        <v>333555</v>
      </c>
      <c r="M1243" s="5">
        <v>19</v>
      </c>
      <c r="N1243" s="5">
        <v>1</v>
      </c>
      <c r="O1243" s="5">
        <v>0.13</v>
      </c>
      <c r="P1243" s="5"/>
    </row>
    <row r="1244" spans="1:16" x14ac:dyDescent="0.25">
      <c r="A1244" s="4" t="s">
        <v>21</v>
      </c>
      <c r="B1244" s="4" t="s">
        <v>423</v>
      </c>
      <c r="C1244" s="5">
        <v>36171</v>
      </c>
      <c r="D1244" s="4" t="s">
        <v>23</v>
      </c>
      <c r="E1244" s="4" t="s">
        <v>28</v>
      </c>
      <c r="F1244" s="4" t="s">
        <v>460</v>
      </c>
      <c r="G1244" s="4" t="s">
        <v>26</v>
      </c>
      <c r="H1244" s="4" t="s">
        <v>18</v>
      </c>
      <c r="I1244" s="4" t="s">
        <v>715</v>
      </c>
      <c r="J1244" s="4" t="s">
        <v>715</v>
      </c>
      <c r="K1244" s="5">
        <v>6256201</v>
      </c>
      <c r="L1244" s="5">
        <v>333375</v>
      </c>
      <c r="M1244" s="5">
        <v>19</v>
      </c>
      <c r="N1244" s="5">
        <v>1</v>
      </c>
      <c r="O1244" s="5">
        <v>0.12</v>
      </c>
      <c r="P1244" s="5"/>
    </row>
    <row r="1245" spans="1:16" x14ac:dyDescent="0.25">
      <c r="A1245" s="4" t="s">
        <v>21</v>
      </c>
      <c r="B1245" s="4" t="s">
        <v>423</v>
      </c>
      <c r="C1245" s="5">
        <v>36172</v>
      </c>
      <c r="D1245" s="4" t="s">
        <v>23</v>
      </c>
      <c r="E1245" s="4" t="s">
        <v>28</v>
      </c>
      <c r="F1245" s="4" t="s">
        <v>380</v>
      </c>
      <c r="G1245" s="4" t="s">
        <v>26</v>
      </c>
      <c r="H1245" s="4" t="s">
        <v>18</v>
      </c>
      <c r="I1245" s="4" t="s">
        <v>715</v>
      </c>
      <c r="J1245" s="4" t="s">
        <v>715</v>
      </c>
      <c r="K1245" s="5">
        <v>6256764</v>
      </c>
      <c r="L1245" s="5">
        <v>333031</v>
      </c>
      <c r="M1245" s="5">
        <v>19</v>
      </c>
      <c r="N1245" s="5">
        <v>1</v>
      </c>
      <c r="O1245" s="5">
        <v>0.14000000000000001</v>
      </c>
      <c r="P1245" s="5"/>
    </row>
    <row r="1246" spans="1:16" x14ac:dyDescent="0.25">
      <c r="A1246" s="4" t="s">
        <v>21</v>
      </c>
      <c r="B1246" s="4" t="s">
        <v>423</v>
      </c>
      <c r="C1246" s="5">
        <v>36173</v>
      </c>
      <c r="D1246" s="4" t="s">
        <v>23</v>
      </c>
      <c r="E1246" s="4" t="s">
        <v>25</v>
      </c>
      <c r="F1246" s="4" t="s">
        <v>147</v>
      </c>
      <c r="G1246" s="4" t="s">
        <v>26</v>
      </c>
      <c r="H1246" s="4" t="s">
        <v>18</v>
      </c>
      <c r="I1246" s="4" t="s">
        <v>715</v>
      </c>
      <c r="J1246" s="4" t="s">
        <v>715</v>
      </c>
      <c r="K1246" s="5">
        <v>6277292</v>
      </c>
      <c r="L1246" s="5">
        <v>289768</v>
      </c>
      <c r="M1246" s="5">
        <v>19</v>
      </c>
      <c r="N1246" s="5">
        <v>1</v>
      </c>
      <c r="O1246" s="5">
        <v>1</v>
      </c>
      <c r="P1246" s="5"/>
    </row>
    <row r="1247" spans="1:16" x14ac:dyDescent="0.25">
      <c r="A1247" s="4" t="s">
        <v>21</v>
      </c>
      <c r="B1247" s="4" t="s">
        <v>423</v>
      </c>
      <c r="C1247" s="5">
        <v>36175</v>
      </c>
      <c r="D1247" s="4" t="s">
        <v>23</v>
      </c>
      <c r="E1247" s="4" t="s">
        <v>25</v>
      </c>
      <c r="F1247" s="4" t="s">
        <v>147</v>
      </c>
      <c r="G1247" s="4" t="s">
        <v>26</v>
      </c>
      <c r="H1247" s="4" t="s">
        <v>18</v>
      </c>
      <c r="I1247" s="4" t="s">
        <v>715</v>
      </c>
      <c r="J1247" s="4" t="s">
        <v>715</v>
      </c>
      <c r="K1247" s="5">
        <v>6277217</v>
      </c>
      <c r="L1247" s="5">
        <v>291158</v>
      </c>
      <c r="M1247" s="5">
        <v>19</v>
      </c>
      <c r="N1247" s="5">
        <v>1</v>
      </c>
      <c r="O1247" s="5">
        <v>0.99</v>
      </c>
      <c r="P1247" s="5"/>
    </row>
    <row r="1248" spans="1:16" x14ac:dyDescent="0.25">
      <c r="A1248" s="4" t="s">
        <v>21</v>
      </c>
      <c r="B1248" s="4" t="s">
        <v>423</v>
      </c>
      <c r="C1248" s="5">
        <v>36183</v>
      </c>
      <c r="D1248" s="4" t="s">
        <v>23</v>
      </c>
      <c r="E1248" s="4" t="s">
        <v>357</v>
      </c>
      <c r="F1248" s="4" t="s">
        <v>461</v>
      </c>
      <c r="G1248" s="4" t="s">
        <v>26</v>
      </c>
      <c r="H1248" s="4" t="s">
        <v>18</v>
      </c>
      <c r="I1248" s="4" t="s">
        <v>715</v>
      </c>
      <c r="J1248" s="4" t="s">
        <v>715</v>
      </c>
      <c r="K1248" s="5">
        <v>6273930</v>
      </c>
      <c r="L1248" s="5">
        <v>338511</v>
      </c>
      <c r="M1248" s="5">
        <v>19</v>
      </c>
      <c r="N1248" s="5">
        <v>1</v>
      </c>
      <c r="O1248" s="5">
        <v>0.12</v>
      </c>
      <c r="P1248" s="5"/>
    </row>
    <row r="1249" spans="1:16" x14ac:dyDescent="0.25">
      <c r="A1249" s="4" t="s">
        <v>21</v>
      </c>
      <c r="B1249" s="4" t="s">
        <v>423</v>
      </c>
      <c r="C1249" s="5">
        <v>36184</v>
      </c>
      <c r="D1249" s="4" t="s">
        <v>23</v>
      </c>
      <c r="E1249" s="4" t="s">
        <v>445</v>
      </c>
      <c r="F1249" s="4" t="s">
        <v>462</v>
      </c>
      <c r="G1249" s="4" t="s">
        <v>26</v>
      </c>
      <c r="H1249" s="4" t="s">
        <v>18</v>
      </c>
      <c r="I1249" s="4" t="s">
        <v>715</v>
      </c>
      <c r="J1249" s="4" t="s">
        <v>715</v>
      </c>
      <c r="K1249" s="5">
        <v>6306411</v>
      </c>
      <c r="L1249" s="5">
        <v>330092</v>
      </c>
      <c r="M1249" s="5">
        <v>19</v>
      </c>
      <c r="N1249" s="5">
        <v>1</v>
      </c>
      <c r="O1249" s="5">
        <v>0.06</v>
      </c>
      <c r="P1249" s="5"/>
    </row>
    <row r="1250" spans="1:16" x14ac:dyDescent="0.25">
      <c r="A1250" s="4" t="s">
        <v>21</v>
      </c>
      <c r="B1250" s="4" t="s">
        <v>423</v>
      </c>
      <c r="C1250" s="5">
        <v>36185</v>
      </c>
      <c r="D1250" s="4" t="s">
        <v>23</v>
      </c>
      <c r="E1250" s="4" t="s">
        <v>445</v>
      </c>
      <c r="F1250" s="4" t="s">
        <v>463</v>
      </c>
      <c r="G1250" s="4" t="s">
        <v>26</v>
      </c>
      <c r="H1250" s="4" t="s">
        <v>18</v>
      </c>
      <c r="I1250" s="4" t="s">
        <v>715</v>
      </c>
      <c r="J1250" s="4" t="s">
        <v>715</v>
      </c>
      <c r="K1250" s="5">
        <v>6306530</v>
      </c>
      <c r="L1250" s="5">
        <v>329448</v>
      </c>
      <c r="M1250" s="5">
        <v>19</v>
      </c>
      <c r="N1250" s="5">
        <v>1</v>
      </c>
      <c r="O1250" s="5">
        <v>0.06</v>
      </c>
      <c r="P1250" s="5"/>
    </row>
    <row r="1251" spans="1:16" x14ac:dyDescent="0.25">
      <c r="A1251" s="4" t="s">
        <v>21</v>
      </c>
      <c r="B1251" s="4" t="s">
        <v>423</v>
      </c>
      <c r="C1251" s="5">
        <v>36186</v>
      </c>
      <c r="D1251" s="4" t="s">
        <v>23</v>
      </c>
      <c r="E1251" s="4" t="s">
        <v>28</v>
      </c>
      <c r="F1251" s="4" t="s">
        <v>460</v>
      </c>
      <c r="G1251" s="4" t="s">
        <v>26</v>
      </c>
      <c r="H1251" s="4" t="s">
        <v>18</v>
      </c>
      <c r="I1251" s="4" t="s">
        <v>715</v>
      </c>
      <c r="J1251" s="4" t="s">
        <v>715</v>
      </c>
      <c r="K1251" s="5">
        <v>6255926</v>
      </c>
      <c r="L1251" s="5">
        <v>333175</v>
      </c>
      <c r="M1251" s="5">
        <v>19</v>
      </c>
      <c r="N1251" s="5">
        <v>1</v>
      </c>
      <c r="O1251" s="5">
        <v>0.32</v>
      </c>
      <c r="P1251" s="5"/>
    </row>
    <row r="1252" spans="1:16" x14ac:dyDescent="0.25">
      <c r="A1252" s="4" t="s">
        <v>21</v>
      </c>
      <c r="B1252" s="4" t="s">
        <v>423</v>
      </c>
      <c r="C1252" s="5">
        <v>36187</v>
      </c>
      <c r="D1252" s="4" t="s">
        <v>23</v>
      </c>
      <c r="E1252" s="4" t="s">
        <v>445</v>
      </c>
      <c r="F1252" s="4" t="s">
        <v>462</v>
      </c>
      <c r="G1252" s="4" t="s">
        <v>26</v>
      </c>
      <c r="H1252" s="4" t="s">
        <v>18</v>
      </c>
      <c r="I1252" s="4" t="s">
        <v>715</v>
      </c>
      <c r="J1252" s="4" t="s">
        <v>715</v>
      </c>
      <c r="K1252" s="5">
        <v>6306621</v>
      </c>
      <c r="L1252" s="5">
        <v>330217</v>
      </c>
      <c r="M1252" s="5">
        <v>19</v>
      </c>
      <c r="N1252" s="5">
        <v>1</v>
      </c>
      <c r="O1252" s="5">
        <v>0.06</v>
      </c>
      <c r="P1252" s="5"/>
    </row>
    <row r="1253" spans="1:16" x14ac:dyDescent="0.25">
      <c r="A1253" s="4" t="s">
        <v>13</v>
      </c>
      <c r="B1253" s="4" t="s">
        <v>423</v>
      </c>
      <c r="C1253" s="5">
        <v>36188</v>
      </c>
      <c r="D1253" s="4" t="s">
        <v>23</v>
      </c>
      <c r="E1253" s="4" t="s">
        <v>28</v>
      </c>
      <c r="F1253" s="4" t="s">
        <v>441</v>
      </c>
      <c r="G1253" s="4" t="s">
        <v>26</v>
      </c>
      <c r="H1253" s="4" t="s">
        <v>27</v>
      </c>
      <c r="I1253" s="4" t="s">
        <v>715</v>
      </c>
      <c r="J1253" s="4" t="s">
        <v>715</v>
      </c>
      <c r="K1253" s="5">
        <v>6261380</v>
      </c>
      <c r="L1253" s="5">
        <v>330314</v>
      </c>
      <c r="M1253" s="5">
        <v>19</v>
      </c>
      <c r="N1253" s="5">
        <v>1</v>
      </c>
      <c r="O1253" s="5">
        <v>0.31</v>
      </c>
      <c r="P1253" s="5"/>
    </row>
    <row r="1254" spans="1:16" x14ac:dyDescent="0.25">
      <c r="A1254" s="4" t="s">
        <v>21</v>
      </c>
      <c r="B1254" s="4" t="s">
        <v>423</v>
      </c>
      <c r="C1254" s="5">
        <v>36202</v>
      </c>
      <c r="D1254" s="4" t="s">
        <v>37</v>
      </c>
      <c r="E1254" s="4" t="s">
        <v>169</v>
      </c>
      <c r="F1254" s="4" t="s">
        <v>169</v>
      </c>
      <c r="G1254" s="4" t="s">
        <v>26</v>
      </c>
      <c r="H1254" s="4" t="s">
        <v>27</v>
      </c>
      <c r="I1254" s="4" t="s">
        <v>715</v>
      </c>
      <c r="J1254" s="4" t="s">
        <v>638</v>
      </c>
      <c r="K1254" s="5">
        <v>6218683</v>
      </c>
      <c r="L1254" s="5">
        <v>337289</v>
      </c>
      <c r="M1254" s="5">
        <v>19</v>
      </c>
      <c r="N1254" s="5">
        <v>1</v>
      </c>
      <c r="O1254" s="5">
        <v>37.380000000000003</v>
      </c>
      <c r="P1254" s="5"/>
    </row>
    <row r="1255" spans="1:16" x14ac:dyDescent="0.25">
      <c r="A1255" s="4" t="s">
        <v>13</v>
      </c>
      <c r="B1255" s="4" t="s">
        <v>423</v>
      </c>
      <c r="C1255" s="5">
        <v>36207</v>
      </c>
      <c r="D1255" s="4" t="s">
        <v>37</v>
      </c>
      <c r="E1255" s="4" t="s">
        <v>73</v>
      </c>
      <c r="F1255" s="4" t="s">
        <v>464</v>
      </c>
      <c r="G1255" s="4" t="s">
        <v>26</v>
      </c>
      <c r="H1255" s="4" t="s">
        <v>27</v>
      </c>
      <c r="I1255" s="4" t="s">
        <v>715</v>
      </c>
      <c r="J1255" s="4" t="s">
        <v>715</v>
      </c>
      <c r="K1255" s="5">
        <v>6142775</v>
      </c>
      <c r="L1255" s="5">
        <v>319233</v>
      </c>
      <c r="M1255" s="5">
        <v>19</v>
      </c>
      <c r="N1255" s="5">
        <v>1</v>
      </c>
      <c r="O1255" s="5">
        <v>14</v>
      </c>
      <c r="P1255" s="5"/>
    </row>
    <row r="1256" spans="1:16" x14ac:dyDescent="0.25">
      <c r="A1256" s="4" t="s">
        <v>21</v>
      </c>
      <c r="B1256" s="4" t="s">
        <v>423</v>
      </c>
      <c r="C1256" s="5">
        <v>36209</v>
      </c>
      <c r="D1256" s="4" t="s">
        <v>23</v>
      </c>
      <c r="E1256" s="4" t="s">
        <v>409</v>
      </c>
      <c r="F1256" s="4" t="s">
        <v>465</v>
      </c>
      <c r="G1256" s="4" t="s">
        <v>26</v>
      </c>
      <c r="H1256" s="4" t="s">
        <v>27</v>
      </c>
      <c r="I1256" s="4" t="s">
        <v>715</v>
      </c>
      <c r="J1256" s="4" t="s">
        <v>715</v>
      </c>
      <c r="K1256" s="5">
        <v>6271914</v>
      </c>
      <c r="L1256" s="5">
        <v>318476</v>
      </c>
      <c r="M1256" s="5">
        <v>19</v>
      </c>
      <c r="N1256" s="5">
        <v>1</v>
      </c>
      <c r="O1256" s="5">
        <v>1.66</v>
      </c>
      <c r="P1256" s="5"/>
    </row>
    <row r="1257" spans="1:16" x14ac:dyDescent="0.25">
      <c r="A1257" s="4" t="s">
        <v>21</v>
      </c>
      <c r="B1257" s="4" t="s">
        <v>423</v>
      </c>
      <c r="C1257" s="5">
        <v>36210</v>
      </c>
      <c r="D1257" s="4" t="s">
        <v>23</v>
      </c>
      <c r="E1257" s="4" t="s">
        <v>31</v>
      </c>
      <c r="F1257" s="4" t="s">
        <v>466</v>
      </c>
      <c r="G1257" s="4" t="s">
        <v>26</v>
      </c>
      <c r="H1257" s="4" t="s">
        <v>18</v>
      </c>
      <c r="I1257" s="4" t="s">
        <v>715</v>
      </c>
      <c r="J1257" s="4" t="s">
        <v>715</v>
      </c>
      <c r="K1257" s="5">
        <v>6290333</v>
      </c>
      <c r="L1257" s="5">
        <v>330159</v>
      </c>
      <c r="M1257" s="5">
        <v>19</v>
      </c>
      <c r="N1257" s="5">
        <v>1</v>
      </c>
      <c r="O1257" s="5">
        <v>0.4</v>
      </c>
      <c r="P1257" s="5"/>
    </row>
    <row r="1258" spans="1:16" x14ac:dyDescent="0.25">
      <c r="A1258" s="4" t="s">
        <v>21</v>
      </c>
      <c r="B1258" s="4" t="s">
        <v>423</v>
      </c>
      <c r="C1258" s="5">
        <v>36211</v>
      </c>
      <c r="D1258" s="4" t="s">
        <v>23</v>
      </c>
      <c r="E1258" s="4" t="s">
        <v>76</v>
      </c>
      <c r="F1258" s="4" t="s">
        <v>393</v>
      </c>
      <c r="G1258" s="4" t="s">
        <v>26</v>
      </c>
      <c r="H1258" s="4" t="s">
        <v>18</v>
      </c>
      <c r="I1258" s="4" t="s">
        <v>715</v>
      </c>
      <c r="J1258" s="4" t="s">
        <v>715</v>
      </c>
      <c r="K1258" s="5">
        <v>6272614</v>
      </c>
      <c r="L1258" s="5">
        <v>327764</v>
      </c>
      <c r="M1258" s="5">
        <v>19</v>
      </c>
      <c r="N1258" s="5">
        <v>1</v>
      </c>
      <c r="O1258" s="5">
        <v>0.9</v>
      </c>
      <c r="P1258" s="5"/>
    </row>
    <row r="1259" spans="1:16" x14ac:dyDescent="0.25">
      <c r="A1259" s="4" t="s">
        <v>13</v>
      </c>
      <c r="B1259" s="4" t="s">
        <v>423</v>
      </c>
      <c r="C1259" s="5">
        <v>36212</v>
      </c>
      <c r="D1259" s="4" t="s">
        <v>23</v>
      </c>
      <c r="E1259" s="4" t="s">
        <v>28</v>
      </c>
      <c r="F1259" s="4" t="s">
        <v>441</v>
      </c>
      <c r="G1259" s="4" t="s">
        <v>26</v>
      </c>
      <c r="H1259" s="4" t="s">
        <v>27</v>
      </c>
      <c r="I1259" s="4" t="s">
        <v>715</v>
      </c>
      <c r="J1259" s="4" t="s">
        <v>715</v>
      </c>
      <c r="K1259" s="5">
        <v>6261156</v>
      </c>
      <c r="L1259" s="5">
        <v>329937</v>
      </c>
      <c r="M1259" s="5">
        <v>19</v>
      </c>
      <c r="N1259" s="5">
        <v>1</v>
      </c>
      <c r="O1259" s="5">
        <v>0.39</v>
      </c>
      <c r="P1259" s="5"/>
    </row>
    <row r="1260" spans="1:16" x14ac:dyDescent="0.25">
      <c r="A1260" s="4" t="s">
        <v>21</v>
      </c>
      <c r="B1260" s="4" t="s">
        <v>423</v>
      </c>
      <c r="C1260" s="5">
        <v>36214</v>
      </c>
      <c r="D1260" s="4" t="s">
        <v>33</v>
      </c>
      <c r="E1260" s="4" t="s">
        <v>144</v>
      </c>
      <c r="F1260" s="4" t="s">
        <v>467</v>
      </c>
      <c r="G1260" s="4" t="s">
        <v>26</v>
      </c>
      <c r="H1260" s="4" t="s">
        <v>27</v>
      </c>
      <c r="I1260" s="4" t="s">
        <v>715</v>
      </c>
      <c r="J1260" s="4" t="s">
        <v>715</v>
      </c>
      <c r="K1260" s="5">
        <v>6059602</v>
      </c>
      <c r="L1260" s="5">
        <v>240644</v>
      </c>
      <c r="M1260" s="5">
        <v>19</v>
      </c>
      <c r="N1260" s="5">
        <v>1</v>
      </c>
      <c r="O1260" s="5">
        <v>42</v>
      </c>
      <c r="P1260" s="5"/>
    </row>
    <row r="1261" spans="1:16" x14ac:dyDescent="0.25">
      <c r="A1261" s="4" t="s">
        <v>21</v>
      </c>
      <c r="B1261" s="4" t="s">
        <v>423</v>
      </c>
      <c r="C1261" s="5">
        <v>36217</v>
      </c>
      <c r="D1261" s="4" t="s">
        <v>37</v>
      </c>
      <c r="E1261" s="4" t="s">
        <v>73</v>
      </c>
      <c r="F1261" s="4" t="s">
        <v>248</v>
      </c>
      <c r="G1261" s="4" t="s">
        <v>26</v>
      </c>
      <c r="H1261" s="4" t="s">
        <v>27</v>
      </c>
      <c r="I1261" s="4" t="s">
        <v>715</v>
      </c>
      <c r="J1261" s="4" t="s">
        <v>638</v>
      </c>
      <c r="K1261" s="5">
        <v>6158864</v>
      </c>
      <c r="L1261" s="5">
        <v>319395</v>
      </c>
      <c r="M1261" s="5">
        <v>19</v>
      </c>
      <c r="N1261" s="5">
        <v>1</v>
      </c>
      <c r="O1261" s="5">
        <v>14</v>
      </c>
      <c r="P1261" s="5"/>
    </row>
    <row r="1262" spans="1:16" x14ac:dyDescent="0.25">
      <c r="A1262" s="4" t="s">
        <v>21</v>
      </c>
      <c r="B1262" s="4" t="s">
        <v>423</v>
      </c>
      <c r="C1262" s="5">
        <v>36237</v>
      </c>
      <c r="D1262" s="4" t="s">
        <v>33</v>
      </c>
      <c r="E1262" s="4" t="s">
        <v>43</v>
      </c>
      <c r="F1262" s="4" t="s">
        <v>43</v>
      </c>
      <c r="G1262" s="4" t="s">
        <v>26</v>
      </c>
      <c r="H1262" s="4" t="s">
        <v>27</v>
      </c>
      <c r="I1262" s="4" t="s">
        <v>715</v>
      </c>
      <c r="J1262" s="4" t="s">
        <v>715</v>
      </c>
      <c r="K1262" s="5">
        <v>6065368</v>
      </c>
      <c r="L1262" s="5">
        <v>271815</v>
      </c>
      <c r="M1262" s="5">
        <v>19</v>
      </c>
      <c r="N1262" s="5">
        <v>5</v>
      </c>
      <c r="O1262" s="5">
        <v>31.65</v>
      </c>
      <c r="P1262" s="5"/>
    </row>
    <row r="1263" spans="1:16" x14ac:dyDescent="0.25">
      <c r="A1263" s="4" t="s">
        <v>21</v>
      </c>
      <c r="B1263" s="4" t="s">
        <v>423</v>
      </c>
      <c r="C1263" s="5">
        <v>36243</v>
      </c>
      <c r="D1263" s="4" t="s">
        <v>37</v>
      </c>
      <c r="E1263" s="4" t="s">
        <v>73</v>
      </c>
      <c r="F1263" s="4" t="s">
        <v>73</v>
      </c>
      <c r="G1263" s="4" t="s">
        <v>26</v>
      </c>
      <c r="H1263" s="4" t="s">
        <v>27</v>
      </c>
      <c r="I1263" s="4" t="s">
        <v>715</v>
      </c>
      <c r="J1263" s="4" t="s">
        <v>638</v>
      </c>
      <c r="K1263" s="5">
        <v>6155742</v>
      </c>
      <c r="L1263" s="5">
        <v>320827</v>
      </c>
      <c r="M1263" s="5">
        <v>19</v>
      </c>
      <c r="N1263" s="5">
        <v>3</v>
      </c>
      <c r="O1263" s="5">
        <v>76</v>
      </c>
      <c r="P1263" s="5"/>
    </row>
    <row r="1264" spans="1:16" x14ac:dyDescent="0.25">
      <c r="A1264" s="4" t="s">
        <v>13</v>
      </c>
      <c r="B1264" s="4" t="s">
        <v>423</v>
      </c>
      <c r="C1264" s="5">
        <v>36245</v>
      </c>
      <c r="D1264" s="4" t="s">
        <v>37</v>
      </c>
      <c r="E1264" s="4" t="s">
        <v>169</v>
      </c>
      <c r="F1264" s="4" t="s">
        <v>426</v>
      </c>
      <c r="G1264" s="4" t="s">
        <v>26</v>
      </c>
      <c r="H1264" s="4" t="s">
        <v>27</v>
      </c>
      <c r="I1264" s="4" t="s">
        <v>715</v>
      </c>
      <c r="J1264" s="4" t="s">
        <v>715</v>
      </c>
      <c r="K1264" s="5">
        <v>6220654</v>
      </c>
      <c r="L1264" s="5">
        <v>335973</v>
      </c>
      <c r="M1264" s="5">
        <v>19</v>
      </c>
      <c r="N1264" s="5">
        <v>3</v>
      </c>
      <c r="O1264" s="5">
        <v>45.41</v>
      </c>
      <c r="P1264" s="5"/>
    </row>
    <row r="1265" spans="1:16" x14ac:dyDescent="0.25">
      <c r="A1265" s="4" t="s">
        <v>21</v>
      </c>
      <c r="B1265" s="4" t="s">
        <v>423</v>
      </c>
      <c r="C1265" s="5">
        <v>36247</v>
      </c>
      <c r="D1265" s="4" t="s">
        <v>23</v>
      </c>
      <c r="E1265" s="4" t="s">
        <v>76</v>
      </c>
      <c r="F1265" s="4" t="s">
        <v>409</v>
      </c>
      <c r="G1265" s="4" t="s">
        <v>26</v>
      </c>
      <c r="H1265" s="4" t="s">
        <v>27</v>
      </c>
      <c r="I1265" s="4" t="s">
        <v>715</v>
      </c>
      <c r="J1265" s="4" t="s">
        <v>638</v>
      </c>
      <c r="K1265" s="5">
        <v>6271850</v>
      </c>
      <c r="L1265" s="5">
        <v>308623</v>
      </c>
      <c r="M1265" s="5">
        <v>19</v>
      </c>
      <c r="N1265" s="5">
        <v>1</v>
      </c>
      <c r="O1265" s="5">
        <v>10</v>
      </c>
      <c r="P1265" s="5"/>
    </row>
    <row r="1266" spans="1:16" x14ac:dyDescent="0.25">
      <c r="A1266" s="4" t="s">
        <v>13</v>
      </c>
      <c r="B1266" s="4" t="s">
        <v>423</v>
      </c>
      <c r="C1266" s="5">
        <v>36251</v>
      </c>
      <c r="D1266" s="4" t="s">
        <v>37</v>
      </c>
      <c r="E1266" s="4" t="s">
        <v>295</v>
      </c>
      <c r="F1266" s="4" t="s">
        <v>295</v>
      </c>
      <c r="G1266" s="4" t="s">
        <v>26</v>
      </c>
      <c r="H1266" s="4" t="s">
        <v>27</v>
      </c>
      <c r="I1266" s="4" t="s">
        <v>715</v>
      </c>
      <c r="J1266" s="4" t="s">
        <v>715</v>
      </c>
      <c r="K1266" s="5">
        <v>6227934</v>
      </c>
      <c r="L1266" s="5">
        <v>340657</v>
      </c>
      <c r="M1266" s="5">
        <v>19</v>
      </c>
      <c r="N1266" s="5">
        <v>2</v>
      </c>
      <c r="O1266" s="5">
        <v>16.03</v>
      </c>
      <c r="P1266" s="5"/>
    </row>
    <row r="1267" spans="1:16" x14ac:dyDescent="0.25">
      <c r="A1267" s="4" t="s">
        <v>54</v>
      </c>
      <c r="B1267" s="4" t="s">
        <v>423</v>
      </c>
      <c r="C1267" s="5">
        <v>36254</v>
      </c>
      <c r="D1267" s="4" t="s">
        <v>15</v>
      </c>
      <c r="E1267" s="4" t="s">
        <v>468</v>
      </c>
      <c r="F1267" s="4" t="s">
        <v>469</v>
      </c>
      <c r="G1267" s="4" t="s">
        <v>26</v>
      </c>
      <c r="H1267" s="4" t="s">
        <v>641</v>
      </c>
      <c r="I1267" s="4" t="s">
        <v>715</v>
      </c>
      <c r="J1267" s="4" t="s">
        <v>715</v>
      </c>
      <c r="K1267" s="5">
        <v>6366667</v>
      </c>
      <c r="L1267" s="5">
        <v>354036</v>
      </c>
      <c r="M1267" s="5">
        <v>19</v>
      </c>
      <c r="N1267" s="5">
        <v>1</v>
      </c>
      <c r="O1267" s="5">
        <v>0.36</v>
      </c>
      <c r="P1267" s="5"/>
    </row>
    <row r="1268" spans="1:16" x14ac:dyDescent="0.25">
      <c r="A1268" s="4" t="s">
        <v>13</v>
      </c>
      <c r="B1268" s="4" t="s">
        <v>423</v>
      </c>
      <c r="C1268" s="5">
        <v>36255</v>
      </c>
      <c r="D1268" s="4" t="s">
        <v>23</v>
      </c>
      <c r="E1268" s="4" t="s">
        <v>28</v>
      </c>
      <c r="F1268" s="4" t="s">
        <v>380</v>
      </c>
      <c r="G1268" s="4" t="s">
        <v>26</v>
      </c>
      <c r="H1268" s="4" t="s">
        <v>27</v>
      </c>
      <c r="I1268" s="4" t="s">
        <v>715</v>
      </c>
      <c r="J1268" s="4" t="s">
        <v>715</v>
      </c>
      <c r="K1268" s="5">
        <v>6256415</v>
      </c>
      <c r="L1268" s="5">
        <v>333154</v>
      </c>
      <c r="M1268" s="5">
        <v>19</v>
      </c>
      <c r="N1268" s="5">
        <v>1</v>
      </c>
      <c r="O1268" s="5">
        <v>0.41</v>
      </c>
      <c r="P1268" s="5"/>
    </row>
    <row r="1269" spans="1:16" x14ac:dyDescent="0.25">
      <c r="A1269" s="4" t="s">
        <v>54</v>
      </c>
      <c r="B1269" s="4" t="s">
        <v>423</v>
      </c>
      <c r="C1269" s="5">
        <v>36257</v>
      </c>
      <c r="D1269" s="4" t="s">
        <v>15</v>
      </c>
      <c r="E1269" s="4" t="s">
        <v>468</v>
      </c>
      <c r="F1269" s="4" t="s">
        <v>469</v>
      </c>
      <c r="G1269" s="4" t="s">
        <v>26</v>
      </c>
      <c r="H1269" s="4" t="s">
        <v>641</v>
      </c>
      <c r="I1269" s="4" t="s">
        <v>715</v>
      </c>
      <c r="J1269" s="4" t="s">
        <v>715</v>
      </c>
      <c r="K1269" s="5">
        <v>6366521</v>
      </c>
      <c r="L1269" s="5">
        <v>353691</v>
      </c>
      <c r="M1269" s="5">
        <v>19</v>
      </c>
      <c r="N1269" s="5">
        <v>1</v>
      </c>
      <c r="O1269" s="5">
        <v>0.41</v>
      </c>
      <c r="P1269" s="5"/>
    </row>
    <row r="1270" spans="1:16" x14ac:dyDescent="0.25">
      <c r="A1270" s="4" t="s">
        <v>54</v>
      </c>
      <c r="B1270" s="4" t="s">
        <v>423</v>
      </c>
      <c r="C1270" s="5">
        <v>36258</v>
      </c>
      <c r="D1270" s="4" t="s">
        <v>15</v>
      </c>
      <c r="E1270" s="4" t="s">
        <v>468</v>
      </c>
      <c r="F1270" s="4" t="s">
        <v>469</v>
      </c>
      <c r="G1270" s="4" t="s">
        <v>26</v>
      </c>
      <c r="H1270" s="4" t="s">
        <v>641</v>
      </c>
      <c r="I1270" s="4" t="s">
        <v>715</v>
      </c>
      <c r="J1270" s="4" t="s">
        <v>715</v>
      </c>
      <c r="K1270" s="5">
        <v>6366464</v>
      </c>
      <c r="L1270" s="5">
        <v>353965</v>
      </c>
      <c r="M1270" s="5">
        <v>19</v>
      </c>
      <c r="N1270" s="5">
        <v>1</v>
      </c>
      <c r="O1270" s="5">
        <v>0.46</v>
      </c>
      <c r="P1270" s="5"/>
    </row>
    <row r="1271" spans="1:16" x14ac:dyDescent="0.25">
      <c r="A1271" s="4" t="s">
        <v>21</v>
      </c>
      <c r="B1271" s="4" t="s">
        <v>423</v>
      </c>
      <c r="C1271" s="5">
        <v>36259</v>
      </c>
      <c r="D1271" s="4" t="s">
        <v>23</v>
      </c>
      <c r="E1271" s="4" t="s">
        <v>379</v>
      </c>
      <c r="F1271" s="4" t="s">
        <v>379</v>
      </c>
      <c r="G1271" s="4" t="s">
        <v>26</v>
      </c>
      <c r="H1271" s="4" t="s">
        <v>18</v>
      </c>
      <c r="I1271" s="4" t="s">
        <v>715</v>
      </c>
      <c r="J1271" s="4" t="s">
        <v>715</v>
      </c>
      <c r="K1271" s="5">
        <v>6286861</v>
      </c>
      <c r="L1271" s="5">
        <v>324392</v>
      </c>
      <c r="M1271" s="5">
        <v>19</v>
      </c>
      <c r="N1271" s="5">
        <v>1</v>
      </c>
      <c r="O1271" s="5">
        <v>0.09</v>
      </c>
      <c r="P1271" s="5"/>
    </row>
    <row r="1272" spans="1:16" x14ac:dyDescent="0.25">
      <c r="A1272" s="4" t="s">
        <v>21</v>
      </c>
      <c r="B1272" s="4" t="s">
        <v>423</v>
      </c>
      <c r="C1272" s="5">
        <v>36260</v>
      </c>
      <c r="D1272" s="4" t="s">
        <v>23</v>
      </c>
      <c r="E1272" s="4" t="s">
        <v>379</v>
      </c>
      <c r="F1272" s="4" t="s">
        <v>379</v>
      </c>
      <c r="G1272" s="4" t="s">
        <v>26</v>
      </c>
      <c r="H1272" s="4" t="s">
        <v>18</v>
      </c>
      <c r="I1272" s="4" t="s">
        <v>715</v>
      </c>
      <c r="J1272" s="4" t="s">
        <v>715</v>
      </c>
      <c r="K1272" s="5">
        <v>6286895</v>
      </c>
      <c r="L1272" s="5">
        <v>324140</v>
      </c>
      <c r="M1272" s="5">
        <v>19</v>
      </c>
      <c r="N1272" s="5">
        <v>1</v>
      </c>
      <c r="O1272" s="5">
        <v>0.12</v>
      </c>
      <c r="P1272" s="5"/>
    </row>
    <row r="1273" spans="1:16" x14ac:dyDescent="0.25">
      <c r="A1273" s="4" t="s">
        <v>21</v>
      </c>
      <c r="B1273" s="4" t="s">
        <v>423</v>
      </c>
      <c r="C1273" s="5">
        <v>36261</v>
      </c>
      <c r="D1273" s="4" t="s">
        <v>23</v>
      </c>
      <c r="E1273" s="4" t="s">
        <v>379</v>
      </c>
      <c r="F1273" s="4" t="s">
        <v>379</v>
      </c>
      <c r="G1273" s="4" t="s">
        <v>26</v>
      </c>
      <c r="H1273" s="4" t="s">
        <v>18</v>
      </c>
      <c r="I1273" s="4" t="s">
        <v>715</v>
      </c>
      <c r="J1273" s="4" t="s">
        <v>715</v>
      </c>
      <c r="K1273" s="5">
        <v>6287158</v>
      </c>
      <c r="L1273" s="5">
        <v>324281</v>
      </c>
      <c r="M1273" s="5">
        <v>19</v>
      </c>
      <c r="N1273" s="5">
        <v>1</v>
      </c>
      <c r="O1273" s="5">
        <v>0.12</v>
      </c>
      <c r="P1273" s="5"/>
    </row>
    <row r="1274" spans="1:16" x14ac:dyDescent="0.25">
      <c r="A1274" s="4" t="s">
        <v>13</v>
      </c>
      <c r="B1274" s="4" t="s">
        <v>423</v>
      </c>
      <c r="C1274" s="5">
        <v>36282</v>
      </c>
      <c r="D1274" s="4" t="s">
        <v>37</v>
      </c>
      <c r="E1274" s="4" t="s">
        <v>73</v>
      </c>
      <c r="F1274" s="4" t="s">
        <v>330</v>
      </c>
      <c r="G1274" s="4" t="s">
        <v>26</v>
      </c>
      <c r="H1274" s="4" t="s">
        <v>27</v>
      </c>
      <c r="I1274" s="4" t="s">
        <v>715</v>
      </c>
      <c r="J1274" s="4" t="s">
        <v>638</v>
      </c>
      <c r="K1274" s="5">
        <v>6144064</v>
      </c>
      <c r="L1274" s="5">
        <v>319216</v>
      </c>
      <c r="M1274" s="5">
        <v>19</v>
      </c>
      <c r="N1274" s="5">
        <v>1</v>
      </c>
      <c r="O1274" s="5">
        <v>13.58</v>
      </c>
      <c r="P1274" s="5"/>
    </row>
    <row r="1275" spans="1:16" x14ac:dyDescent="0.25">
      <c r="A1275" s="4" t="s">
        <v>21</v>
      </c>
      <c r="B1275" s="4" t="s">
        <v>423</v>
      </c>
      <c r="C1275" s="5">
        <v>36300</v>
      </c>
      <c r="D1275" s="4" t="s">
        <v>37</v>
      </c>
      <c r="E1275" s="4" t="s">
        <v>73</v>
      </c>
      <c r="F1275" s="4" t="s">
        <v>248</v>
      </c>
      <c r="G1275" s="4" t="s">
        <v>26</v>
      </c>
      <c r="H1275" s="4" t="s">
        <v>27</v>
      </c>
      <c r="I1275" s="4" t="s">
        <v>715</v>
      </c>
      <c r="J1275" s="4" t="s">
        <v>638</v>
      </c>
      <c r="K1275" s="5">
        <v>6158786</v>
      </c>
      <c r="L1275" s="5">
        <v>320626</v>
      </c>
      <c r="M1275" s="5">
        <v>19</v>
      </c>
      <c r="N1275" s="5">
        <v>1</v>
      </c>
      <c r="O1275" s="5">
        <v>12.2</v>
      </c>
      <c r="P1275" s="5"/>
    </row>
    <row r="1276" spans="1:16" x14ac:dyDescent="0.25">
      <c r="A1276" s="4" t="s">
        <v>13</v>
      </c>
      <c r="B1276" s="4" t="s">
        <v>423</v>
      </c>
      <c r="C1276" s="5">
        <v>36301</v>
      </c>
      <c r="D1276" s="4" t="s">
        <v>37</v>
      </c>
      <c r="E1276" s="4" t="s">
        <v>349</v>
      </c>
      <c r="F1276" s="4" t="s">
        <v>350</v>
      </c>
      <c r="G1276" s="4" t="s">
        <v>26</v>
      </c>
      <c r="H1276" s="4" t="s">
        <v>27</v>
      </c>
      <c r="I1276" s="4" t="s">
        <v>715</v>
      </c>
      <c r="J1276" s="4" t="s">
        <v>715</v>
      </c>
      <c r="K1276" s="5">
        <v>6165102</v>
      </c>
      <c r="L1276" s="5">
        <v>292709</v>
      </c>
      <c r="M1276" s="5">
        <v>19</v>
      </c>
      <c r="N1276" s="5">
        <v>2</v>
      </c>
      <c r="O1276" s="5">
        <v>6</v>
      </c>
      <c r="P1276" s="5"/>
    </row>
    <row r="1277" spans="1:16" x14ac:dyDescent="0.25">
      <c r="A1277" s="4" t="s">
        <v>21</v>
      </c>
      <c r="B1277" s="4" t="s">
        <v>423</v>
      </c>
      <c r="C1277" s="5">
        <v>36302</v>
      </c>
      <c r="D1277" s="4" t="s">
        <v>33</v>
      </c>
      <c r="E1277" s="4" t="s">
        <v>35</v>
      </c>
      <c r="F1277" s="4" t="s">
        <v>35</v>
      </c>
      <c r="G1277" s="4" t="s">
        <v>26</v>
      </c>
      <c r="H1277" s="4" t="s">
        <v>27</v>
      </c>
      <c r="I1277" s="4" t="s">
        <v>715</v>
      </c>
      <c r="J1277" s="4" t="s">
        <v>715</v>
      </c>
      <c r="K1277" s="5">
        <v>6143258</v>
      </c>
      <c r="L1277" s="5">
        <v>312681</v>
      </c>
      <c r="M1277" s="5">
        <v>19</v>
      </c>
      <c r="N1277" s="5">
        <v>1</v>
      </c>
      <c r="O1277" s="5">
        <v>9</v>
      </c>
      <c r="P1277" s="5"/>
    </row>
    <row r="1278" spans="1:16" x14ac:dyDescent="0.25">
      <c r="A1278" s="4" t="s">
        <v>13</v>
      </c>
      <c r="B1278" s="4" t="s">
        <v>423</v>
      </c>
      <c r="C1278" s="5">
        <v>36304</v>
      </c>
      <c r="D1278" s="4" t="s">
        <v>37</v>
      </c>
      <c r="E1278" s="4" t="s">
        <v>73</v>
      </c>
      <c r="F1278" s="4" t="s">
        <v>50</v>
      </c>
      <c r="G1278" s="4" t="s">
        <v>26</v>
      </c>
      <c r="H1278" s="4" t="s">
        <v>27</v>
      </c>
      <c r="I1278" s="4" t="s">
        <v>715</v>
      </c>
      <c r="J1278" s="4" t="s">
        <v>715</v>
      </c>
      <c r="K1278" s="5">
        <v>6151914</v>
      </c>
      <c r="L1278" s="5">
        <v>314942</v>
      </c>
      <c r="M1278" s="5">
        <v>19</v>
      </c>
      <c r="N1278" s="5">
        <v>1</v>
      </c>
      <c r="O1278" s="5">
        <v>12</v>
      </c>
      <c r="P1278" s="5"/>
    </row>
    <row r="1279" spans="1:16" x14ac:dyDescent="0.25">
      <c r="A1279" s="4" t="s">
        <v>21</v>
      </c>
      <c r="B1279" s="4" t="s">
        <v>423</v>
      </c>
      <c r="C1279" s="5">
        <v>36311</v>
      </c>
      <c r="D1279" s="4" t="s">
        <v>37</v>
      </c>
      <c r="E1279" s="4" t="s">
        <v>73</v>
      </c>
      <c r="F1279" s="4" t="s">
        <v>287</v>
      </c>
      <c r="G1279" s="4" t="s">
        <v>26</v>
      </c>
      <c r="H1279" s="4" t="s">
        <v>27</v>
      </c>
      <c r="I1279" s="4" t="s">
        <v>715</v>
      </c>
      <c r="J1279" s="4" t="s">
        <v>638</v>
      </c>
      <c r="K1279" s="5">
        <v>6159966</v>
      </c>
      <c r="L1279" s="5">
        <v>324551</v>
      </c>
      <c r="M1279" s="5">
        <v>19</v>
      </c>
      <c r="N1279" s="5">
        <v>1</v>
      </c>
      <c r="O1279" s="5">
        <v>9.3000000000000007</v>
      </c>
      <c r="P1279" s="5"/>
    </row>
    <row r="1280" spans="1:16" x14ac:dyDescent="0.25">
      <c r="A1280" s="4" t="s">
        <v>21</v>
      </c>
      <c r="B1280" s="4" t="s">
        <v>423</v>
      </c>
      <c r="C1280" s="5">
        <v>36317</v>
      </c>
      <c r="D1280" s="4" t="s">
        <v>33</v>
      </c>
      <c r="E1280" s="4" t="s">
        <v>247</v>
      </c>
      <c r="F1280" s="4" t="s">
        <v>247</v>
      </c>
      <c r="G1280" s="4" t="s">
        <v>26</v>
      </c>
      <c r="H1280" s="4" t="s">
        <v>27</v>
      </c>
      <c r="I1280" s="4" t="s">
        <v>715</v>
      </c>
      <c r="J1280" s="4" t="s">
        <v>638</v>
      </c>
      <c r="K1280" s="5">
        <v>6120243</v>
      </c>
      <c r="L1280" s="5">
        <v>291064</v>
      </c>
      <c r="M1280" s="5">
        <v>19</v>
      </c>
      <c r="N1280" s="5">
        <v>2</v>
      </c>
      <c r="O1280" s="5">
        <v>9</v>
      </c>
      <c r="P1280" s="5"/>
    </row>
    <row r="1281" spans="1:16" x14ac:dyDescent="0.25">
      <c r="A1281" s="4" t="s">
        <v>21</v>
      </c>
      <c r="B1281" s="4" t="s">
        <v>423</v>
      </c>
      <c r="C1281" s="5">
        <v>36318</v>
      </c>
      <c r="D1281" s="4" t="s">
        <v>37</v>
      </c>
      <c r="E1281" s="4" t="s">
        <v>73</v>
      </c>
      <c r="F1281" s="4" t="s">
        <v>470</v>
      </c>
      <c r="G1281" s="4" t="s">
        <v>26</v>
      </c>
      <c r="H1281" s="4" t="s">
        <v>27</v>
      </c>
      <c r="I1281" s="4" t="s">
        <v>715</v>
      </c>
      <c r="J1281" s="4" t="s">
        <v>638</v>
      </c>
      <c r="K1281" s="5">
        <v>6153264</v>
      </c>
      <c r="L1281" s="5">
        <v>313870</v>
      </c>
      <c r="M1281" s="5">
        <v>19</v>
      </c>
      <c r="N1281" s="5">
        <v>1</v>
      </c>
      <c r="O1281" s="5">
        <v>17</v>
      </c>
      <c r="P1281" s="5"/>
    </row>
    <row r="1282" spans="1:16" x14ac:dyDescent="0.25">
      <c r="A1282" s="4" t="s">
        <v>54</v>
      </c>
      <c r="B1282" s="4" t="s">
        <v>423</v>
      </c>
      <c r="C1282" s="5">
        <v>36320</v>
      </c>
      <c r="D1282" s="4" t="s">
        <v>97</v>
      </c>
      <c r="E1282" s="4" t="s">
        <v>218</v>
      </c>
      <c r="F1282" s="4" t="s">
        <v>471</v>
      </c>
      <c r="G1282" s="4" t="s">
        <v>57</v>
      </c>
      <c r="H1282" s="4" t="s">
        <v>641</v>
      </c>
      <c r="I1282" s="4" t="s">
        <v>715</v>
      </c>
      <c r="J1282" s="4" t="s">
        <v>715</v>
      </c>
      <c r="K1282" s="5">
        <v>5700462</v>
      </c>
      <c r="L1282" s="5">
        <v>722865</v>
      </c>
      <c r="M1282" s="5">
        <v>18</v>
      </c>
      <c r="N1282" s="5">
        <v>1</v>
      </c>
      <c r="O1282" s="5">
        <v>11</v>
      </c>
      <c r="P1282" s="5"/>
    </row>
    <row r="1283" spans="1:16" x14ac:dyDescent="0.25">
      <c r="A1283" s="4" t="s">
        <v>21</v>
      </c>
      <c r="B1283" s="4" t="s">
        <v>423</v>
      </c>
      <c r="C1283" s="5">
        <v>36325</v>
      </c>
      <c r="D1283" s="4" t="s">
        <v>37</v>
      </c>
      <c r="E1283" s="4" t="s">
        <v>73</v>
      </c>
      <c r="F1283" s="4" t="s">
        <v>248</v>
      </c>
      <c r="G1283" s="4" t="s">
        <v>26</v>
      </c>
      <c r="H1283" s="4" t="s">
        <v>27</v>
      </c>
      <c r="I1283" s="4" t="s">
        <v>715</v>
      </c>
      <c r="J1283" s="4" t="s">
        <v>638</v>
      </c>
      <c r="K1283" s="5">
        <v>6159494</v>
      </c>
      <c r="L1283" s="5">
        <v>323566</v>
      </c>
      <c r="M1283" s="5">
        <v>19</v>
      </c>
      <c r="N1283" s="5">
        <v>2</v>
      </c>
      <c r="O1283" s="5">
        <v>8.5</v>
      </c>
      <c r="P1283" s="5"/>
    </row>
    <row r="1284" spans="1:16" x14ac:dyDescent="0.25">
      <c r="A1284" s="4" t="s">
        <v>21</v>
      </c>
      <c r="B1284" s="4" t="s">
        <v>423</v>
      </c>
      <c r="C1284" s="5">
        <v>36326</v>
      </c>
      <c r="D1284" s="4" t="s">
        <v>37</v>
      </c>
      <c r="E1284" s="4" t="s">
        <v>73</v>
      </c>
      <c r="F1284" s="4" t="s">
        <v>248</v>
      </c>
      <c r="G1284" s="4" t="s">
        <v>26</v>
      </c>
      <c r="H1284" s="4" t="s">
        <v>27</v>
      </c>
      <c r="I1284" s="4" t="s">
        <v>715</v>
      </c>
      <c r="J1284" s="4" t="s">
        <v>638</v>
      </c>
      <c r="K1284" s="5">
        <v>6159117</v>
      </c>
      <c r="L1284" s="5">
        <v>320381</v>
      </c>
      <c r="M1284" s="5">
        <v>19</v>
      </c>
      <c r="N1284" s="5">
        <v>1</v>
      </c>
      <c r="O1284" s="5">
        <v>17.100000000000001</v>
      </c>
      <c r="P1284" s="5"/>
    </row>
    <row r="1285" spans="1:16" x14ac:dyDescent="0.25">
      <c r="A1285" s="4" t="s">
        <v>21</v>
      </c>
      <c r="B1285" s="4" t="s">
        <v>423</v>
      </c>
      <c r="C1285" s="5">
        <v>36327</v>
      </c>
      <c r="D1285" s="4" t="s">
        <v>37</v>
      </c>
      <c r="E1285" s="4" t="s">
        <v>73</v>
      </c>
      <c r="F1285" s="4" t="s">
        <v>73</v>
      </c>
      <c r="G1285" s="4" t="s">
        <v>26</v>
      </c>
      <c r="H1285" s="4" t="s">
        <v>27</v>
      </c>
      <c r="I1285" s="4" t="s">
        <v>715</v>
      </c>
      <c r="J1285" s="4" t="s">
        <v>638</v>
      </c>
      <c r="K1285" s="5">
        <v>6155014</v>
      </c>
      <c r="L1285" s="5">
        <v>320393</v>
      </c>
      <c r="M1285" s="5">
        <v>19</v>
      </c>
      <c r="N1285" s="5">
        <v>1</v>
      </c>
      <c r="O1285" s="5">
        <v>16</v>
      </c>
      <c r="P1285" s="5"/>
    </row>
    <row r="1286" spans="1:16" x14ac:dyDescent="0.25">
      <c r="A1286" s="4" t="s">
        <v>21</v>
      </c>
      <c r="B1286" s="4" t="s">
        <v>423</v>
      </c>
      <c r="C1286" s="5">
        <v>36328</v>
      </c>
      <c r="D1286" s="4" t="s">
        <v>23</v>
      </c>
      <c r="E1286" s="4" t="s">
        <v>356</v>
      </c>
      <c r="F1286" s="4" t="s">
        <v>356</v>
      </c>
      <c r="G1286" s="4" t="s">
        <v>26</v>
      </c>
      <c r="H1286" s="4" t="s">
        <v>27</v>
      </c>
      <c r="I1286" s="4" t="s">
        <v>715</v>
      </c>
      <c r="J1286" s="4" t="s">
        <v>715</v>
      </c>
      <c r="K1286" s="5">
        <v>6259110</v>
      </c>
      <c r="L1286" s="5">
        <v>340932</v>
      </c>
      <c r="M1286" s="5">
        <v>19</v>
      </c>
      <c r="N1286" s="5">
        <v>1</v>
      </c>
      <c r="O1286" s="5">
        <v>18</v>
      </c>
      <c r="P1286" s="5"/>
    </row>
    <row r="1287" spans="1:16" x14ac:dyDescent="0.25">
      <c r="A1287" s="4" t="s">
        <v>13</v>
      </c>
      <c r="B1287" s="4" t="s">
        <v>423</v>
      </c>
      <c r="C1287" s="5">
        <v>36333</v>
      </c>
      <c r="D1287" s="4" t="s">
        <v>37</v>
      </c>
      <c r="E1287" s="4" t="s">
        <v>169</v>
      </c>
      <c r="F1287" s="4" t="s">
        <v>426</v>
      </c>
      <c r="G1287" s="4" t="s">
        <v>26</v>
      </c>
      <c r="H1287" s="4" t="s">
        <v>27</v>
      </c>
      <c r="I1287" s="4" t="s">
        <v>715</v>
      </c>
      <c r="J1287" s="4" t="s">
        <v>715</v>
      </c>
      <c r="K1287" s="5">
        <v>6220318</v>
      </c>
      <c r="L1287" s="5">
        <v>335721</v>
      </c>
      <c r="M1287" s="5">
        <v>19</v>
      </c>
      <c r="N1287" s="5">
        <v>1</v>
      </c>
      <c r="O1287" s="5">
        <v>14.1</v>
      </c>
      <c r="P1287" s="5"/>
    </row>
    <row r="1288" spans="1:16" x14ac:dyDescent="0.25">
      <c r="A1288" s="4" t="s">
        <v>21</v>
      </c>
      <c r="B1288" s="4" t="s">
        <v>423</v>
      </c>
      <c r="C1288" s="5">
        <v>36339</v>
      </c>
      <c r="D1288" s="4" t="s">
        <v>37</v>
      </c>
      <c r="E1288" s="4" t="s">
        <v>73</v>
      </c>
      <c r="F1288" s="4" t="s">
        <v>73</v>
      </c>
      <c r="G1288" s="4" t="s">
        <v>26</v>
      </c>
      <c r="H1288" s="4" t="s">
        <v>27</v>
      </c>
      <c r="I1288" s="4" t="s">
        <v>715</v>
      </c>
      <c r="J1288" s="4" t="s">
        <v>638</v>
      </c>
      <c r="K1288" s="5">
        <v>6154921</v>
      </c>
      <c r="L1288" s="5">
        <v>320605</v>
      </c>
      <c r="M1288" s="5">
        <v>19</v>
      </c>
      <c r="N1288" s="5">
        <v>1</v>
      </c>
      <c r="O1288" s="5">
        <v>16</v>
      </c>
      <c r="P1288" s="5"/>
    </row>
    <row r="1289" spans="1:16" x14ac:dyDescent="0.25">
      <c r="A1289" s="4" t="s">
        <v>21</v>
      </c>
      <c r="B1289" s="4" t="s">
        <v>423</v>
      </c>
      <c r="C1289" s="5">
        <v>36344</v>
      </c>
      <c r="D1289" s="4" t="s">
        <v>33</v>
      </c>
      <c r="E1289" s="4" t="s">
        <v>43</v>
      </c>
      <c r="F1289" s="4" t="s">
        <v>43</v>
      </c>
      <c r="G1289" s="4" t="s">
        <v>26</v>
      </c>
      <c r="H1289" s="4" t="s">
        <v>27</v>
      </c>
      <c r="I1289" s="4" t="s">
        <v>715</v>
      </c>
      <c r="J1289" s="4" t="s">
        <v>715</v>
      </c>
      <c r="K1289" s="5">
        <v>6060549</v>
      </c>
      <c r="L1289" s="5">
        <v>285594</v>
      </c>
      <c r="M1289" s="5">
        <v>19</v>
      </c>
      <c r="N1289" s="5">
        <v>1</v>
      </c>
      <c r="O1289" s="5">
        <v>10</v>
      </c>
      <c r="P1289" s="5"/>
    </row>
    <row r="1290" spans="1:16" x14ac:dyDescent="0.25">
      <c r="A1290" s="4" t="s">
        <v>54</v>
      </c>
      <c r="B1290" s="4" t="s">
        <v>423</v>
      </c>
      <c r="C1290" s="5">
        <v>36347</v>
      </c>
      <c r="D1290" s="4" t="s">
        <v>97</v>
      </c>
      <c r="E1290" s="4" t="s">
        <v>184</v>
      </c>
      <c r="F1290" s="4" t="s">
        <v>472</v>
      </c>
      <c r="G1290" s="4" t="s">
        <v>57</v>
      </c>
      <c r="H1290" s="4" t="s">
        <v>641</v>
      </c>
      <c r="I1290" s="4" t="s">
        <v>715</v>
      </c>
      <c r="J1290" s="4" t="s">
        <v>715</v>
      </c>
      <c r="K1290" s="5">
        <v>5697746</v>
      </c>
      <c r="L1290" s="5">
        <v>722729</v>
      </c>
      <c r="M1290" s="5">
        <v>18</v>
      </c>
      <c r="N1290" s="5">
        <v>1</v>
      </c>
      <c r="O1290" s="5">
        <v>1.5</v>
      </c>
      <c r="P1290" s="5"/>
    </row>
    <row r="1291" spans="1:16" x14ac:dyDescent="0.25">
      <c r="A1291" s="4" t="s">
        <v>54</v>
      </c>
      <c r="B1291" s="4" t="s">
        <v>423</v>
      </c>
      <c r="C1291" s="5">
        <v>36360</v>
      </c>
      <c r="D1291" s="4" t="s">
        <v>23</v>
      </c>
      <c r="E1291" s="4" t="s">
        <v>28</v>
      </c>
      <c r="F1291" s="4" t="s">
        <v>380</v>
      </c>
      <c r="G1291" s="4" t="s">
        <v>26</v>
      </c>
      <c r="H1291" s="4" t="s">
        <v>641</v>
      </c>
      <c r="I1291" s="4" t="s">
        <v>715</v>
      </c>
      <c r="J1291" s="4" t="s">
        <v>715</v>
      </c>
      <c r="K1291" s="5">
        <v>6259700</v>
      </c>
      <c r="L1291" s="5">
        <v>332552</v>
      </c>
      <c r="M1291" s="5">
        <v>19</v>
      </c>
      <c r="N1291" s="5">
        <v>1</v>
      </c>
      <c r="O1291" s="5">
        <v>0.67</v>
      </c>
      <c r="P1291" s="5"/>
    </row>
    <row r="1292" spans="1:16" x14ac:dyDescent="0.25">
      <c r="A1292" s="4" t="s">
        <v>13</v>
      </c>
      <c r="B1292" s="4" t="s">
        <v>423</v>
      </c>
      <c r="C1292" s="5">
        <v>36364</v>
      </c>
      <c r="D1292" s="4" t="s">
        <v>37</v>
      </c>
      <c r="E1292" s="4" t="s">
        <v>169</v>
      </c>
      <c r="F1292" s="4" t="s">
        <v>473</v>
      </c>
      <c r="G1292" s="4" t="s">
        <v>26</v>
      </c>
      <c r="H1292" s="4" t="s">
        <v>27</v>
      </c>
      <c r="I1292" s="4" t="s">
        <v>715</v>
      </c>
      <c r="J1292" s="4" t="s">
        <v>715</v>
      </c>
      <c r="K1292" s="5">
        <v>6220634</v>
      </c>
      <c r="L1292" s="5">
        <v>335451</v>
      </c>
      <c r="M1292" s="5">
        <v>19</v>
      </c>
      <c r="N1292" s="5">
        <v>1</v>
      </c>
      <c r="O1292" s="5">
        <v>21.15</v>
      </c>
      <c r="P1292" s="5"/>
    </row>
    <row r="1293" spans="1:16" x14ac:dyDescent="0.25">
      <c r="A1293" s="4" t="s">
        <v>21</v>
      </c>
      <c r="B1293" s="4" t="s">
        <v>423</v>
      </c>
      <c r="C1293" s="5">
        <v>36385</v>
      </c>
      <c r="D1293" s="4" t="s">
        <v>33</v>
      </c>
      <c r="E1293" s="4" t="s">
        <v>43</v>
      </c>
      <c r="F1293" s="4" t="s">
        <v>43</v>
      </c>
      <c r="G1293" s="4" t="s">
        <v>26</v>
      </c>
      <c r="H1293" s="4" t="s">
        <v>27</v>
      </c>
      <c r="I1293" s="4" t="s">
        <v>715</v>
      </c>
      <c r="J1293" s="4" t="s">
        <v>715</v>
      </c>
      <c r="K1293" s="5">
        <v>6060951</v>
      </c>
      <c r="L1293" s="5">
        <v>286278</v>
      </c>
      <c r="M1293" s="5">
        <v>19</v>
      </c>
      <c r="N1293" s="5">
        <v>2</v>
      </c>
      <c r="O1293" s="5">
        <v>16</v>
      </c>
      <c r="P1293" s="5"/>
    </row>
    <row r="1294" spans="1:16" x14ac:dyDescent="0.25">
      <c r="A1294" s="4" t="s">
        <v>13</v>
      </c>
      <c r="B1294" s="4" t="s">
        <v>423</v>
      </c>
      <c r="C1294" s="5">
        <v>36386</v>
      </c>
      <c r="D1294" s="4" t="s">
        <v>37</v>
      </c>
      <c r="E1294" s="4" t="s">
        <v>169</v>
      </c>
      <c r="F1294" s="4" t="s">
        <v>426</v>
      </c>
      <c r="G1294" s="4" t="s">
        <v>26</v>
      </c>
      <c r="H1294" s="4" t="s">
        <v>27</v>
      </c>
      <c r="I1294" s="4" t="s">
        <v>715</v>
      </c>
      <c r="J1294" s="4" t="s">
        <v>715</v>
      </c>
      <c r="K1294" s="5">
        <v>6221463</v>
      </c>
      <c r="L1294" s="5">
        <v>335837</v>
      </c>
      <c r="M1294" s="5">
        <v>19</v>
      </c>
      <c r="N1294" s="5">
        <v>1</v>
      </c>
      <c r="O1294" s="5">
        <v>4</v>
      </c>
      <c r="P1294" s="5"/>
    </row>
    <row r="1295" spans="1:16" x14ac:dyDescent="0.25">
      <c r="A1295" s="4" t="s">
        <v>21</v>
      </c>
      <c r="B1295" s="4" t="s">
        <v>423</v>
      </c>
      <c r="C1295" s="5">
        <v>36387</v>
      </c>
      <c r="D1295" s="4" t="s">
        <v>33</v>
      </c>
      <c r="E1295" s="4" t="s">
        <v>35</v>
      </c>
      <c r="F1295" s="4" t="s">
        <v>35</v>
      </c>
      <c r="G1295" s="4" t="s">
        <v>26</v>
      </c>
      <c r="H1295" s="4" t="s">
        <v>27</v>
      </c>
      <c r="I1295" s="4" t="s">
        <v>715</v>
      </c>
      <c r="J1295" s="4" t="s">
        <v>715</v>
      </c>
      <c r="K1295" s="5">
        <v>6143904</v>
      </c>
      <c r="L1295" s="5">
        <v>312125</v>
      </c>
      <c r="M1295" s="5">
        <v>19</v>
      </c>
      <c r="N1295" s="5">
        <v>1</v>
      </c>
      <c r="O1295" s="5">
        <v>5</v>
      </c>
      <c r="P1295" s="5"/>
    </row>
    <row r="1296" spans="1:16" x14ac:dyDescent="0.25">
      <c r="A1296" s="4" t="s">
        <v>13</v>
      </c>
      <c r="B1296" s="4" t="s">
        <v>423</v>
      </c>
      <c r="C1296" s="5">
        <v>36391</v>
      </c>
      <c r="D1296" s="4" t="s">
        <v>37</v>
      </c>
      <c r="E1296" s="4" t="s">
        <v>169</v>
      </c>
      <c r="F1296" s="4" t="s">
        <v>426</v>
      </c>
      <c r="G1296" s="4" t="s">
        <v>26</v>
      </c>
      <c r="H1296" s="4" t="s">
        <v>27</v>
      </c>
      <c r="I1296" s="4" t="s">
        <v>715</v>
      </c>
      <c r="J1296" s="4" t="s">
        <v>715</v>
      </c>
      <c r="K1296" s="5">
        <v>6221495</v>
      </c>
      <c r="L1296" s="5">
        <v>335741</v>
      </c>
      <c r="M1296" s="5">
        <v>19</v>
      </c>
      <c r="N1296" s="5">
        <v>1</v>
      </c>
      <c r="O1296" s="5">
        <v>4</v>
      </c>
      <c r="P1296" s="5"/>
    </row>
    <row r="1297" spans="1:16" x14ac:dyDescent="0.25">
      <c r="A1297" s="4" t="s">
        <v>21</v>
      </c>
      <c r="B1297" s="4" t="s">
        <v>423</v>
      </c>
      <c r="C1297" s="5">
        <v>36419</v>
      </c>
      <c r="D1297" s="4" t="s">
        <v>23</v>
      </c>
      <c r="E1297" s="4" t="s">
        <v>25</v>
      </c>
      <c r="F1297" s="4" t="s">
        <v>240</v>
      </c>
      <c r="G1297" s="4" t="s">
        <v>26</v>
      </c>
      <c r="H1297" s="4" t="s">
        <v>18</v>
      </c>
      <c r="I1297" s="4" t="s">
        <v>715</v>
      </c>
      <c r="J1297" s="4" t="s">
        <v>715</v>
      </c>
      <c r="K1297" s="5">
        <v>6271911</v>
      </c>
      <c r="L1297" s="5">
        <v>304179</v>
      </c>
      <c r="M1297" s="5">
        <v>19</v>
      </c>
      <c r="N1297" s="5">
        <v>1</v>
      </c>
      <c r="O1297" s="5">
        <v>4.95</v>
      </c>
      <c r="P1297" s="5"/>
    </row>
    <row r="1298" spans="1:16" x14ac:dyDescent="0.25">
      <c r="A1298" s="4" t="s">
        <v>13</v>
      </c>
      <c r="B1298" s="4" t="s">
        <v>423</v>
      </c>
      <c r="C1298" s="5">
        <v>36420</v>
      </c>
      <c r="D1298" s="4" t="s">
        <v>23</v>
      </c>
      <c r="E1298" s="4" t="s">
        <v>356</v>
      </c>
      <c r="F1298" s="4" t="s">
        <v>356</v>
      </c>
      <c r="G1298" s="4" t="s">
        <v>26</v>
      </c>
      <c r="H1298" s="4" t="s">
        <v>27</v>
      </c>
      <c r="I1298" s="4" t="s">
        <v>715</v>
      </c>
      <c r="J1298" s="4" t="s">
        <v>638</v>
      </c>
      <c r="K1298" s="5">
        <v>6259247</v>
      </c>
      <c r="L1298" s="5">
        <v>348502</v>
      </c>
      <c r="M1298" s="5">
        <v>19</v>
      </c>
      <c r="N1298" s="5">
        <v>1</v>
      </c>
      <c r="O1298" s="5">
        <v>0.4</v>
      </c>
      <c r="P1298" s="5"/>
    </row>
    <row r="1299" spans="1:16" x14ac:dyDescent="0.25">
      <c r="A1299" s="4" t="s">
        <v>54</v>
      </c>
      <c r="B1299" s="4" t="s">
        <v>423</v>
      </c>
      <c r="C1299" s="5">
        <v>36422</v>
      </c>
      <c r="D1299" s="4" t="s">
        <v>97</v>
      </c>
      <c r="E1299" s="4" t="s">
        <v>184</v>
      </c>
      <c r="F1299" s="4" t="s">
        <v>472</v>
      </c>
      <c r="G1299" s="4" t="s">
        <v>57</v>
      </c>
      <c r="H1299" s="4" t="s">
        <v>641</v>
      </c>
      <c r="I1299" s="4" t="s">
        <v>715</v>
      </c>
      <c r="J1299" s="4" t="s">
        <v>715</v>
      </c>
      <c r="K1299" s="5">
        <v>5696347</v>
      </c>
      <c r="L1299" s="5">
        <v>724136</v>
      </c>
      <c r="M1299" s="5">
        <v>18</v>
      </c>
      <c r="N1299" s="5">
        <v>1</v>
      </c>
      <c r="O1299" s="5">
        <v>0.3</v>
      </c>
      <c r="P1299" s="5"/>
    </row>
    <row r="1300" spans="1:16" x14ac:dyDescent="0.25">
      <c r="A1300" s="4" t="s">
        <v>54</v>
      </c>
      <c r="B1300" s="4" t="s">
        <v>423</v>
      </c>
      <c r="C1300" s="5">
        <v>36423</v>
      </c>
      <c r="D1300" s="4" t="s">
        <v>474</v>
      </c>
      <c r="E1300" s="4" t="s">
        <v>475</v>
      </c>
      <c r="F1300" s="4" t="s">
        <v>476</v>
      </c>
      <c r="G1300" s="4" t="s">
        <v>26</v>
      </c>
      <c r="H1300" s="4" t="s">
        <v>641</v>
      </c>
      <c r="I1300" s="4" t="s">
        <v>715</v>
      </c>
      <c r="J1300" s="4" t="s">
        <v>715</v>
      </c>
      <c r="K1300" s="5">
        <v>7953902</v>
      </c>
      <c r="L1300" s="5">
        <v>368465</v>
      </c>
      <c r="M1300" s="5">
        <v>19</v>
      </c>
      <c r="N1300" s="5">
        <v>1</v>
      </c>
      <c r="O1300" s="5">
        <v>0.99</v>
      </c>
      <c r="P1300" s="5"/>
    </row>
    <row r="1301" spans="1:16" x14ac:dyDescent="0.25">
      <c r="A1301" s="4" t="s">
        <v>54</v>
      </c>
      <c r="B1301" s="4" t="s">
        <v>423</v>
      </c>
      <c r="C1301" s="5">
        <v>36431</v>
      </c>
      <c r="D1301" s="4" t="s">
        <v>474</v>
      </c>
      <c r="E1301" s="4" t="s">
        <v>475</v>
      </c>
      <c r="F1301" s="4" t="s">
        <v>476</v>
      </c>
      <c r="G1301" s="4" t="s">
        <v>26</v>
      </c>
      <c r="H1301" s="4" t="s">
        <v>641</v>
      </c>
      <c r="I1301" s="4" t="s">
        <v>715</v>
      </c>
      <c r="J1301" s="4" t="s">
        <v>715</v>
      </c>
      <c r="K1301" s="5">
        <v>7953882</v>
      </c>
      <c r="L1301" s="5">
        <v>368573</v>
      </c>
      <c r="M1301" s="5">
        <v>19</v>
      </c>
      <c r="N1301" s="5">
        <v>1</v>
      </c>
      <c r="O1301" s="5">
        <v>1.18</v>
      </c>
      <c r="P1301" s="5"/>
    </row>
    <row r="1302" spans="1:16" x14ac:dyDescent="0.25">
      <c r="A1302" s="4" t="s">
        <v>54</v>
      </c>
      <c r="B1302" s="4" t="s">
        <v>423</v>
      </c>
      <c r="C1302" s="5">
        <v>36433</v>
      </c>
      <c r="D1302" s="4" t="s">
        <v>474</v>
      </c>
      <c r="E1302" s="4" t="s">
        <v>475</v>
      </c>
      <c r="F1302" s="4" t="s">
        <v>477</v>
      </c>
      <c r="G1302" s="4" t="s">
        <v>26</v>
      </c>
      <c r="H1302" s="4" t="s">
        <v>641</v>
      </c>
      <c r="I1302" s="4" t="s">
        <v>715</v>
      </c>
      <c r="J1302" s="4" t="s">
        <v>715</v>
      </c>
      <c r="K1302" s="5">
        <v>7919201</v>
      </c>
      <c r="L1302" s="5">
        <v>378865</v>
      </c>
      <c r="M1302" s="5">
        <v>19</v>
      </c>
      <c r="N1302" s="5">
        <v>1</v>
      </c>
      <c r="O1302" s="5">
        <v>0.28999999999999998</v>
      </c>
      <c r="P1302" s="5"/>
    </row>
    <row r="1303" spans="1:16" x14ac:dyDescent="0.25">
      <c r="A1303" s="4" t="s">
        <v>54</v>
      </c>
      <c r="B1303" s="4" t="s">
        <v>423</v>
      </c>
      <c r="C1303" s="5">
        <v>36435</v>
      </c>
      <c r="D1303" s="4" t="s">
        <v>474</v>
      </c>
      <c r="E1303" s="4" t="s">
        <v>475</v>
      </c>
      <c r="F1303" s="4" t="s">
        <v>477</v>
      </c>
      <c r="G1303" s="4" t="s">
        <v>26</v>
      </c>
      <c r="H1303" s="4" t="s">
        <v>641</v>
      </c>
      <c r="I1303" s="4" t="s">
        <v>715</v>
      </c>
      <c r="J1303" s="4" t="s">
        <v>715</v>
      </c>
      <c r="K1303" s="5">
        <v>7918744</v>
      </c>
      <c r="L1303" s="5">
        <v>379928</v>
      </c>
      <c r="M1303" s="5">
        <v>19</v>
      </c>
      <c r="N1303" s="5">
        <v>1</v>
      </c>
      <c r="O1303" s="5">
        <v>0.75</v>
      </c>
      <c r="P1303" s="5"/>
    </row>
    <row r="1304" spans="1:16" x14ac:dyDescent="0.25">
      <c r="A1304" s="4" t="s">
        <v>13</v>
      </c>
      <c r="B1304" s="4" t="s">
        <v>423</v>
      </c>
      <c r="C1304" s="5">
        <v>36437</v>
      </c>
      <c r="D1304" s="4" t="s">
        <v>23</v>
      </c>
      <c r="E1304" s="4" t="s">
        <v>28</v>
      </c>
      <c r="F1304" s="4" t="s">
        <v>441</v>
      </c>
      <c r="G1304" s="4" t="s">
        <v>26</v>
      </c>
      <c r="H1304" s="4" t="s">
        <v>27</v>
      </c>
      <c r="I1304" s="4" t="s">
        <v>715</v>
      </c>
      <c r="J1304" s="4" t="s">
        <v>638</v>
      </c>
      <c r="K1304" s="5">
        <v>6264326</v>
      </c>
      <c r="L1304" s="5">
        <v>333903</v>
      </c>
      <c r="M1304" s="5">
        <v>19</v>
      </c>
      <c r="N1304" s="5">
        <v>1</v>
      </c>
      <c r="O1304" s="5">
        <v>0.41</v>
      </c>
      <c r="P1304" s="5"/>
    </row>
    <row r="1305" spans="1:16" x14ac:dyDescent="0.25">
      <c r="A1305" s="4" t="s">
        <v>21</v>
      </c>
      <c r="B1305" s="4" t="s">
        <v>423</v>
      </c>
      <c r="C1305" s="5">
        <v>36439</v>
      </c>
      <c r="D1305" s="4" t="s">
        <v>23</v>
      </c>
      <c r="E1305" s="4" t="s">
        <v>381</v>
      </c>
      <c r="F1305" s="4" t="s">
        <v>382</v>
      </c>
      <c r="G1305" s="4" t="s">
        <v>26</v>
      </c>
      <c r="H1305" s="4" t="s">
        <v>128</v>
      </c>
      <c r="I1305" s="4" t="s">
        <v>715</v>
      </c>
      <c r="J1305" s="4" t="s">
        <v>638</v>
      </c>
      <c r="K1305" s="5">
        <v>6266440</v>
      </c>
      <c r="L1305" s="5">
        <v>327506</v>
      </c>
      <c r="M1305" s="5">
        <v>19</v>
      </c>
      <c r="N1305" s="5">
        <v>1</v>
      </c>
      <c r="O1305" s="5">
        <v>8.09</v>
      </c>
      <c r="P1305" s="5"/>
    </row>
    <row r="1306" spans="1:16" x14ac:dyDescent="0.25">
      <c r="A1306" s="4" t="s">
        <v>54</v>
      </c>
      <c r="B1306" s="4" t="s">
        <v>423</v>
      </c>
      <c r="C1306" s="5">
        <v>36444</v>
      </c>
      <c r="D1306" s="4" t="s">
        <v>15</v>
      </c>
      <c r="E1306" s="4" t="s">
        <v>468</v>
      </c>
      <c r="F1306" s="4" t="s">
        <v>375</v>
      </c>
      <c r="G1306" s="4" t="s">
        <v>26</v>
      </c>
      <c r="H1306" s="4" t="s">
        <v>641</v>
      </c>
      <c r="I1306" s="4" t="s">
        <v>715</v>
      </c>
      <c r="J1306" s="4" t="s">
        <v>715</v>
      </c>
      <c r="K1306" s="5">
        <v>6362915</v>
      </c>
      <c r="L1306" s="5">
        <v>351006</v>
      </c>
      <c r="M1306" s="5">
        <v>19</v>
      </c>
      <c r="N1306" s="5">
        <v>1</v>
      </c>
      <c r="O1306" s="5">
        <v>1.1299999999999999</v>
      </c>
      <c r="P1306" s="5"/>
    </row>
    <row r="1307" spans="1:16" x14ac:dyDescent="0.25">
      <c r="A1307" s="4" t="s">
        <v>54</v>
      </c>
      <c r="B1307" s="4" t="s">
        <v>423</v>
      </c>
      <c r="C1307" s="5">
        <v>36451</v>
      </c>
      <c r="D1307" s="4" t="s">
        <v>15</v>
      </c>
      <c r="E1307" s="4" t="s">
        <v>468</v>
      </c>
      <c r="F1307" s="4" t="s">
        <v>375</v>
      </c>
      <c r="G1307" s="4" t="s">
        <v>26</v>
      </c>
      <c r="H1307" s="4" t="s">
        <v>641</v>
      </c>
      <c r="I1307" s="4" t="s">
        <v>715</v>
      </c>
      <c r="J1307" s="4" t="s">
        <v>715</v>
      </c>
      <c r="K1307" s="5">
        <v>6362838</v>
      </c>
      <c r="L1307" s="5">
        <v>350897</v>
      </c>
      <c r="M1307" s="5">
        <v>19</v>
      </c>
      <c r="N1307" s="5">
        <v>1</v>
      </c>
      <c r="O1307" s="5">
        <v>1.38</v>
      </c>
      <c r="P1307" s="5"/>
    </row>
    <row r="1308" spans="1:16" x14ac:dyDescent="0.25">
      <c r="A1308" s="4" t="s">
        <v>54</v>
      </c>
      <c r="B1308" s="4" t="s">
        <v>423</v>
      </c>
      <c r="C1308" s="5">
        <v>36452</v>
      </c>
      <c r="D1308" s="4" t="s">
        <v>15</v>
      </c>
      <c r="E1308" s="4" t="s">
        <v>468</v>
      </c>
      <c r="F1308" s="4" t="s">
        <v>375</v>
      </c>
      <c r="G1308" s="4" t="s">
        <v>26</v>
      </c>
      <c r="H1308" s="4" t="s">
        <v>641</v>
      </c>
      <c r="I1308" s="4" t="s">
        <v>715</v>
      </c>
      <c r="J1308" s="4" t="s">
        <v>715</v>
      </c>
      <c r="K1308" s="5">
        <v>6363048</v>
      </c>
      <c r="L1308" s="5">
        <v>351190</v>
      </c>
      <c r="M1308" s="5">
        <v>19</v>
      </c>
      <c r="N1308" s="5">
        <v>1</v>
      </c>
      <c r="O1308" s="5">
        <v>0.73</v>
      </c>
      <c r="P1308" s="5"/>
    </row>
    <row r="1309" spans="1:16" x14ac:dyDescent="0.25">
      <c r="A1309" s="4" t="s">
        <v>54</v>
      </c>
      <c r="B1309" s="4" t="s">
        <v>423</v>
      </c>
      <c r="C1309" s="5">
        <v>36453</v>
      </c>
      <c r="D1309" s="4" t="s">
        <v>15</v>
      </c>
      <c r="E1309" s="4" t="s">
        <v>468</v>
      </c>
      <c r="F1309" s="4" t="s">
        <v>375</v>
      </c>
      <c r="G1309" s="4" t="s">
        <v>26</v>
      </c>
      <c r="H1309" s="4" t="s">
        <v>641</v>
      </c>
      <c r="I1309" s="4" t="s">
        <v>715</v>
      </c>
      <c r="J1309" s="4" t="s">
        <v>715</v>
      </c>
      <c r="K1309" s="5">
        <v>6362995</v>
      </c>
      <c r="L1309" s="5">
        <v>351110</v>
      </c>
      <c r="M1309" s="5">
        <v>19</v>
      </c>
      <c r="N1309" s="5">
        <v>1</v>
      </c>
      <c r="O1309" s="5">
        <v>0.98</v>
      </c>
      <c r="P1309" s="5"/>
    </row>
    <row r="1310" spans="1:16" x14ac:dyDescent="0.25">
      <c r="A1310" s="4" t="s">
        <v>54</v>
      </c>
      <c r="B1310" s="4" t="s">
        <v>423</v>
      </c>
      <c r="C1310" s="5">
        <v>36454</v>
      </c>
      <c r="D1310" s="4" t="s">
        <v>15</v>
      </c>
      <c r="E1310" s="4" t="s">
        <v>468</v>
      </c>
      <c r="F1310" s="4" t="s">
        <v>375</v>
      </c>
      <c r="G1310" s="4" t="s">
        <v>26</v>
      </c>
      <c r="H1310" s="4" t="s">
        <v>641</v>
      </c>
      <c r="I1310" s="4" t="s">
        <v>715</v>
      </c>
      <c r="J1310" s="4" t="s">
        <v>715</v>
      </c>
      <c r="K1310" s="5">
        <v>6362583</v>
      </c>
      <c r="L1310" s="5">
        <v>350945</v>
      </c>
      <c r="M1310" s="5">
        <v>19</v>
      </c>
      <c r="N1310" s="5">
        <v>1</v>
      </c>
      <c r="O1310" s="5">
        <v>1.1599999999999999</v>
      </c>
      <c r="P1310" s="5"/>
    </row>
    <row r="1311" spans="1:16" x14ac:dyDescent="0.25">
      <c r="A1311" s="4" t="s">
        <v>54</v>
      </c>
      <c r="B1311" s="4" t="s">
        <v>423</v>
      </c>
      <c r="C1311" s="5">
        <v>36455</v>
      </c>
      <c r="D1311" s="4" t="s">
        <v>97</v>
      </c>
      <c r="E1311" s="4" t="s">
        <v>211</v>
      </c>
      <c r="F1311" s="4" t="s">
        <v>211</v>
      </c>
      <c r="G1311" s="4" t="s">
        <v>26</v>
      </c>
      <c r="H1311" s="4" t="s">
        <v>641</v>
      </c>
      <c r="I1311" s="4" t="s">
        <v>715</v>
      </c>
      <c r="J1311" s="4" t="s">
        <v>715</v>
      </c>
      <c r="K1311" s="5">
        <v>5822889</v>
      </c>
      <c r="L1311" s="5">
        <v>715067</v>
      </c>
      <c r="M1311" s="5">
        <v>18</v>
      </c>
      <c r="N1311" s="5">
        <v>1</v>
      </c>
      <c r="O1311" s="5">
        <v>0.72</v>
      </c>
      <c r="P1311" s="5"/>
    </row>
    <row r="1312" spans="1:16" x14ac:dyDescent="0.25">
      <c r="A1312" s="4" t="s">
        <v>21</v>
      </c>
      <c r="B1312" s="4" t="s">
        <v>423</v>
      </c>
      <c r="C1312" s="5">
        <v>36458</v>
      </c>
      <c r="D1312" s="4" t="s">
        <v>23</v>
      </c>
      <c r="E1312" s="4" t="s">
        <v>76</v>
      </c>
      <c r="F1312" s="4" t="s">
        <v>393</v>
      </c>
      <c r="G1312" s="4" t="s">
        <v>26</v>
      </c>
      <c r="H1312" s="4" t="s">
        <v>18</v>
      </c>
      <c r="I1312" s="4" t="s">
        <v>715</v>
      </c>
      <c r="J1312" s="4" t="s">
        <v>715</v>
      </c>
      <c r="K1312" s="5">
        <v>6271955</v>
      </c>
      <c r="L1312" s="5">
        <v>327658</v>
      </c>
      <c r="M1312" s="5">
        <v>19</v>
      </c>
      <c r="N1312" s="5">
        <v>1</v>
      </c>
      <c r="O1312" s="5">
        <v>5.2</v>
      </c>
      <c r="P1312" s="5"/>
    </row>
    <row r="1313" spans="1:16" x14ac:dyDescent="0.25">
      <c r="A1313" s="4" t="s">
        <v>13</v>
      </c>
      <c r="B1313" s="4" t="s">
        <v>423</v>
      </c>
      <c r="C1313" s="5">
        <v>36460</v>
      </c>
      <c r="D1313" s="4" t="s">
        <v>23</v>
      </c>
      <c r="E1313" s="4" t="s">
        <v>356</v>
      </c>
      <c r="F1313" s="4" t="s">
        <v>356</v>
      </c>
      <c r="G1313" s="4" t="s">
        <v>26</v>
      </c>
      <c r="H1313" s="4" t="s">
        <v>27</v>
      </c>
      <c r="I1313" s="4" t="s">
        <v>715</v>
      </c>
      <c r="J1313" s="4" t="s">
        <v>715</v>
      </c>
      <c r="K1313" s="5">
        <v>6259826</v>
      </c>
      <c r="L1313" s="5">
        <v>341881</v>
      </c>
      <c r="M1313" s="5">
        <v>19</v>
      </c>
      <c r="N1313" s="5">
        <v>1</v>
      </c>
      <c r="O1313" s="5">
        <v>0.4</v>
      </c>
      <c r="P1313" s="5"/>
    </row>
    <row r="1314" spans="1:16" x14ac:dyDescent="0.25">
      <c r="A1314" s="4" t="s">
        <v>13</v>
      </c>
      <c r="B1314" s="4" t="s">
        <v>423</v>
      </c>
      <c r="C1314" s="5">
        <v>36461</v>
      </c>
      <c r="D1314" s="4" t="s">
        <v>23</v>
      </c>
      <c r="E1314" s="4" t="s">
        <v>356</v>
      </c>
      <c r="F1314" s="4" t="s">
        <v>356</v>
      </c>
      <c r="G1314" s="4" t="s">
        <v>26</v>
      </c>
      <c r="H1314" s="4" t="s">
        <v>27</v>
      </c>
      <c r="I1314" s="4" t="s">
        <v>715</v>
      </c>
      <c r="J1314" s="4" t="s">
        <v>715</v>
      </c>
      <c r="K1314" s="5">
        <v>6259829</v>
      </c>
      <c r="L1314" s="5">
        <v>342375</v>
      </c>
      <c r="M1314" s="5">
        <v>19</v>
      </c>
      <c r="N1314" s="5">
        <v>1</v>
      </c>
      <c r="O1314" s="5">
        <v>0.35</v>
      </c>
      <c r="P1314" s="5"/>
    </row>
    <row r="1315" spans="1:16" x14ac:dyDescent="0.25">
      <c r="A1315" s="4" t="s">
        <v>21</v>
      </c>
      <c r="B1315" s="4" t="s">
        <v>423</v>
      </c>
      <c r="C1315" s="5">
        <v>36462</v>
      </c>
      <c r="D1315" s="4" t="s">
        <v>23</v>
      </c>
      <c r="E1315" s="4" t="s">
        <v>25</v>
      </c>
      <c r="F1315" s="4" t="s">
        <v>147</v>
      </c>
      <c r="G1315" s="4" t="s">
        <v>26</v>
      </c>
      <c r="H1315" s="4" t="s">
        <v>18</v>
      </c>
      <c r="I1315" s="4" t="s">
        <v>715</v>
      </c>
      <c r="J1315" s="4" t="s">
        <v>715</v>
      </c>
      <c r="K1315" s="5">
        <v>6276647</v>
      </c>
      <c r="L1315" s="5">
        <v>292014</v>
      </c>
      <c r="M1315" s="5">
        <v>19</v>
      </c>
      <c r="N1315" s="5">
        <v>1</v>
      </c>
      <c r="O1315" s="5">
        <v>1.26</v>
      </c>
      <c r="P1315" s="5"/>
    </row>
    <row r="1316" spans="1:16" x14ac:dyDescent="0.25">
      <c r="A1316" s="4" t="s">
        <v>21</v>
      </c>
      <c r="B1316" s="4" t="s">
        <v>423</v>
      </c>
      <c r="C1316" s="5">
        <v>36463</v>
      </c>
      <c r="D1316" s="4" t="s">
        <v>23</v>
      </c>
      <c r="E1316" s="4" t="s">
        <v>367</v>
      </c>
      <c r="F1316" s="4" t="s">
        <v>367</v>
      </c>
      <c r="G1316" s="4" t="s">
        <v>26</v>
      </c>
      <c r="H1316" s="4" t="s">
        <v>27</v>
      </c>
      <c r="I1316" s="4" t="s">
        <v>715</v>
      </c>
      <c r="J1316" s="4" t="s">
        <v>715</v>
      </c>
      <c r="K1316" s="5">
        <v>6274513</v>
      </c>
      <c r="L1316" s="5">
        <v>337880</v>
      </c>
      <c r="M1316" s="5">
        <v>19</v>
      </c>
      <c r="N1316" s="5">
        <v>1</v>
      </c>
      <c r="O1316" s="5">
        <v>0.47</v>
      </c>
      <c r="P1316" s="5"/>
    </row>
    <row r="1317" spans="1:16" x14ac:dyDescent="0.25">
      <c r="A1317" s="4" t="s">
        <v>54</v>
      </c>
      <c r="B1317" s="4" t="s">
        <v>423</v>
      </c>
      <c r="C1317" s="5">
        <v>36464</v>
      </c>
      <c r="D1317" s="4" t="s">
        <v>23</v>
      </c>
      <c r="E1317" s="4" t="s">
        <v>356</v>
      </c>
      <c r="F1317" s="4" t="s">
        <v>356</v>
      </c>
      <c r="G1317" s="4" t="s">
        <v>57</v>
      </c>
      <c r="H1317" s="4" t="s">
        <v>641</v>
      </c>
      <c r="I1317" s="4" t="s">
        <v>715</v>
      </c>
      <c r="J1317" s="4" t="s">
        <v>715</v>
      </c>
      <c r="K1317" s="5">
        <v>6263834</v>
      </c>
      <c r="L1317" s="5">
        <v>344220</v>
      </c>
      <c r="M1317" s="5">
        <v>19</v>
      </c>
      <c r="N1317" s="5">
        <v>1</v>
      </c>
      <c r="O1317" s="5">
        <v>14</v>
      </c>
      <c r="P1317" s="5"/>
    </row>
    <row r="1318" spans="1:16" x14ac:dyDescent="0.25">
      <c r="A1318" s="4" t="s">
        <v>21</v>
      </c>
      <c r="B1318" s="4" t="s">
        <v>423</v>
      </c>
      <c r="C1318" s="5">
        <v>36465</v>
      </c>
      <c r="D1318" s="4" t="s">
        <v>23</v>
      </c>
      <c r="E1318" s="4" t="s">
        <v>76</v>
      </c>
      <c r="F1318" s="4" t="s">
        <v>478</v>
      </c>
      <c r="G1318" s="4" t="s">
        <v>26</v>
      </c>
      <c r="H1318" s="4" t="s">
        <v>18</v>
      </c>
      <c r="I1318" s="4" t="s">
        <v>715</v>
      </c>
      <c r="J1318" s="4" t="s">
        <v>715</v>
      </c>
      <c r="K1318" s="5">
        <v>6272268</v>
      </c>
      <c r="L1318" s="5">
        <v>327081</v>
      </c>
      <c r="M1318" s="5">
        <v>19</v>
      </c>
      <c r="N1318" s="5">
        <v>1</v>
      </c>
      <c r="O1318" s="5">
        <v>11.01</v>
      </c>
      <c r="P1318" s="5"/>
    </row>
    <row r="1319" spans="1:16" x14ac:dyDescent="0.25">
      <c r="A1319" s="4" t="s">
        <v>21</v>
      </c>
      <c r="B1319" s="4" t="s">
        <v>423</v>
      </c>
      <c r="C1319" s="5">
        <v>36466</v>
      </c>
      <c r="D1319" s="4" t="s">
        <v>23</v>
      </c>
      <c r="E1319" s="4" t="s">
        <v>401</v>
      </c>
      <c r="F1319" s="4" t="s">
        <v>479</v>
      </c>
      <c r="G1319" s="4" t="s">
        <v>26</v>
      </c>
      <c r="H1319" s="4" t="s">
        <v>18</v>
      </c>
      <c r="I1319" s="4" t="s">
        <v>715</v>
      </c>
      <c r="J1319" s="4" t="s">
        <v>715</v>
      </c>
      <c r="K1319" s="5">
        <v>6316424</v>
      </c>
      <c r="L1319" s="5">
        <v>345517</v>
      </c>
      <c r="M1319" s="5">
        <v>19</v>
      </c>
      <c r="N1319" s="5">
        <v>1</v>
      </c>
      <c r="O1319" s="5">
        <v>1.1000000000000001</v>
      </c>
      <c r="P1319" s="5"/>
    </row>
    <row r="1320" spans="1:16" x14ac:dyDescent="0.25">
      <c r="A1320" s="4" t="s">
        <v>21</v>
      </c>
      <c r="B1320" s="4" t="s">
        <v>423</v>
      </c>
      <c r="C1320" s="5">
        <v>36467</v>
      </c>
      <c r="D1320" s="4" t="s">
        <v>23</v>
      </c>
      <c r="E1320" s="4" t="s">
        <v>31</v>
      </c>
      <c r="F1320" s="4" t="s">
        <v>480</v>
      </c>
      <c r="G1320" s="4" t="s">
        <v>26</v>
      </c>
      <c r="H1320" s="4" t="s">
        <v>18</v>
      </c>
      <c r="I1320" s="4" t="s">
        <v>715</v>
      </c>
      <c r="J1320" s="4" t="s">
        <v>715</v>
      </c>
      <c r="K1320" s="5">
        <v>6289721</v>
      </c>
      <c r="L1320" s="5">
        <v>330652</v>
      </c>
      <c r="M1320" s="5">
        <v>19</v>
      </c>
      <c r="N1320" s="5">
        <v>1</v>
      </c>
      <c r="O1320" s="5">
        <v>0.13</v>
      </c>
      <c r="P1320" s="5"/>
    </row>
    <row r="1321" spans="1:16" x14ac:dyDescent="0.25">
      <c r="A1321" s="4" t="s">
        <v>21</v>
      </c>
      <c r="B1321" s="4" t="s">
        <v>423</v>
      </c>
      <c r="C1321" s="5">
        <v>36468</v>
      </c>
      <c r="D1321" s="4" t="s">
        <v>23</v>
      </c>
      <c r="E1321" s="4" t="s">
        <v>31</v>
      </c>
      <c r="F1321" s="4" t="s">
        <v>480</v>
      </c>
      <c r="G1321" s="4" t="s">
        <v>26</v>
      </c>
      <c r="H1321" s="4" t="s">
        <v>18</v>
      </c>
      <c r="I1321" s="4" t="s">
        <v>715</v>
      </c>
      <c r="J1321" s="4" t="s">
        <v>715</v>
      </c>
      <c r="K1321" s="5">
        <v>6289324</v>
      </c>
      <c r="L1321" s="5">
        <v>329591</v>
      </c>
      <c r="M1321" s="5">
        <v>19</v>
      </c>
      <c r="N1321" s="5">
        <v>1</v>
      </c>
      <c r="O1321" s="5">
        <v>0.22</v>
      </c>
      <c r="P1321" s="5"/>
    </row>
    <row r="1322" spans="1:16" x14ac:dyDescent="0.25">
      <c r="A1322" s="4" t="s">
        <v>21</v>
      </c>
      <c r="B1322" s="4" t="s">
        <v>423</v>
      </c>
      <c r="C1322" s="5">
        <v>36469</v>
      </c>
      <c r="D1322" s="4" t="s">
        <v>23</v>
      </c>
      <c r="E1322" s="4" t="s">
        <v>381</v>
      </c>
      <c r="F1322" s="4" t="s">
        <v>382</v>
      </c>
      <c r="G1322" s="4" t="s">
        <v>26</v>
      </c>
      <c r="H1322" s="4" t="s">
        <v>18</v>
      </c>
      <c r="I1322" s="4" t="s">
        <v>715</v>
      </c>
      <c r="J1322" s="4" t="s">
        <v>715</v>
      </c>
      <c r="K1322" s="5">
        <v>6265924</v>
      </c>
      <c r="L1322" s="5">
        <v>327431</v>
      </c>
      <c r="M1322" s="5">
        <v>19</v>
      </c>
      <c r="N1322" s="5">
        <v>1</v>
      </c>
      <c r="O1322" s="5">
        <v>6.1</v>
      </c>
      <c r="P1322" s="5"/>
    </row>
    <row r="1323" spans="1:16" x14ac:dyDescent="0.25">
      <c r="A1323" s="4" t="s">
        <v>21</v>
      </c>
      <c r="B1323" s="4" t="s">
        <v>423</v>
      </c>
      <c r="C1323" s="5">
        <v>36470</v>
      </c>
      <c r="D1323" s="4" t="s">
        <v>23</v>
      </c>
      <c r="E1323" s="4" t="s">
        <v>25</v>
      </c>
      <c r="F1323" s="4" t="s">
        <v>345</v>
      </c>
      <c r="G1323" s="4" t="s">
        <v>26</v>
      </c>
      <c r="H1323" s="4" t="s">
        <v>18</v>
      </c>
      <c r="I1323" s="4" t="s">
        <v>715</v>
      </c>
      <c r="J1323" s="4" t="s">
        <v>715</v>
      </c>
      <c r="K1323" s="5">
        <v>6277553</v>
      </c>
      <c r="L1323" s="5">
        <v>298584</v>
      </c>
      <c r="M1323" s="5">
        <v>19</v>
      </c>
      <c r="N1323" s="5">
        <v>1</v>
      </c>
      <c r="O1323" s="5">
        <v>3.5</v>
      </c>
      <c r="P1323" s="5"/>
    </row>
    <row r="1324" spans="1:16" x14ac:dyDescent="0.25">
      <c r="A1324" s="4" t="s">
        <v>54</v>
      </c>
      <c r="B1324" s="4" t="s">
        <v>423</v>
      </c>
      <c r="C1324" s="5">
        <v>36473</v>
      </c>
      <c r="D1324" s="4" t="s">
        <v>23</v>
      </c>
      <c r="E1324" s="4" t="s">
        <v>357</v>
      </c>
      <c r="F1324" s="4" t="s">
        <v>358</v>
      </c>
      <c r="G1324" s="4" t="s">
        <v>26</v>
      </c>
      <c r="H1324" s="4" t="s">
        <v>641</v>
      </c>
      <c r="I1324" s="4" t="s">
        <v>715</v>
      </c>
      <c r="J1324" s="4" t="s">
        <v>715</v>
      </c>
      <c r="K1324" s="5">
        <v>6275341</v>
      </c>
      <c r="L1324" s="5">
        <v>341083</v>
      </c>
      <c r="M1324" s="5">
        <v>19</v>
      </c>
      <c r="N1324" s="5">
        <v>1</v>
      </c>
      <c r="O1324" s="5">
        <v>0.2</v>
      </c>
      <c r="P1324" s="5"/>
    </row>
    <row r="1325" spans="1:16" x14ac:dyDescent="0.25">
      <c r="A1325" s="4" t="s">
        <v>54</v>
      </c>
      <c r="B1325" s="4" t="s">
        <v>423</v>
      </c>
      <c r="C1325" s="5">
        <v>36476</v>
      </c>
      <c r="D1325" s="4" t="s">
        <v>23</v>
      </c>
      <c r="E1325" s="4" t="s">
        <v>356</v>
      </c>
      <c r="F1325" s="4" t="s">
        <v>365</v>
      </c>
      <c r="G1325" s="4" t="s">
        <v>26</v>
      </c>
      <c r="H1325" s="4" t="s">
        <v>641</v>
      </c>
      <c r="I1325" s="4" t="s">
        <v>715</v>
      </c>
      <c r="J1325" s="4" t="s">
        <v>715</v>
      </c>
      <c r="K1325" s="5">
        <v>6256131</v>
      </c>
      <c r="L1325" s="5">
        <v>345316</v>
      </c>
      <c r="M1325" s="5">
        <v>19</v>
      </c>
      <c r="N1325" s="5">
        <v>1</v>
      </c>
      <c r="O1325" s="5">
        <v>0.2</v>
      </c>
      <c r="P1325" s="5"/>
    </row>
    <row r="1326" spans="1:16" x14ac:dyDescent="0.25">
      <c r="A1326" s="4" t="s">
        <v>21</v>
      </c>
      <c r="B1326" s="4" t="s">
        <v>423</v>
      </c>
      <c r="C1326" s="5">
        <v>36477</v>
      </c>
      <c r="D1326" s="4" t="s">
        <v>23</v>
      </c>
      <c r="E1326" s="4" t="s">
        <v>28</v>
      </c>
      <c r="F1326" s="4" t="s">
        <v>441</v>
      </c>
      <c r="G1326" s="4" t="s">
        <v>26</v>
      </c>
      <c r="H1326" s="4" t="s">
        <v>18</v>
      </c>
      <c r="I1326" s="4" t="s">
        <v>715</v>
      </c>
      <c r="J1326" s="4" t="s">
        <v>715</v>
      </c>
      <c r="K1326" s="5">
        <v>6264694</v>
      </c>
      <c r="L1326" s="5">
        <v>333866</v>
      </c>
      <c r="M1326" s="5">
        <v>19</v>
      </c>
      <c r="N1326" s="5">
        <v>1</v>
      </c>
      <c r="O1326" s="5">
        <v>0.36</v>
      </c>
      <c r="P1326" s="5"/>
    </row>
    <row r="1327" spans="1:16" x14ac:dyDescent="0.25">
      <c r="A1327" s="4" t="s">
        <v>21</v>
      </c>
      <c r="B1327" s="4" t="s">
        <v>423</v>
      </c>
      <c r="C1327" s="5">
        <v>36478</v>
      </c>
      <c r="D1327" s="4" t="s">
        <v>23</v>
      </c>
      <c r="E1327" s="4" t="s">
        <v>445</v>
      </c>
      <c r="F1327" s="4" t="s">
        <v>445</v>
      </c>
      <c r="G1327" s="4" t="s">
        <v>26</v>
      </c>
      <c r="H1327" s="4" t="s">
        <v>18</v>
      </c>
      <c r="I1327" s="4" t="s">
        <v>715</v>
      </c>
      <c r="J1327" s="4" t="s">
        <v>715</v>
      </c>
      <c r="K1327" s="5">
        <v>6315108</v>
      </c>
      <c r="L1327" s="5">
        <v>328417</v>
      </c>
      <c r="M1327" s="5">
        <v>19</v>
      </c>
      <c r="N1327" s="5">
        <v>1</v>
      </c>
      <c r="O1327" s="5">
        <v>0.17</v>
      </c>
      <c r="P1327" s="5"/>
    </row>
    <row r="1328" spans="1:16" x14ac:dyDescent="0.25">
      <c r="A1328" s="4" t="s">
        <v>21</v>
      </c>
      <c r="B1328" s="4" t="s">
        <v>423</v>
      </c>
      <c r="C1328" s="5">
        <v>36479</v>
      </c>
      <c r="D1328" s="4" t="s">
        <v>23</v>
      </c>
      <c r="E1328" s="4" t="s">
        <v>42</v>
      </c>
      <c r="F1328" s="4" t="s">
        <v>481</v>
      </c>
      <c r="G1328" s="4" t="s">
        <v>26</v>
      </c>
      <c r="H1328" s="4" t="s">
        <v>18</v>
      </c>
      <c r="I1328" s="4" t="s">
        <v>715</v>
      </c>
      <c r="J1328" s="4" t="s">
        <v>715</v>
      </c>
      <c r="K1328" s="5">
        <v>6303110</v>
      </c>
      <c r="L1328" s="5">
        <v>325086</v>
      </c>
      <c r="M1328" s="5">
        <v>19</v>
      </c>
      <c r="N1328" s="5">
        <v>1</v>
      </c>
      <c r="O1328" s="5">
        <v>0.14000000000000001</v>
      </c>
      <c r="P1328" s="5"/>
    </row>
    <row r="1329" spans="1:16" x14ac:dyDescent="0.25">
      <c r="A1329" s="4" t="s">
        <v>21</v>
      </c>
      <c r="B1329" s="4" t="s">
        <v>423</v>
      </c>
      <c r="C1329" s="5">
        <v>36480</v>
      </c>
      <c r="D1329" s="4" t="s">
        <v>23</v>
      </c>
      <c r="E1329" s="4" t="s">
        <v>28</v>
      </c>
      <c r="F1329" s="4" t="s">
        <v>441</v>
      </c>
      <c r="G1329" s="4" t="s">
        <v>26</v>
      </c>
      <c r="H1329" s="4" t="s">
        <v>18</v>
      </c>
      <c r="I1329" s="4" t="s">
        <v>715</v>
      </c>
      <c r="J1329" s="4" t="s">
        <v>715</v>
      </c>
      <c r="K1329" s="5">
        <v>6264527</v>
      </c>
      <c r="L1329" s="5">
        <v>334113</v>
      </c>
      <c r="M1329" s="5">
        <v>19</v>
      </c>
      <c r="N1329" s="5">
        <v>1</v>
      </c>
      <c r="O1329" s="5">
        <v>0.15</v>
      </c>
      <c r="P1329" s="5"/>
    </row>
    <row r="1330" spans="1:16" x14ac:dyDescent="0.25">
      <c r="A1330" s="4" t="s">
        <v>21</v>
      </c>
      <c r="B1330" s="4" t="s">
        <v>423</v>
      </c>
      <c r="C1330" s="5">
        <v>36481</v>
      </c>
      <c r="D1330" s="4" t="s">
        <v>23</v>
      </c>
      <c r="E1330" s="4" t="s">
        <v>42</v>
      </c>
      <c r="F1330" s="4" t="s">
        <v>481</v>
      </c>
      <c r="G1330" s="4" t="s">
        <v>26</v>
      </c>
      <c r="H1330" s="4" t="s">
        <v>18</v>
      </c>
      <c r="I1330" s="4" t="s">
        <v>715</v>
      </c>
      <c r="J1330" s="4" t="s">
        <v>715</v>
      </c>
      <c r="K1330" s="5">
        <v>6303369</v>
      </c>
      <c r="L1330" s="5">
        <v>324990</v>
      </c>
      <c r="M1330" s="5">
        <v>19</v>
      </c>
      <c r="N1330" s="5">
        <v>1</v>
      </c>
      <c r="O1330" s="5">
        <v>0.08</v>
      </c>
      <c r="P1330" s="5"/>
    </row>
    <row r="1331" spans="1:16" x14ac:dyDescent="0.25">
      <c r="A1331" s="4" t="s">
        <v>21</v>
      </c>
      <c r="B1331" s="4" t="s">
        <v>423</v>
      </c>
      <c r="C1331" s="5">
        <v>36482</v>
      </c>
      <c r="D1331" s="4" t="s">
        <v>23</v>
      </c>
      <c r="E1331" s="4" t="s">
        <v>356</v>
      </c>
      <c r="F1331" s="4" t="s">
        <v>482</v>
      </c>
      <c r="G1331" s="4" t="s">
        <v>26</v>
      </c>
      <c r="H1331" s="4" t="s">
        <v>18</v>
      </c>
      <c r="I1331" s="4" t="s">
        <v>715</v>
      </c>
      <c r="J1331" s="4" t="s">
        <v>715</v>
      </c>
      <c r="K1331" s="5">
        <v>6260831</v>
      </c>
      <c r="L1331" s="5">
        <v>347495</v>
      </c>
      <c r="M1331" s="5">
        <v>19</v>
      </c>
      <c r="N1331" s="5">
        <v>1</v>
      </c>
      <c r="O1331" s="5">
        <v>6.1</v>
      </c>
      <c r="P1331" s="5"/>
    </row>
    <row r="1332" spans="1:16" x14ac:dyDescent="0.25">
      <c r="A1332" s="4" t="s">
        <v>21</v>
      </c>
      <c r="B1332" s="4" t="s">
        <v>423</v>
      </c>
      <c r="C1332" s="5">
        <v>36485</v>
      </c>
      <c r="D1332" s="4" t="s">
        <v>23</v>
      </c>
      <c r="E1332" s="4" t="s">
        <v>25</v>
      </c>
      <c r="F1332" s="4" t="s">
        <v>147</v>
      </c>
      <c r="G1332" s="4" t="s">
        <v>26</v>
      </c>
      <c r="H1332" s="4" t="s">
        <v>18</v>
      </c>
      <c r="I1332" s="4" t="s">
        <v>715</v>
      </c>
      <c r="J1332" s="4" t="s">
        <v>715</v>
      </c>
      <c r="K1332" s="5">
        <v>6277250</v>
      </c>
      <c r="L1332" s="5">
        <v>290092</v>
      </c>
      <c r="M1332" s="5">
        <v>19</v>
      </c>
      <c r="N1332" s="5">
        <v>1</v>
      </c>
      <c r="O1332" s="5">
        <v>1.1000000000000001</v>
      </c>
      <c r="P1332" s="5"/>
    </row>
    <row r="1333" spans="1:16" x14ac:dyDescent="0.25">
      <c r="A1333" s="4" t="s">
        <v>13</v>
      </c>
      <c r="B1333" s="4" t="s">
        <v>423</v>
      </c>
      <c r="C1333" s="5">
        <v>36486</v>
      </c>
      <c r="D1333" s="4" t="s">
        <v>23</v>
      </c>
      <c r="E1333" s="4" t="s">
        <v>356</v>
      </c>
      <c r="F1333" s="4" t="s">
        <v>356</v>
      </c>
      <c r="G1333" s="4" t="s">
        <v>26</v>
      </c>
      <c r="H1333" s="4" t="s">
        <v>27</v>
      </c>
      <c r="I1333" s="4" t="s">
        <v>715</v>
      </c>
      <c r="J1333" s="4" t="s">
        <v>715</v>
      </c>
      <c r="K1333" s="5">
        <v>6259560</v>
      </c>
      <c r="L1333" s="5">
        <v>341829</v>
      </c>
      <c r="M1333" s="5">
        <v>19</v>
      </c>
      <c r="N1333" s="5">
        <v>1</v>
      </c>
      <c r="O1333" s="5">
        <v>0.4</v>
      </c>
      <c r="P1333" s="5"/>
    </row>
    <row r="1334" spans="1:16" x14ac:dyDescent="0.25">
      <c r="A1334" s="4" t="s">
        <v>21</v>
      </c>
      <c r="B1334" s="4" t="s">
        <v>423</v>
      </c>
      <c r="C1334" s="5">
        <v>36487</v>
      </c>
      <c r="D1334" s="4" t="s">
        <v>23</v>
      </c>
      <c r="E1334" s="4" t="s">
        <v>357</v>
      </c>
      <c r="F1334" s="4" t="s">
        <v>50</v>
      </c>
      <c r="G1334" s="4" t="s">
        <v>26</v>
      </c>
      <c r="H1334" s="4" t="s">
        <v>18</v>
      </c>
      <c r="I1334" s="4" t="s">
        <v>715</v>
      </c>
      <c r="J1334" s="4" t="s">
        <v>715</v>
      </c>
      <c r="K1334" s="5">
        <v>6266888</v>
      </c>
      <c r="L1334" s="5">
        <v>333704</v>
      </c>
      <c r="M1334" s="5">
        <v>19</v>
      </c>
      <c r="N1334" s="5">
        <v>1</v>
      </c>
      <c r="O1334" s="5">
        <v>1.1100000000000001</v>
      </c>
      <c r="P1334" s="5"/>
    </row>
    <row r="1335" spans="1:16" x14ac:dyDescent="0.25">
      <c r="A1335" s="4" t="s">
        <v>21</v>
      </c>
      <c r="B1335" s="4" t="s">
        <v>423</v>
      </c>
      <c r="C1335" s="5">
        <v>36489</v>
      </c>
      <c r="D1335" s="4" t="s">
        <v>23</v>
      </c>
      <c r="E1335" s="4" t="s">
        <v>31</v>
      </c>
      <c r="F1335" s="4" t="s">
        <v>483</v>
      </c>
      <c r="G1335" s="4" t="s">
        <v>26</v>
      </c>
      <c r="H1335" s="4" t="s">
        <v>18</v>
      </c>
      <c r="I1335" s="4" t="s">
        <v>715</v>
      </c>
      <c r="J1335" s="4" t="s">
        <v>715</v>
      </c>
      <c r="K1335" s="5">
        <v>6295907</v>
      </c>
      <c r="L1335" s="5">
        <v>333570</v>
      </c>
      <c r="M1335" s="5">
        <v>19</v>
      </c>
      <c r="N1335" s="5">
        <v>1</v>
      </c>
      <c r="O1335" s="5">
        <v>0.3</v>
      </c>
      <c r="P1335" s="5"/>
    </row>
    <row r="1336" spans="1:16" x14ac:dyDescent="0.25">
      <c r="A1336" s="4" t="s">
        <v>54</v>
      </c>
      <c r="B1336" s="4" t="s">
        <v>423</v>
      </c>
      <c r="C1336" s="5">
        <v>36528</v>
      </c>
      <c r="D1336" s="4" t="s">
        <v>23</v>
      </c>
      <c r="E1336" s="4" t="s">
        <v>28</v>
      </c>
      <c r="F1336" s="4" t="s">
        <v>380</v>
      </c>
      <c r="G1336" s="4" t="s">
        <v>26</v>
      </c>
      <c r="H1336" s="4" t="s">
        <v>641</v>
      </c>
      <c r="I1336" s="4" t="s">
        <v>715</v>
      </c>
      <c r="J1336" s="4" t="s">
        <v>715</v>
      </c>
      <c r="K1336" s="5">
        <v>6259463</v>
      </c>
      <c r="L1336" s="5">
        <v>332804</v>
      </c>
      <c r="M1336" s="5">
        <v>19</v>
      </c>
      <c r="N1336" s="5">
        <v>1</v>
      </c>
      <c r="O1336" s="5">
        <v>0.79</v>
      </c>
      <c r="P1336" s="5"/>
    </row>
    <row r="1337" spans="1:16" x14ac:dyDescent="0.25">
      <c r="A1337" s="4" t="s">
        <v>21</v>
      </c>
      <c r="B1337" s="4" t="s">
        <v>423</v>
      </c>
      <c r="C1337" s="5">
        <v>36537</v>
      </c>
      <c r="D1337" s="4" t="s">
        <v>23</v>
      </c>
      <c r="E1337" s="4" t="s">
        <v>357</v>
      </c>
      <c r="F1337" s="4" t="s">
        <v>453</v>
      </c>
      <c r="G1337" s="4" t="s">
        <v>26</v>
      </c>
      <c r="H1337" s="4" t="s">
        <v>18</v>
      </c>
      <c r="I1337" s="4" t="s">
        <v>715</v>
      </c>
      <c r="J1337" s="4" t="s">
        <v>715</v>
      </c>
      <c r="K1337" s="5">
        <v>6284002</v>
      </c>
      <c r="L1337" s="5">
        <v>338803</v>
      </c>
      <c r="M1337" s="5">
        <v>19</v>
      </c>
      <c r="N1337" s="5">
        <v>1</v>
      </c>
      <c r="O1337" s="5">
        <v>0.98</v>
      </c>
      <c r="P1337" s="5"/>
    </row>
    <row r="1338" spans="1:16" x14ac:dyDescent="0.25">
      <c r="A1338" s="4" t="s">
        <v>21</v>
      </c>
      <c r="B1338" s="4" t="s">
        <v>423</v>
      </c>
      <c r="C1338" s="5">
        <v>36538</v>
      </c>
      <c r="D1338" s="4" t="s">
        <v>23</v>
      </c>
      <c r="E1338" s="4" t="s">
        <v>381</v>
      </c>
      <c r="F1338" s="4" t="s">
        <v>382</v>
      </c>
      <c r="G1338" s="4" t="s">
        <v>26</v>
      </c>
      <c r="H1338" s="4" t="s">
        <v>128</v>
      </c>
      <c r="I1338" s="4" t="s">
        <v>715</v>
      </c>
      <c r="J1338" s="4" t="s">
        <v>638</v>
      </c>
      <c r="K1338" s="5">
        <v>6262543</v>
      </c>
      <c r="L1338" s="5">
        <v>327139</v>
      </c>
      <c r="M1338" s="5">
        <v>19</v>
      </c>
      <c r="N1338" s="5">
        <v>1</v>
      </c>
      <c r="O1338" s="5">
        <v>8.1999999999999993</v>
      </c>
      <c r="P1338" s="5"/>
    </row>
    <row r="1339" spans="1:16" x14ac:dyDescent="0.25">
      <c r="A1339" s="4" t="s">
        <v>13</v>
      </c>
      <c r="B1339" s="4" t="s">
        <v>423</v>
      </c>
      <c r="C1339" s="5">
        <v>36539</v>
      </c>
      <c r="D1339" s="4" t="s">
        <v>23</v>
      </c>
      <c r="E1339" s="4" t="s">
        <v>356</v>
      </c>
      <c r="F1339" s="4" t="s">
        <v>380</v>
      </c>
      <c r="G1339" s="4" t="s">
        <v>26</v>
      </c>
      <c r="H1339" s="4" t="s">
        <v>27</v>
      </c>
      <c r="I1339" s="4" t="s">
        <v>715</v>
      </c>
      <c r="J1339" s="4" t="s">
        <v>715</v>
      </c>
      <c r="K1339" s="5">
        <v>6259152</v>
      </c>
      <c r="L1339" s="5">
        <v>336921</v>
      </c>
      <c r="M1339" s="5">
        <v>19</v>
      </c>
      <c r="N1339" s="5">
        <v>1</v>
      </c>
      <c r="O1339" s="5">
        <v>0.41</v>
      </c>
      <c r="P1339" s="5"/>
    </row>
    <row r="1340" spans="1:16" x14ac:dyDescent="0.25">
      <c r="A1340" s="4" t="s">
        <v>21</v>
      </c>
      <c r="B1340" s="4" t="s">
        <v>423</v>
      </c>
      <c r="C1340" s="5">
        <v>36549</v>
      </c>
      <c r="D1340" s="4" t="s">
        <v>33</v>
      </c>
      <c r="E1340" s="4" t="s">
        <v>247</v>
      </c>
      <c r="F1340" s="4" t="s">
        <v>247</v>
      </c>
      <c r="G1340" s="4" t="s">
        <v>26</v>
      </c>
      <c r="H1340" s="4" t="s">
        <v>27</v>
      </c>
      <c r="I1340" s="4" t="s">
        <v>715</v>
      </c>
      <c r="J1340" s="4" t="s">
        <v>715</v>
      </c>
      <c r="K1340" s="5">
        <v>6121447</v>
      </c>
      <c r="L1340" s="5">
        <v>291540</v>
      </c>
      <c r="M1340" s="5">
        <v>19</v>
      </c>
      <c r="N1340" s="5">
        <v>1</v>
      </c>
      <c r="O1340" s="5">
        <v>8.5</v>
      </c>
      <c r="P1340" s="5"/>
    </row>
    <row r="1341" spans="1:16" x14ac:dyDescent="0.25">
      <c r="A1341" s="4" t="s">
        <v>21</v>
      </c>
      <c r="B1341" s="4" t="s">
        <v>423</v>
      </c>
      <c r="C1341" s="5">
        <v>36594</v>
      </c>
      <c r="D1341" s="4" t="s">
        <v>37</v>
      </c>
      <c r="E1341" s="4" t="s">
        <v>73</v>
      </c>
      <c r="F1341" s="4" t="s">
        <v>73</v>
      </c>
      <c r="G1341" s="4" t="s">
        <v>26</v>
      </c>
      <c r="H1341" s="4" t="s">
        <v>27</v>
      </c>
      <c r="I1341" s="4" t="s">
        <v>715</v>
      </c>
      <c r="J1341" s="4" t="s">
        <v>638</v>
      </c>
      <c r="K1341" s="5">
        <v>6152623</v>
      </c>
      <c r="L1341" s="5">
        <v>312995</v>
      </c>
      <c r="M1341" s="5">
        <v>19</v>
      </c>
      <c r="N1341" s="5">
        <v>1</v>
      </c>
      <c r="O1341" s="5">
        <v>12</v>
      </c>
      <c r="P1341" s="5"/>
    </row>
    <row r="1342" spans="1:16" x14ac:dyDescent="0.25">
      <c r="A1342" s="4" t="s">
        <v>21</v>
      </c>
      <c r="B1342" s="4" t="s">
        <v>423</v>
      </c>
      <c r="C1342" s="5">
        <v>36595</v>
      </c>
      <c r="D1342" s="4" t="s">
        <v>37</v>
      </c>
      <c r="E1342" s="4" t="s">
        <v>73</v>
      </c>
      <c r="F1342" s="4" t="s">
        <v>73</v>
      </c>
      <c r="G1342" s="4" t="s">
        <v>26</v>
      </c>
      <c r="H1342" s="4" t="s">
        <v>27</v>
      </c>
      <c r="I1342" s="4" t="s">
        <v>715</v>
      </c>
      <c r="J1342" s="4" t="s">
        <v>638</v>
      </c>
      <c r="K1342" s="5">
        <v>6152355</v>
      </c>
      <c r="L1342" s="5">
        <v>312943</v>
      </c>
      <c r="M1342" s="5">
        <v>19</v>
      </c>
      <c r="N1342" s="5">
        <v>1</v>
      </c>
      <c r="O1342" s="5">
        <v>9.6999999999999993</v>
      </c>
      <c r="P1342" s="5"/>
    </row>
    <row r="1343" spans="1:16" x14ac:dyDescent="0.25">
      <c r="A1343" s="4" t="s">
        <v>54</v>
      </c>
      <c r="B1343" s="4" t="s">
        <v>423</v>
      </c>
      <c r="C1343" s="5">
        <v>36614</v>
      </c>
      <c r="D1343" s="4" t="s">
        <v>15</v>
      </c>
      <c r="E1343" s="4" t="s">
        <v>468</v>
      </c>
      <c r="F1343" s="4" t="s">
        <v>375</v>
      </c>
      <c r="G1343" s="4" t="s">
        <v>26</v>
      </c>
      <c r="H1343" s="4" t="s">
        <v>641</v>
      </c>
      <c r="I1343" s="4" t="s">
        <v>715</v>
      </c>
      <c r="J1343" s="4" t="s">
        <v>715</v>
      </c>
      <c r="K1343" s="5">
        <v>6362891</v>
      </c>
      <c r="L1343" s="5">
        <v>350531</v>
      </c>
      <c r="M1343" s="5">
        <v>19</v>
      </c>
      <c r="N1343" s="5">
        <v>1</v>
      </c>
      <c r="O1343" s="5">
        <v>0.59</v>
      </c>
      <c r="P1343" s="5"/>
    </row>
    <row r="1344" spans="1:16" x14ac:dyDescent="0.25">
      <c r="A1344" s="4" t="s">
        <v>21</v>
      </c>
      <c r="B1344" s="4" t="s">
        <v>423</v>
      </c>
      <c r="C1344" s="5">
        <v>36616</v>
      </c>
      <c r="D1344" s="4" t="s">
        <v>23</v>
      </c>
      <c r="E1344" s="4" t="s">
        <v>76</v>
      </c>
      <c r="F1344" s="4" t="s">
        <v>76</v>
      </c>
      <c r="G1344" s="4" t="s">
        <v>26</v>
      </c>
      <c r="H1344" s="4" t="s">
        <v>27</v>
      </c>
      <c r="I1344" s="4" t="s">
        <v>715</v>
      </c>
      <c r="J1344" s="4" t="s">
        <v>715</v>
      </c>
      <c r="K1344" s="5">
        <v>6270160</v>
      </c>
      <c r="L1344" s="5">
        <v>318710</v>
      </c>
      <c r="M1344" s="5">
        <v>19</v>
      </c>
      <c r="N1344" s="5">
        <v>1</v>
      </c>
      <c r="O1344" s="5">
        <v>2.57</v>
      </c>
      <c r="P1344" s="5"/>
    </row>
    <row r="1345" spans="1:16" x14ac:dyDescent="0.25">
      <c r="A1345" s="4" t="s">
        <v>13</v>
      </c>
      <c r="B1345" s="4" t="s">
        <v>423</v>
      </c>
      <c r="C1345" s="5">
        <v>36617</v>
      </c>
      <c r="D1345" s="4" t="s">
        <v>23</v>
      </c>
      <c r="E1345" s="4" t="s">
        <v>357</v>
      </c>
      <c r="F1345" s="4" t="s">
        <v>361</v>
      </c>
      <c r="G1345" s="4" t="s">
        <v>26</v>
      </c>
      <c r="H1345" s="4" t="s">
        <v>27</v>
      </c>
      <c r="I1345" s="4" t="s">
        <v>715</v>
      </c>
      <c r="J1345" s="4" t="s">
        <v>715</v>
      </c>
      <c r="K1345" s="5">
        <v>6271537</v>
      </c>
      <c r="L1345" s="5">
        <v>336109</v>
      </c>
      <c r="M1345" s="5">
        <v>19</v>
      </c>
      <c r="N1345" s="5">
        <v>1</v>
      </c>
      <c r="O1345" s="5">
        <v>0.39</v>
      </c>
      <c r="P1345" s="5"/>
    </row>
    <row r="1346" spans="1:16" x14ac:dyDescent="0.25">
      <c r="A1346" s="4" t="s">
        <v>13</v>
      </c>
      <c r="B1346" s="4" t="s">
        <v>423</v>
      </c>
      <c r="C1346" s="5">
        <v>36618</v>
      </c>
      <c r="D1346" s="4" t="s">
        <v>23</v>
      </c>
      <c r="E1346" s="4" t="s">
        <v>357</v>
      </c>
      <c r="F1346" s="4" t="s">
        <v>453</v>
      </c>
      <c r="G1346" s="4" t="s">
        <v>26</v>
      </c>
      <c r="H1346" s="4" t="s">
        <v>27</v>
      </c>
      <c r="I1346" s="4" t="s">
        <v>715</v>
      </c>
      <c r="J1346" s="4" t="s">
        <v>715</v>
      </c>
      <c r="K1346" s="5">
        <v>6270733</v>
      </c>
      <c r="L1346" s="5">
        <v>335722</v>
      </c>
      <c r="M1346" s="5">
        <v>19</v>
      </c>
      <c r="N1346" s="5">
        <v>1</v>
      </c>
      <c r="O1346" s="5">
        <v>0.41</v>
      </c>
      <c r="P1346" s="5"/>
    </row>
    <row r="1347" spans="1:16" x14ac:dyDescent="0.25">
      <c r="A1347" s="4" t="s">
        <v>13</v>
      </c>
      <c r="B1347" s="4" t="s">
        <v>423</v>
      </c>
      <c r="C1347" s="5">
        <v>36619</v>
      </c>
      <c r="D1347" s="4" t="s">
        <v>23</v>
      </c>
      <c r="E1347" s="4" t="s">
        <v>76</v>
      </c>
      <c r="F1347" s="4" t="s">
        <v>456</v>
      </c>
      <c r="G1347" s="4" t="s">
        <v>26</v>
      </c>
      <c r="H1347" s="4" t="s">
        <v>27</v>
      </c>
      <c r="I1347" s="4" t="s">
        <v>715</v>
      </c>
      <c r="J1347" s="4" t="s">
        <v>638</v>
      </c>
      <c r="K1347" s="5">
        <v>6269718</v>
      </c>
      <c r="L1347" s="5">
        <v>329257</v>
      </c>
      <c r="M1347" s="5">
        <v>19</v>
      </c>
      <c r="N1347" s="5">
        <v>1</v>
      </c>
      <c r="O1347" s="5">
        <v>0.4</v>
      </c>
      <c r="P1347" s="5"/>
    </row>
    <row r="1348" spans="1:16" x14ac:dyDescent="0.25">
      <c r="A1348" s="4" t="s">
        <v>21</v>
      </c>
      <c r="B1348" s="4" t="s">
        <v>423</v>
      </c>
      <c r="C1348" s="5">
        <v>36621</v>
      </c>
      <c r="D1348" s="4" t="s">
        <v>23</v>
      </c>
      <c r="E1348" s="4" t="s">
        <v>381</v>
      </c>
      <c r="F1348" s="4" t="s">
        <v>382</v>
      </c>
      <c r="G1348" s="4" t="s">
        <v>26</v>
      </c>
      <c r="H1348" s="4" t="s">
        <v>27</v>
      </c>
      <c r="I1348" s="4" t="s">
        <v>715</v>
      </c>
      <c r="J1348" s="4" t="s">
        <v>715</v>
      </c>
      <c r="K1348" s="5">
        <v>6261743</v>
      </c>
      <c r="L1348" s="5">
        <v>326956</v>
      </c>
      <c r="M1348" s="5">
        <v>19</v>
      </c>
      <c r="N1348" s="5">
        <v>1</v>
      </c>
      <c r="O1348" s="5">
        <v>2.5</v>
      </c>
      <c r="P1348" s="5"/>
    </row>
    <row r="1349" spans="1:16" x14ac:dyDescent="0.25">
      <c r="A1349" s="4" t="s">
        <v>21</v>
      </c>
      <c r="B1349" s="4" t="s">
        <v>423</v>
      </c>
      <c r="C1349" s="5">
        <v>36623</v>
      </c>
      <c r="D1349" s="4" t="s">
        <v>23</v>
      </c>
      <c r="E1349" s="4" t="s">
        <v>76</v>
      </c>
      <c r="F1349" s="4" t="s">
        <v>484</v>
      </c>
      <c r="G1349" s="4" t="s">
        <v>26</v>
      </c>
      <c r="H1349" s="4" t="s">
        <v>18</v>
      </c>
      <c r="I1349" s="4" t="s">
        <v>715</v>
      </c>
      <c r="J1349" s="4" t="s">
        <v>715</v>
      </c>
      <c r="K1349" s="5">
        <v>6270687</v>
      </c>
      <c r="L1349" s="5">
        <v>316804</v>
      </c>
      <c r="M1349" s="5">
        <v>19</v>
      </c>
      <c r="N1349" s="5">
        <v>1</v>
      </c>
      <c r="O1349" s="5">
        <v>1.0900000000000001</v>
      </c>
      <c r="P1349" s="5"/>
    </row>
    <row r="1350" spans="1:16" x14ac:dyDescent="0.25">
      <c r="A1350" s="4" t="s">
        <v>21</v>
      </c>
      <c r="B1350" s="4" t="s">
        <v>423</v>
      </c>
      <c r="C1350" s="5">
        <v>36624</v>
      </c>
      <c r="D1350" s="4" t="s">
        <v>23</v>
      </c>
      <c r="E1350" s="4" t="s">
        <v>367</v>
      </c>
      <c r="F1350" s="4" t="s">
        <v>367</v>
      </c>
      <c r="G1350" s="4" t="s">
        <v>26</v>
      </c>
      <c r="H1350" s="4" t="s">
        <v>18</v>
      </c>
      <c r="I1350" s="4" t="s">
        <v>715</v>
      </c>
      <c r="J1350" s="4" t="s">
        <v>715</v>
      </c>
      <c r="K1350" s="5">
        <v>6275750</v>
      </c>
      <c r="L1350" s="5">
        <v>355806</v>
      </c>
      <c r="M1350" s="5">
        <v>19</v>
      </c>
      <c r="N1350" s="5">
        <v>1</v>
      </c>
      <c r="O1350" s="5">
        <v>6.08</v>
      </c>
      <c r="P1350" s="5"/>
    </row>
    <row r="1351" spans="1:16" x14ac:dyDescent="0.25">
      <c r="A1351" s="4" t="s">
        <v>21</v>
      </c>
      <c r="B1351" s="4" t="s">
        <v>423</v>
      </c>
      <c r="C1351" s="5">
        <v>36625</v>
      </c>
      <c r="D1351" s="4" t="s">
        <v>23</v>
      </c>
      <c r="E1351" s="4" t="s">
        <v>356</v>
      </c>
      <c r="F1351" s="4" t="s">
        <v>485</v>
      </c>
      <c r="G1351" s="4" t="s">
        <v>26</v>
      </c>
      <c r="H1351" s="4" t="s">
        <v>18</v>
      </c>
      <c r="I1351" s="4" t="s">
        <v>715</v>
      </c>
      <c r="J1351" s="4" t="s">
        <v>715</v>
      </c>
      <c r="K1351" s="5">
        <v>6254881</v>
      </c>
      <c r="L1351" s="5">
        <v>319565</v>
      </c>
      <c r="M1351" s="5">
        <v>19</v>
      </c>
      <c r="N1351" s="5">
        <v>1</v>
      </c>
      <c r="O1351" s="5">
        <v>0.11</v>
      </c>
      <c r="P1351" s="5"/>
    </row>
    <row r="1352" spans="1:16" x14ac:dyDescent="0.25">
      <c r="A1352" s="4" t="s">
        <v>21</v>
      </c>
      <c r="B1352" s="4" t="s">
        <v>423</v>
      </c>
      <c r="C1352" s="5">
        <v>36626</v>
      </c>
      <c r="D1352" s="4" t="s">
        <v>23</v>
      </c>
      <c r="E1352" s="4" t="s">
        <v>445</v>
      </c>
      <c r="F1352" s="4" t="s">
        <v>486</v>
      </c>
      <c r="G1352" s="4" t="s">
        <v>26</v>
      </c>
      <c r="H1352" s="4" t="s">
        <v>18</v>
      </c>
      <c r="I1352" s="4" t="s">
        <v>715</v>
      </c>
      <c r="J1352" s="4" t="s">
        <v>715</v>
      </c>
      <c r="K1352" s="5">
        <v>6311404</v>
      </c>
      <c r="L1352" s="5">
        <v>327452</v>
      </c>
      <c r="M1352" s="5">
        <v>19</v>
      </c>
      <c r="N1352" s="5">
        <v>1</v>
      </c>
      <c r="O1352" s="5">
        <v>0.23</v>
      </c>
      <c r="P1352" s="5"/>
    </row>
    <row r="1353" spans="1:16" x14ac:dyDescent="0.25">
      <c r="A1353" s="4" t="s">
        <v>54</v>
      </c>
      <c r="B1353" s="4" t="s">
        <v>423</v>
      </c>
      <c r="C1353" s="5">
        <v>36630</v>
      </c>
      <c r="D1353" s="4" t="s">
        <v>37</v>
      </c>
      <c r="E1353" s="4" t="s">
        <v>375</v>
      </c>
      <c r="F1353" s="4" t="s">
        <v>396</v>
      </c>
      <c r="G1353" s="4" t="s">
        <v>26</v>
      </c>
      <c r="H1353" s="4" t="s">
        <v>641</v>
      </c>
      <c r="I1353" s="4" t="s">
        <v>715</v>
      </c>
      <c r="J1353" s="4" t="s">
        <v>715</v>
      </c>
      <c r="K1353" s="5">
        <v>6183313</v>
      </c>
      <c r="L1353" s="5">
        <v>318801</v>
      </c>
      <c r="M1353" s="5">
        <v>19</v>
      </c>
      <c r="N1353" s="5">
        <v>1</v>
      </c>
      <c r="O1353" s="5">
        <v>0.8</v>
      </c>
      <c r="P1353" s="5"/>
    </row>
    <row r="1354" spans="1:16" x14ac:dyDescent="0.25">
      <c r="A1354" s="4" t="s">
        <v>54</v>
      </c>
      <c r="B1354" s="4" t="s">
        <v>423</v>
      </c>
      <c r="C1354" s="5">
        <v>36631</v>
      </c>
      <c r="D1354" s="4" t="s">
        <v>23</v>
      </c>
      <c r="E1354" s="4" t="s">
        <v>28</v>
      </c>
      <c r="F1354" s="4" t="s">
        <v>383</v>
      </c>
      <c r="G1354" s="4" t="s">
        <v>26</v>
      </c>
      <c r="H1354" s="4" t="s">
        <v>641</v>
      </c>
      <c r="I1354" s="4" t="s">
        <v>715</v>
      </c>
      <c r="J1354" s="4" t="s">
        <v>715</v>
      </c>
      <c r="K1354" s="5">
        <v>6260719</v>
      </c>
      <c r="L1354" s="5">
        <v>331883</v>
      </c>
      <c r="M1354" s="5">
        <v>19</v>
      </c>
      <c r="N1354" s="5">
        <v>1</v>
      </c>
      <c r="O1354" s="5">
        <v>0.7</v>
      </c>
      <c r="P1354" s="5"/>
    </row>
    <row r="1355" spans="1:16" x14ac:dyDescent="0.25">
      <c r="A1355" s="4" t="s">
        <v>54</v>
      </c>
      <c r="B1355" s="4" t="s">
        <v>423</v>
      </c>
      <c r="C1355" s="5">
        <v>36633</v>
      </c>
      <c r="D1355" s="4" t="s">
        <v>23</v>
      </c>
      <c r="E1355" s="4" t="s">
        <v>28</v>
      </c>
      <c r="F1355" s="4" t="s">
        <v>380</v>
      </c>
      <c r="G1355" s="4" t="s">
        <v>26</v>
      </c>
      <c r="H1355" s="4" t="s">
        <v>641</v>
      </c>
      <c r="I1355" s="4" t="s">
        <v>715</v>
      </c>
      <c r="J1355" s="4" t="s">
        <v>715</v>
      </c>
      <c r="K1355" s="5">
        <v>6259153</v>
      </c>
      <c r="L1355" s="5">
        <v>332637</v>
      </c>
      <c r="M1355" s="5">
        <v>19</v>
      </c>
      <c r="N1355" s="5">
        <v>1</v>
      </c>
      <c r="O1355" s="5">
        <v>0.16</v>
      </c>
      <c r="P1355" s="5"/>
    </row>
    <row r="1356" spans="1:16" x14ac:dyDescent="0.25">
      <c r="A1356" s="4" t="s">
        <v>13</v>
      </c>
      <c r="B1356" s="4" t="s">
        <v>423</v>
      </c>
      <c r="C1356" s="5">
        <v>36634</v>
      </c>
      <c r="D1356" s="4" t="s">
        <v>37</v>
      </c>
      <c r="E1356" s="4" t="s">
        <v>75</v>
      </c>
      <c r="F1356" s="4" t="s">
        <v>75</v>
      </c>
      <c r="G1356" s="4" t="s">
        <v>26</v>
      </c>
      <c r="H1356" s="4" t="s">
        <v>27</v>
      </c>
      <c r="I1356" s="4" t="s">
        <v>715</v>
      </c>
      <c r="J1356" s="4" t="s">
        <v>715</v>
      </c>
      <c r="K1356" s="5">
        <v>6232636</v>
      </c>
      <c r="L1356" s="5">
        <v>344841</v>
      </c>
      <c r="M1356" s="5">
        <v>19</v>
      </c>
      <c r="N1356" s="5">
        <v>1</v>
      </c>
      <c r="O1356" s="5">
        <v>11.72</v>
      </c>
      <c r="P1356" s="5"/>
    </row>
    <row r="1357" spans="1:16" x14ac:dyDescent="0.25">
      <c r="A1357" s="4" t="s">
        <v>54</v>
      </c>
      <c r="B1357" s="4" t="s">
        <v>423</v>
      </c>
      <c r="C1357" s="5">
        <v>36635</v>
      </c>
      <c r="D1357" s="4" t="s">
        <v>23</v>
      </c>
      <c r="E1357" s="4" t="s">
        <v>28</v>
      </c>
      <c r="F1357" s="4" t="s">
        <v>383</v>
      </c>
      <c r="G1357" s="4" t="s">
        <v>26</v>
      </c>
      <c r="H1357" s="4" t="s">
        <v>641</v>
      </c>
      <c r="I1357" s="4" t="s">
        <v>715</v>
      </c>
      <c r="J1357" s="4" t="s">
        <v>715</v>
      </c>
      <c r="K1357" s="5">
        <v>6262296</v>
      </c>
      <c r="L1357" s="5">
        <v>332162</v>
      </c>
      <c r="M1357" s="5">
        <v>19</v>
      </c>
      <c r="N1357" s="5">
        <v>1</v>
      </c>
      <c r="O1357" s="5">
        <v>0.16</v>
      </c>
      <c r="P1357" s="5"/>
    </row>
    <row r="1358" spans="1:16" x14ac:dyDescent="0.25">
      <c r="A1358" s="4" t="s">
        <v>54</v>
      </c>
      <c r="B1358" s="4" t="s">
        <v>423</v>
      </c>
      <c r="C1358" s="5">
        <v>36644</v>
      </c>
      <c r="D1358" s="4" t="s">
        <v>23</v>
      </c>
      <c r="E1358" s="4" t="s">
        <v>28</v>
      </c>
      <c r="F1358" s="4" t="s">
        <v>380</v>
      </c>
      <c r="G1358" s="4" t="s">
        <v>26</v>
      </c>
      <c r="H1358" s="4" t="s">
        <v>641</v>
      </c>
      <c r="I1358" s="4" t="s">
        <v>715</v>
      </c>
      <c r="J1358" s="4" t="s">
        <v>715</v>
      </c>
      <c r="K1358" s="5">
        <v>6259111</v>
      </c>
      <c r="L1358" s="5">
        <v>332228</v>
      </c>
      <c r="M1358" s="5">
        <v>19</v>
      </c>
      <c r="N1358" s="5">
        <v>1</v>
      </c>
      <c r="O1358" s="5">
        <v>0.62</v>
      </c>
      <c r="P1358" s="5"/>
    </row>
    <row r="1359" spans="1:16" x14ac:dyDescent="0.25">
      <c r="A1359" s="4" t="s">
        <v>21</v>
      </c>
      <c r="B1359" s="4" t="s">
        <v>423</v>
      </c>
      <c r="C1359" s="5">
        <v>36645</v>
      </c>
      <c r="D1359" s="4" t="s">
        <v>23</v>
      </c>
      <c r="E1359" s="4" t="s">
        <v>31</v>
      </c>
      <c r="F1359" s="4" t="s">
        <v>480</v>
      </c>
      <c r="G1359" s="4" t="s">
        <v>26</v>
      </c>
      <c r="H1359" s="4" t="s">
        <v>18</v>
      </c>
      <c r="I1359" s="4" t="s">
        <v>715</v>
      </c>
      <c r="J1359" s="4" t="s">
        <v>715</v>
      </c>
      <c r="K1359" s="5">
        <v>6289138</v>
      </c>
      <c r="L1359" s="5">
        <v>330879</v>
      </c>
      <c r="M1359" s="5">
        <v>19</v>
      </c>
      <c r="N1359" s="5">
        <v>1</v>
      </c>
      <c r="O1359" s="5">
        <v>7.0000000000000007E-2</v>
      </c>
      <c r="P1359" s="5"/>
    </row>
    <row r="1360" spans="1:16" x14ac:dyDescent="0.25">
      <c r="A1360" s="4" t="s">
        <v>21</v>
      </c>
      <c r="B1360" s="4" t="s">
        <v>423</v>
      </c>
      <c r="C1360" s="5">
        <v>36648</v>
      </c>
      <c r="D1360" s="4" t="s">
        <v>23</v>
      </c>
      <c r="E1360" s="4" t="s">
        <v>409</v>
      </c>
      <c r="F1360" s="4" t="s">
        <v>487</v>
      </c>
      <c r="G1360" s="4" t="s">
        <v>26</v>
      </c>
      <c r="H1360" s="4" t="s">
        <v>18</v>
      </c>
      <c r="I1360" s="4" t="s">
        <v>715</v>
      </c>
      <c r="J1360" s="4" t="s">
        <v>715</v>
      </c>
      <c r="K1360" s="5">
        <v>6269757</v>
      </c>
      <c r="L1360" s="5">
        <v>309580</v>
      </c>
      <c r="M1360" s="5">
        <v>19</v>
      </c>
      <c r="N1360" s="5">
        <v>1</v>
      </c>
      <c r="O1360" s="5">
        <v>4.9000000000000004</v>
      </c>
      <c r="P1360" s="5"/>
    </row>
    <row r="1361" spans="1:16" x14ac:dyDescent="0.25">
      <c r="A1361" s="4" t="s">
        <v>21</v>
      </c>
      <c r="B1361" s="4" t="s">
        <v>423</v>
      </c>
      <c r="C1361" s="5">
        <v>36649</v>
      </c>
      <c r="D1361" s="4" t="s">
        <v>23</v>
      </c>
      <c r="E1361" s="4" t="s">
        <v>76</v>
      </c>
      <c r="F1361" s="4" t="s">
        <v>488</v>
      </c>
      <c r="G1361" s="4" t="s">
        <v>26</v>
      </c>
      <c r="H1361" s="4" t="s">
        <v>18</v>
      </c>
      <c r="I1361" s="4" t="s">
        <v>715</v>
      </c>
      <c r="J1361" s="4" t="s">
        <v>715</v>
      </c>
      <c r="K1361" s="5">
        <v>6271968</v>
      </c>
      <c r="L1361" s="5">
        <v>320999</v>
      </c>
      <c r="M1361" s="5">
        <v>19</v>
      </c>
      <c r="N1361" s="5">
        <v>1</v>
      </c>
      <c r="O1361" s="5">
        <v>1</v>
      </c>
      <c r="P1361" s="5"/>
    </row>
    <row r="1362" spans="1:16" x14ac:dyDescent="0.25">
      <c r="A1362" s="4" t="s">
        <v>21</v>
      </c>
      <c r="B1362" s="4" t="s">
        <v>423</v>
      </c>
      <c r="C1362" s="5">
        <v>36650</v>
      </c>
      <c r="D1362" s="4" t="s">
        <v>23</v>
      </c>
      <c r="E1362" s="4" t="s">
        <v>42</v>
      </c>
      <c r="F1362" s="4" t="s">
        <v>489</v>
      </c>
      <c r="G1362" s="4" t="s">
        <v>26</v>
      </c>
      <c r="H1362" s="4" t="s">
        <v>18</v>
      </c>
      <c r="I1362" s="4" t="s">
        <v>715</v>
      </c>
      <c r="J1362" s="4" t="s">
        <v>715</v>
      </c>
      <c r="K1362" s="5">
        <v>6306080</v>
      </c>
      <c r="L1362" s="5">
        <v>333647</v>
      </c>
      <c r="M1362" s="5">
        <v>19</v>
      </c>
      <c r="N1362" s="5">
        <v>1</v>
      </c>
      <c r="O1362" s="5">
        <v>2.4500000000000002</v>
      </c>
      <c r="P1362" s="5"/>
    </row>
    <row r="1363" spans="1:16" x14ac:dyDescent="0.25">
      <c r="A1363" s="4" t="s">
        <v>21</v>
      </c>
      <c r="B1363" s="4" t="s">
        <v>423</v>
      </c>
      <c r="C1363" s="5">
        <v>36651</v>
      </c>
      <c r="D1363" s="4" t="s">
        <v>23</v>
      </c>
      <c r="E1363" s="4" t="s">
        <v>409</v>
      </c>
      <c r="F1363" s="4" t="s">
        <v>487</v>
      </c>
      <c r="G1363" s="4" t="s">
        <v>26</v>
      </c>
      <c r="H1363" s="4" t="s">
        <v>128</v>
      </c>
      <c r="I1363" s="4" t="s">
        <v>715</v>
      </c>
      <c r="J1363" s="4" t="s">
        <v>638</v>
      </c>
      <c r="K1363" s="5">
        <v>6270619</v>
      </c>
      <c r="L1363" s="5">
        <v>308478</v>
      </c>
      <c r="M1363" s="5">
        <v>19</v>
      </c>
      <c r="N1363" s="5">
        <v>1</v>
      </c>
      <c r="O1363" s="5">
        <v>8.2899999999999991</v>
      </c>
      <c r="P1363" s="5"/>
    </row>
    <row r="1364" spans="1:16" x14ac:dyDescent="0.25">
      <c r="A1364" s="4" t="s">
        <v>21</v>
      </c>
      <c r="B1364" s="4" t="s">
        <v>423</v>
      </c>
      <c r="C1364" s="5">
        <v>36652</v>
      </c>
      <c r="D1364" s="4" t="s">
        <v>23</v>
      </c>
      <c r="E1364" s="4" t="s">
        <v>25</v>
      </c>
      <c r="F1364" s="4" t="s">
        <v>442</v>
      </c>
      <c r="G1364" s="4" t="s">
        <v>26</v>
      </c>
      <c r="H1364" s="4" t="s">
        <v>128</v>
      </c>
      <c r="I1364" s="4" t="s">
        <v>715</v>
      </c>
      <c r="J1364" s="4" t="s">
        <v>638</v>
      </c>
      <c r="K1364" s="5">
        <v>6271944</v>
      </c>
      <c r="L1364" s="5">
        <v>302956</v>
      </c>
      <c r="M1364" s="5">
        <v>19</v>
      </c>
      <c r="N1364" s="5">
        <v>1</v>
      </c>
      <c r="O1364" s="5">
        <v>1.67</v>
      </c>
      <c r="P1364" s="5"/>
    </row>
    <row r="1365" spans="1:16" x14ac:dyDescent="0.25">
      <c r="A1365" s="4" t="s">
        <v>21</v>
      </c>
      <c r="B1365" s="4" t="s">
        <v>423</v>
      </c>
      <c r="C1365" s="5">
        <v>36653</v>
      </c>
      <c r="D1365" s="4" t="s">
        <v>23</v>
      </c>
      <c r="E1365" s="4" t="s">
        <v>25</v>
      </c>
      <c r="F1365" s="4" t="s">
        <v>490</v>
      </c>
      <c r="G1365" s="4" t="s">
        <v>26</v>
      </c>
      <c r="H1365" s="4" t="s">
        <v>18</v>
      </c>
      <c r="I1365" s="4" t="s">
        <v>715</v>
      </c>
      <c r="J1365" s="4" t="s">
        <v>715</v>
      </c>
      <c r="K1365" s="5">
        <v>6273052</v>
      </c>
      <c r="L1365" s="5">
        <v>303244</v>
      </c>
      <c r="M1365" s="5">
        <v>19</v>
      </c>
      <c r="N1365" s="5">
        <v>1</v>
      </c>
      <c r="O1365" s="5">
        <v>1.2</v>
      </c>
      <c r="P1365" s="5"/>
    </row>
    <row r="1366" spans="1:16" x14ac:dyDescent="0.25">
      <c r="A1366" s="4" t="s">
        <v>21</v>
      </c>
      <c r="B1366" s="4" t="s">
        <v>423</v>
      </c>
      <c r="C1366" s="5">
        <v>36654</v>
      </c>
      <c r="D1366" s="4" t="s">
        <v>23</v>
      </c>
      <c r="E1366" s="4" t="s">
        <v>31</v>
      </c>
      <c r="F1366" s="4" t="s">
        <v>491</v>
      </c>
      <c r="G1366" s="4" t="s">
        <v>26</v>
      </c>
      <c r="H1366" s="4" t="s">
        <v>18</v>
      </c>
      <c r="I1366" s="4" t="s">
        <v>715</v>
      </c>
      <c r="J1366" s="4" t="s">
        <v>715</v>
      </c>
      <c r="K1366" s="5">
        <v>6286127</v>
      </c>
      <c r="L1366" s="5">
        <v>333949</v>
      </c>
      <c r="M1366" s="5">
        <v>19</v>
      </c>
      <c r="N1366" s="5">
        <v>1</v>
      </c>
      <c r="O1366" s="5">
        <v>3.6</v>
      </c>
      <c r="P1366" s="5"/>
    </row>
    <row r="1367" spans="1:16" x14ac:dyDescent="0.25">
      <c r="A1367" s="4" t="s">
        <v>21</v>
      </c>
      <c r="B1367" s="4" t="s">
        <v>423</v>
      </c>
      <c r="C1367" s="5">
        <v>36656</v>
      </c>
      <c r="D1367" s="4" t="s">
        <v>23</v>
      </c>
      <c r="E1367" s="4" t="s">
        <v>356</v>
      </c>
      <c r="F1367" s="4" t="s">
        <v>365</v>
      </c>
      <c r="G1367" s="4" t="s">
        <v>26</v>
      </c>
      <c r="H1367" s="4" t="s">
        <v>18</v>
      </c>
      <c r="I1367" s="4" t="s">
        <v>715</v>
      </c>
      <c r="J1367" s="4" t="s">
        <v>715</v>
      </c>
      <c r="K1367" s="5">
        <v>6256742</v>
      </c>
      <c r="L1367" s="5">
        <v>341579</v>
      </c>
      <c r="M1367" s="5">
        <v>19</v>
      </c>
      <c r="N1367" s="5">
        <v>1</v>
      </c>
      <c r="O1367" s="5">
        <v>3.6</v>
      </c>
      <c r="P1367" s="5"/>
    </row>
    <row r="1368" spans="1:16" x14ac:dyDescent="0.25">
      <c r="A1368" s="4" t="s">
        <v>13</v>
      </c>
      <c r="B1368" s="4" t="s">
        <v>423</v>
      </c>
      <c r="C1368" s="5">
        <v>36657</v>
      </c>
      <c r="D1368" s="4" t="s">
        <v>23</v>
      </c>
      <c r="E1368" s="4" t="s">
        <v>31</v>
      </c>
      <c r="F1368" s="4" t="s">
        <v>483</v>
      </c>
      <c r="G1368" s="4" t="s">
        <v>26</v>
      </c>
      <c r="H1368" s="4" t="s">
        <v>27</v>
      </c>
      <c r="I1368" s="4" t="s">
        <v>715</v>
      </c>
      <c r="J1368" s="4" t="s">
        <v>715</v>
      </c>
      <c r="K1368" s="5">
        <v>6295559</v>
      </c>
      <c r="L1368" s="5">
        <v>333546</v>
      </c>
      <c r="M1368" s="5">
        <v>19</v>
      </c>
      <c r="N1368" s="5">
        <v>1</v>
      </c>
      <c r="O1368" s="5">
        <v>0.46</v>
      </c>
      <c r="P1368" s="5"/>
    </row>
    <row r="1369" spans="1:16" x14ac:dyDescent="0.25">
      <c r="A1369" s="4" t="s">
        <v>21</v>
      </c>
      <c r="B1369" s="4" t="s">
        <v>423</v>
      </c>
      <c r="C1369" s="5">
        <v>36658</v>
      </c>
      <c r="D1369" s="4" t="s">
        <v>23</v>
      </c>
      <c r="E1369" s="4" t="s">
        <v>357</v>
      </c>
      <c r="F1369" s="4" t="s">
        <v>361</v>
      </c>
      <c r="G1369" s="4" t="s">
        <v>26</v>
      </c>
      <c r="H1369" s="4" t="s">
        <v>27</v>
      </c>
      <c r="I1369" s="4" t="s">
        <v>715</v>
      </c>
      <c r="J1369" s="4" t="s">
        <v>715</v>
      </c>
      <c r="K1369" s="5">
        <v>6271290</v>
      </c>
      <c r="L1369" s="5">
        <v>336238</v>
      </c>
      <c r="M1369" s="5">
        <v>19</v>
      </c>
      <c r="N1369" s="5">
        <v>1</v>
      </c>
      <c r="O1369" s="5">
        <v>0.35</v>
      </c>
      <c r="P1369" s="5"/>
    </row>
    <row r="1370" spans="1:16" x14ac:dyDescent="0.25">
      <c r="A1370" s="4" t="s">
        <v>21</v>
      </c>
      <c r="B1370" s="4" t="s">
        <v>423</v>
      </c>
      <c r="C1370" s="5">
        <v>36659</v>
      </c>
      <c r="D1370" s="4" t="s">
        <v>23</v>
      </c>
      <c r="E1370" s="4" t="s">
        <v>76</v>
      </c>
      <c r="F1370" s="4" t="s">
        <v>362</v>
      </c>
      <c r="G1370" s="4" t="s">
        <v>26</v>
      </c>
      <c r="H1370" s="4" t="s">
        <v>18</v>
      </c>
      <c r="I1370" s="4" t="s">
        <v>715</v>
      </c>
      <c r="J1370" s="4" t="s">
        <v>715</v>
      </c>
      <c r="K1370" s="5">
        <v>6275024</v>
      </c>
      <c r="L1370" s="5">
        <v>321742</v>
      </c>
      <c r="M1370" s="5">
        <v>19</v>
      </c>
      <c r="N1370" s="5">
        <v>1</v>
      </c>
      <c r="O1370" s="5">
        <v>4.95</v>
      </c>
      <c r="P1370" s="5"/>
    </row>
    <row r="1371" spans="1:16" x14ac:dyDescent="0.25">
      <c r="A1371" s="4" t="s">
        <v>54</v>
      </c>
      <c r="B1371" s="4" t="s">
        <v>423</v>
      </c>
      <c r="C1371" s="5">
        <v>36666</v>
      </c>
      <c r="D1371" s="4" t="s">
        <v>37</v>
      </c>
      <c r="E1371" s="4" t="s">
        <v>295</v>
      </c>
      <c r="F1371" s="4" t="s">
        <v>295</v>
      </c>
      <c r="G1371" s="4" t="s">
        <v>26</v>
      </c>
      <c r="H1371" s="4" t="s">
        <v>641</v>
      </c>
      <c r="I1371" s="4" t="s">
        <v>715</v>
      </c>
      <c r="J1371" s="4" t="s">
        <v>715</v>
      </c>
      <c r="K1371" s="5">
        <v>6236060</v>
      </c>
      <c r="L1371" s="5">
        <v>342620</v>
      </c>
      <c r="M1371" s="5">
        <v>19</v>
      </c>
      <c r="N1371" s="5">
        <v>1</v>
      </c>
      <c r="O1371" s="5">
        <v>0.56999999999999995</v>
      </c>
      <c r="P1371" s="5"/>
    </row>
    <row r="1372" spans="1:16" x14ac:dyDescent="0.25">
      <c r="A1372" s="4" t="s">
        <v>21</v>
      </c>
      <c r="B1372" s="4" t="s">
        <v>423</v>
      </c>
      <c r="C1372" s="5">
        <v>36667</v>
      </c>
      <c r="D1372" s="4" t="s">
        <v>23</v>
      </c>
      <c r="E1372" s="4" t="s">
        <v>28</v>
      </c>
      <c r="F1372" s="4" t="s">
        <v>492</v>
      </c>
      <c r="G1372" s="4" t="s">
        <v>26</v>
      </c>
      <c r="H1372" s="4" t="s">
        <v>18</v>
      </c>
      <c r="I1372" s="4" t="s">
        <v>715</v>
      </c>
      <c r="J1372" s="4" t="s">
        <v>715</v>
      </c>
      <c r="K1372" s="5">
        <v>6265065</v>
      </c>
      <c r="L1372" s="5">
        <v>336033</v>
      </c>
      <c r="M1372" s="5">
        <v>19</v>
      </c>
      <c r="N1372" s="5">
        <v>1</v>
      </c>
      <c r="O1372" s="5">
        <v>4.8</v>
      </c>
      <c r="P1372" s="5"/>
    </row>
    <row r="1373" spans="1:16" x14ac:dyDescent="0.25">
      <c r="A1373" s="4" t="s">
        <v>54</v>
      </c>
      <c r="B1373" s="4" t="s">
        <v>423</v>
      </c>
      <c r="C1373" s="5">
        <v>36677</v>
      </c>
      <c r="D1373" s="4" t="s">
        <v>15</v>
      </c>
      <c r="E1373" s="4" t="s">
        <v>468</v>
      </c>
      <c r="F1373" s="4" t="s">
        <v>375</v>
      </c>
      <c r="G1373" s="4" t="s">
        <v>26</v>
      </c>
      <c r="H1373" s="4" t="s">
        <v>641</v>
      </c>
      <c r="I1373" s="4" t="s">
        <v>715</v>
      </c>
      <c r="J1373" s="4" t="s">
        <v>715</v>
      </c>
      <c r="K1373" s="5">
        <v>6362726</v>
      </c>
      <c r="L1373" s="5">
        <v>351064</v>
      </c>
      <c r="M1373" s="5">
        <v>19</v>
      </c>
      <c r="N1373" s="5">
        <v>1</v>
      </c>
      <c r="O1373" s="5">
        <v>1.38</v>
      </c>
      <c r="P1373" s="5"/>
    </row>
    <row r="1374" spans="1:16" x14ac:dyDescent="0.25">
      <c r="A1374" s="4" t="s">
        <v>54</v>
      </c>
      <c r="B1374" s="4" t="s">
        <v>423</v>
      </c>
      <c r="C1374" s="5">
        <v>36679</v>
      </c>
      <c r="D1374" s="4" t="s">
        <v>15</v>
      </c>
      <c r="E1374" s="4" t="s">
        <v>468</v>
      </c>
      <c r="F1374" s="4" t="s">
        <v>375</v>
      </c>
      <c r="G1374" s="4" t="s">
        <v>26</v>
      </c>
      <c r="H1374" s="4" t="s">
        <v>641</v>
      </c>
      <c r="I1374" s="4" t="s">
        <v>715</v>
      </c>
      <c r="J1374" s="4" t="s">
        <v>715</v>
      </c>
      <c r="K1374" s="5">
        <v>6362816</v>
      </c>
      <c r="L1374" s="5">
        <v>351137</v>
      </c>
      <c r="M1374" s="5">
        <v>19</v>
      </c>
      <c r="N1374" s="5">
        <v>1</v>
      </c>
      <c r="O1374" s="5">
        <v>0.85</v>
      </c>
      <c r="P1374" s="5"/>
    </row>
    <row r="1375" spans="1:16" x14ac:dyDescent="0.25">
      <c r="A1375" s="4" t="s">
        <v>13</v>
      </c>
      <c r="B1375" s="4" t="s">
        <v>423</v>
      </c>
      <c r="C1375" s="5">
        <v>36681</v>
      </c>
      <c r="D1375" s="4" t="s">
        <v>37</v>
      </c>
      <c r="E1375" s="4" t="s">
        <v>370</v>
      </c>
      <c r="F1375" s="4" t="s">
        <v>371</v>
      </c>
      <c r="G1375" s="4" t="s">
        <v>26</v>
      </c>
      <c r="H1375" s="4" t="s">
        <v>27</v>
      </c>
      <c r="I1375" s="4" t="s">
        <v>715</v>
      </c>
      <c r="J1375" s="4" t="s">
        <v>715</v>
      </c>
      <c r="K1375" s="6">
        <v>6196640</v>
      </c>
      <c r="L1375" s="6">
        <v>326002</v>
      </c>
      <c r="M1375" s="6">
        <v>19</v>
      </c>
      <c r="N1375" s="5">
        <v>2</v>
      </c>
      <c r="O1375" s="5">
        <v>108</v>
      </c>
      <c r="P1375" s="5" t="s">
        <v>650</v>
      </c>
    </row>
    <row r="1376" spans="1:16" x14ac:dyDescent="0.25">
      <c r="A1376" s="4" t="s">
        <v>54</v>
      </c>
      <c r="B1376" s="4" t="s">
        <v>423</v>
      </c>
      <c r="C1376" s="5">
        <v>36682</v>
      </c>
      <c r="D1376" s="4" t="s">
        <v>15</v>
      </c>
      <c r="E1376" s="4" t="s">
        <v>468</v>
      </c>
      <c r="F1376" s="4" t="s">
        <v>375</v>
      </c>
      <c r="G1376" s="4" t="s">
        <v>26</v>
      </c>
      <c r="H1376" s="4" t="s">
        <v>641</v>
      </c>
      <c r="I1376" s="4" t="s">
        <v>715</v>
      </c>
      <c r="J1376" s="4" t="s">
        <v>715</v>
      </c>
      <c r="K1376" s="5">
        <v>6362832</v>
      </c>
      <c r="L1376" s="5">
        <v>350625</v>
      </c>
      <c r="M1376" s="5">
        <v>19</v>
      </c>
      <c r="N1376" s="5">
        <v>1</v>
      </c>
      <c r="O1376" s="5">
        <v>0.73</v>
      </c>
      <c r="P1376" s="5"/>
    </row>
    <row r="1377" spans="1:16" x14ac:dyDescent="0.25">
      <c r="A1377" s="4" t="s">
        <v>54</v>
      </c>
      <c r="B1377" s="4" t="s">
        <v>423</v>
      </c>
      <c r="C1377" s="5">
        <v>36683</v>
      </c>
      <c r="D1377" s="4" t="s">
        <v>15</v>
      </c>
      <c r="E1377" s="4" t="s">
        <v>468</v>
      </c>
      <c r="F1377" s="4" t="s">
        <v>375</v>
      </c>
      <c r="G1377" s="4" t="s">
        <v>26</v>
      </c>
      <c r="H1377" s="4" t="s">
        <v>641</v>
      </c>
      <c r="I1377" s="4" t="s">
        <v>715</v>
      </c>
      <c r="J1377" s="4" t="s">
        <v>715</v>
      </c>
      <c r="K1377" s="5">
        <v>6362486</v>
      </c>
      <c r="L1377" s="5">
        <v>350811</v>
      </c>
      <c r="M1377" s="5">
        <v>19</v>
      </c>
      <c r="N1377" s="5">
        <v>1</v>
      </c>
      <c r="O1377" s="5">
        <v>0.45</v>
      </c>
      <c r="P1377" s="5"/>
    </row>
    <row r="1378" spans="1:16" x14ac:dyDescent="0.25">
      <c r="A1378" s="4" t="s">
        <v>13</v>
      </c>
      <c r="B1378" s="4" t="s">
        <v>423</v>
      </c>
      <c r="C1378" s="5">
        <v>36684</v>
      </c>
      <c r="D1378" s="4" t="s">
        <v>37</v>
      </c>
      <c r="E1378" s="4" t="s">
        <v>370</v>
      </c>
      <c r="F1378" s="4" t="s">
        <v>370</v>
      </c>
      <c r="G1378" s="4" t="s">
        <v>26</v>
      </c>
      <c r="H1378" s="4" t="s">
        <v>27</v>
      </c>
      <c r="I1378" s="4" t="s">
        <v>715</v>
      </c>
      <c r="J1378" s="4" t="s">
        <v>715</v>
      </c>
      <c r="K1378" s="5">
        <v>6192379</v>
      </c>
      <c r="L1378" s="5">
        <v>330203</v>
      </c>
      <c r="M1378" s="5">
        <v>19</v>
      </c>
      <c r="N1378" s="5">
        <v>1</v>
      </c>
      <c r="O1378" s="5">
        <v>4.5</v>
      </c>
      <c r="P1378" s="5"/>
    </row>
    <row r="1379" spans="1:16" x14ac:dyDescent="0.25">
      <c r="A1379" s="4" t="s">
        <v>54</v>
      </c>
      <c r="B1379" s="4" t="s">
        <v>423</v>
      </c>
      <c r="C1379" s="5">
        <v>36686</v>
      </c>
      <c r="D1379" s="4" t="s">
        <v>15</v>
      </c>
      <c r="E1379" s="4" t="s">
        <v>468</v>
      </c>
      <c r="F1379" s="4" t="s">
        <v>375</v>
      </c>
      <c r="G1379" s="4" t="s">
        <v>26</v>
      </c>
      <c r="H1379" s="4" t="s">
        <v>641</v>
      </c>
      <c r="I1379" s="4" t="s">
        <v>715</v>
      </c>
      <c r="J1379" s="4" t="s">
        <v>715</v>
      </c>
      <c r="K1379" s="5">
        <v>6362762</v>
      </c>
      <c r="L1379" s="5">
        <v>350714</v>
      </c>
      <c r="M1379" s="5">
        <v>19</v>
      </c>
      <c r="N1379" s="5">
        <v>1</v>
      </c>
      <c r="O1379" s="5">
        <v>0.85</v>
      </c>
      <c r="P1379" s="5"/>
    </row>
    <row r="1380" spans="1:16" x14ac:dyDescent="0.25">
      <c r="A1380" s="4" t="s">
        <v>54</v>
      </c>
      <c r="B1380" s="4" t="s">
        <v>423</v>
      </c>
      <c r="C1380" s="5">
        <v>36689</v>
      </c>
      <c r="D1380" s="4" t="s">
        <v>15</v>
      </c>
      <c r="E1380" s="4" t="s">
        <v>468</v>
      </c>
      <c r="F1380" s="4" t="s">
        <v>375</v>
      </c>
      <c r="G1380" s="4" t="s">
        <v>26</v>
      </c>
      <c r="H1380" s="4" t="s">
        <v>641</v>
      </c>
      <c r="I1380" s="4" t="s">
        <v>715</v>
      </c>
      <c r="J1380" s="4" t="s">
        <v>715</v>
      </c>
      <c r="K1380" s="5">
        <v>6362695</v>
      </c>
      <c r="L1380" s="5">
        <v>350803</v>
      </c>
      <c r="M1380" s="5">
        <v>19</v>
      </c>
      <c r="N1380" s="5">
        <v>1</v>
      </c>
      <c r="O1380" s="5">
        <v>0.6</v>
      </c>
      <c r="P1380" s="5"/>
    </row>
    <row r="1381" spans="1:16" x14ac:dyDescent="0.25">
      <c r="A1381" s="4" t="s">
        <v>54</v>
      </c>
      <c r="B1381" s="4" t="s">
        <v>423</v>
      </c>
      <c r="C1381" s="5">
        <v>36694</v>
      </c>
      <c r="D1381" s="4" t="s">
        <v>15</v>
      </c>
      <c r="E1381" s="4" t="s">
        <v>468</v>
      </c>
      <c r="F1381" s="4" t="s">
        <v>375</v>
      </c>
      <c r="G1381" s="4" t="s">
        <v>26</v>
      </c>
      <c r="H1381" s="4" t="s">
        <v>641</v>
      </c>
      <c r="I1381" s="4" t="s">
        <v>715</v>
      </c>
      <c r="J1381" s="4" t="s">
        <v>715</v>
      </c>
      <c r="K1381" s="5">
        <v>6362646</v>
      </c>
      <c r="L1381" s="5">
        <v>350854</v>
      </c>
      <c r="M1381" s="5">
        <v>19</v>
      </c>
      <c r="N1381" s="5">
        <v>1</v>
      </c>
      <c r="O1381" s="5">
        <v>0.43</v>
      </c>
      <c r="P1381" s="5"/>
    </row>
    <row r="1382" spans="1:16" x14ac:dyDescent="0.25">
      <c r="A1382" s="4" t="s">
        <v>21</v>
      </c>
      <c r="B1382" s="4" t="s">
        <v>423</v>
      </c>
      <c r="C1382" s="5">
        <v>36724</v>
      </c>
      <c r="D1382" s="4" t="s">
        <v>23</v>
      </c>
      <c r="E1382" s="4" t="s">
        <v>31</v>
      </c>
      <c r="F1382" s="4" t="s">
        <v>480</v>
      </c>
      <c r="G1382" s="4" t="s">
        <v>26</v>
      </c>
      <c r="H1382" s="4" t="s">
        <v>18</v>
      </c>
      <c r="I1382" s="4" t="s">
        <v>715</v>
      </c>
      <c r="J1382" s="4" t="s">
        <v>715</v>
      </c>
      <c r="K1382" s="5">
        <v>6290047</v>
      </c>
      <c r="L1382" s="5">
        <v>329371</v>
      </c>
      <c r="M1382" s="5">
        <v>19</v>
      </c>
      <c r="N1382" s="5">
        <v>1</v>
      </c>
      <c r="O1382" s="5">
        <v>7.0000000000000007E-2</v>
      </c>
      <c r="P1382" s="5"/>
    </row>
    <row r="1383" spans="1:16" x14ac:dyDescent="0.25">
      <c r="A1383" s="4" t="s">
        <v>21</v>
      </c>
      <c r="B1383" s="4" t="s">
        <v>423</v>
      </c>
      <c r="C1383" s="5">
        <v>36725</v>
      </c>
      <c r="D1383" s="4" t="s">
        <v>23</v>
      </c>
      <c r="E1383" s="4" t="s">
        <v>31</v>
      </c>
      <c r="F1383" s="4" t="s">
        <v>483</v>
      </c>
      <c r="G1383" s="4" t="s">
        <v>26</v>
      </c>
      <c r="H1383" s="4" t="s">
        <v>18</v>
      </c>
      <c r="I1383" s="4" t="s">
        <v>715</v>
      </c>
      <c r="J1383" s="4" t="s">
        <v>715</v>
      </c>
      <c r="K1383" s="5">
        <v>6295736</v>
      </c>
      <c r="L1383" s="5">
        <v>333311</v>
      </c>
      <c r="M1383" s="5">
        <v>19</v>
      </c>
      <c r="N1383" s="5">
        <v>1</v>
      </c>
      <c r="O1383" s="5">
        <v>0.15</v>
      </c>
      <c r="P1383" s="5"/>
    </row>
    <row r="1384" spans="1:16" x14ac:dyDescent="0.25">
      <c r="A1384" s="4" t="s">
        <v>21</v>
      </c>
      <c r="B1384" s="4" t="s">
        <v>423</v>
      </c>
      <c r="C1384" s="5">
        <v>36726</v>
      </c>
      <c r="D1384" s="4" t="s">
        <v>23</v>
      </c>
      <c r="E1384" s="4" t="s">
        <v>31</v>
      </c>
      <c r="F1384" s="4" t="s">
        <v>480</v>
      </c>
      <c r="G1384" s="4" t="s">
        <v>26</v>
      </c>
      <c r="H1384" s="4" t="s">
        <v>18</v>
      </c>
      <c r="I1384" s="4" t="s">
        <v>715</v>
      </c>
      <c r="J1384" s="4" t="s">
        <v>715</v>
      </c>
      <c r="K1384" s="5">
        <v>6289833</v>
      </c>
      <c r="L1384" s="5">
        <v>329780</v>
      </c>
      <c r="M1384" s="5">
        <v>19</v>
      </c>
      <c r="N1384" s="5">
        <v>1</v>
      </c>
      <c r="O1384" s="5">
        <v>0.09</v>
      </c>
      <c r="P1384" s="5"/>
    </row>
    <row r="1385" spans="1:16" x14ac:dyDescent="0.25">
      <c r="A1385" s="4" t="s">
        <v>21</v>
      </c>
      <c r="B1385" s="4" t="s">
        <v>423</v>
      </c>
      <c r="C1385" s="5">
        <v>36727</v>
      </c>
      <c r="D1385" s="4" t="s">
        <v>23</v>
      </c>
      <c r="E1385" s="4" t="s">
        <v>76</v>
      </c>
      <c r="F1385" s="4" t="s">
        <v>440</v>
      </c>
      <c r="G1385" s="4" t="s">
        <v>26</v>
      </c>
      <c r="H1385" s="4" t="s">
        <v>18</v>
      </c>
      <c r="I1385" s="4" t="s">
        <v>715</v>
      </c>
      <c r="J1385" s="4" t="s">
        <v>715</v>
      </c>
      <c r="K1385" s="5">
        <v>6271982</v>
      </c>
      <c r="L1385" s="5">
        <v>320420</v>
      </c>
      <c r="M1385" s="5">
        <v>19</v>
      </c>
      <c r="N1385" s="5">
        <v>1</v>
      </c>
      <c r="O1385" s="5">
        <v>1.02</v>
      </c>
      <c r="P1385" s="5"/>
    </row>
    <row r="1386" spans="1:16" x14ac:dyDescent="0.25">
      <c r="A1386" s="4" t="s">
        <v>13</v>
      </c>
      <c r="B1386" s="4" t="s">
        <v>423</v>
      </c>
      <c r="C1386" s="5">
        <v>36728</v>
      </c>
      <c r="D1386" s="4" t="s">
        <v>23</v>
      </c>
      <c r="E1386" s="4" t="s">
        <v>356</v>
      </c>
      <c r="F1386" s="4" t="s">
        <v>380</v>
      </c>
      <c r="G1386" s="4" t="s">
        <v>26</v>
      </c>
      <c r="H1386" s="4" t="s">
        <v>27</v>
      </c>
      <c r="I1386" s="4" t="s">
        <v>715</v>
      </c>
      <c r="J1386" s="4" t="s">
        <v>715</v>
      </c>
      <c r="K1386" s="5">
        <v>6259414</v>
      </c>
      <c r="L1386" s="5">
        <v>336785</v>
      </c>
      <c r="M1386" s="5">
        <v>19</v>
      </c>
      <c r="N1386" s="5">
        <v>1</v>
      </c>
      <c r="O1386" s="5">
        <v>0.38</v>
      </c>
      <c r="P1386" s="5"/>
    </row>
    <row r="1387" spans="1:16" x14ac:dyDescent="0.25">
      <c r="A1387" s="4" t="s">
        <v>13</v>
      </c>
      <c r="B1387" s="4" t="s">
        <v>423</v>
      </c>
      <c r="C1387" s="5">
        <v>36729</v>
      </c>
      <c r="D1387" s="4" t="s">
        <v>23</v>
      </c>
      <c r="E1387" s="4" t="s">
        <v>356</v>
      </c>
      <c r="F1387" s="4" t="s">
        <v>380</v>
      </c>
      <c r="G1387" s="4" t="s">
        <v>26</v>
      </c>
      <c r="H1387" s="4" t="s">
        <v>27</v>
      </c>
      <c r="I1387" s="4" t="s">
        <v>715</v>
      </c>
      <c r="J1387" s="4" t="s">
        <v>715</v>
      </c>
      <c r="K1387" s="5">
        <v>6259447</v>
      </c>
      <c r="L1387" s="5">
        <v>337297</v>
      </c>
      <c r="M1387" s="5">
        <v>19</v>
      </c>
      <c r="N1387" s="5">
        <v>1</v>
      </c>
      <c r="O1387" s="5">
        <v>0.41</v>
      </c>
      <c r="P1387" s="5"/>
    </row>
    <row r="1388" spans="1:16" x14ac:dyDescent="0.25">
      <c r="A1388" s="4" t="s">
        <v>21</v>
      </c>
      <c r="B1388" s="4" t="s">
        <v>423</v>
      </c>
      <c r="C1388" s="5">
        <v>36730</v>
      </c>
      <c r="D1388" s="4" t="s">
        <v>23</v>
      </c>
      <c r="E1388" s="4" t="s">
        <v>76</v>
      </c>
      <c r="F1388" s="4" t="s">
        <v>440</v>
      </c>
      <c r="G1388" s="4" t="s">
        <v>26</v>
      </c>
      <c r="H1388" s="4" t="s">
        <v>18</v>
      </c>
      <c r="I1388" s="4" t="s">
        <v>715</v>
      </c>
      <c r="J1388" s="4" t="s">
        <v>715</v>
      </c>
      <c r="K1388" s="5">
        <v>6272234</v>
      </c>
      <c r="L1388" s="5">
        <v>320343</v>
      </c>
      <c r="M1388" s="5">
        <v>19</v>
      </c>
      <c r="N1388" s="5">
        <v>1</v>
      </c>
      <c r="O1388" s="5">
        <v>1.06</v>
      </c>
      <c r="P1388" s="5"/>
    </row>
    <row r="1389" spans="1:16" x14ac:dyDescent="0.25">
      <c r="A1389" s="4" t="s">
        <v>21</v>
      </c>
      <c r="B1389" s="4" t="s">
        <v>423</v>
      </c>
      <c r="C1389" s="5">
        <v>36745</v>
      </c>
      <c r="D1389" s="4" t="s">
        <v>23</v>
      </c>
      <c r="E1389" s="4" t="s">
        <v>28</v>
      </c>
      <c r="F1389" s="4" t="s">
        <v>441</v>
      </c>
      <c r="G1389" s="4" t="s">
        <v>26</v>
      </c>
      <c r="H1389" s="4" t="s">
        <v>18</v>
      </c>
      <c r="I1389" s="4" t="s">
        <v>715</v>
      </c>
      <c r="J1389" s="4" t="s">
        <v>715</v>
      </c>
      <c r="K1389" s="5">
        <v>6264948</v>
      </c>
      <c r="L1389" s="5">
        <v>333924</v>
      </c>
      <c r="M1389" s="5">
        <v>19</v>
      </c>
      <c r="N1389" s="5">
        <v>1</v>
      </c>
      <c r="O1389" s="5">
        <v>0.14000000000000001</v>
      </c>
      <c r="P1389" s="5"/>
    </row>
    <row r="1390" spans="1:16" x14ac:dyDescent="0.25">
      <c r="A1390" s="4" t="s">
        <v>13</v>
      </c>
      <c r="B1390" s="4" t="s">
        <v>423</v>
      </c>
      <c r="C1390" s="5">
        <v>36753</v>
      </c>
      <c r="D1390" s="4" t="s">
        <v>23</v>
      </c>
      <c r="E1390" s="4" t="s">
        <v>73</v>
      </c>
      <c r="F1390" s="4" t="s">
        <v>73</v>
      </c>
      <c r="G1390" s="4" t="s">
        <v>26</v>
      </c>
      <c r="H1390" s="4" t="s">
        <v>27</v>
      </c>
      <c r="I1390" s="4" t="s">
        <v>715</v>
      </c>
      <c r="J1390" s="4" t="s">
        <v>715</v>
      </c>
      <c r="K1390" s="5">
        <v>6273076</v>
      </c>
      <c r="L1390" s="5">
        <v>323121</v>
      </c>
      <c r="M1390" s="5">
        <v>19</v>
      </c>
      <c r="N1390" s="5">
        <v>8</v>
      </c>
      <c r="O1390" s="5">
        <v>49.2</v>
      </c>
      <c r="P1390" s="5"/>
    </row>
    <row r="1391" spans="1:16" x14ac:dyDescent="0.25">
      <c r="A1391" s="4" t="s">
        <v>13</v>
      </c>
      <c r="B1391" s="4" t="s">
        <v>423</v>
      </c>
      <c r="C1391" s="5">
        <v>36756</v>
      </c>
      <c r="D1391" s="4" t="s">
        <v>23</v>
      </c>
      <c r="E1391" s="4" t="s">
        <v>25</v>
      </c>
      <c r="F1391" s="4" t="s">
        <v>455</v>
      </c>
      <c r="G1391" s="4" t="s">
        <v>26</v>
      </c>
      <c r="H1391" s="4" t="s">
        <v>27</v>
      </c>
      <c r="I1391" s="4" t="s">
        <v>715</v>
      </c>
      <c r="J1391" s="4" t="s">
        <v>715</v>
      </c>
      <c r="K1391" s="5">
        <v>6277148</v>
      </c>
      <c r="L1391" s="5">
        <v>289071</v>
      </c>
      <c r="M1391" s="5">
        <v>19</v>
      </c>
      <c r="N1391" s="5">
        <v>1</v>
      </c>
      <c r="O1391" s="5">
        <v>1.59</v>
      </c>
      <c r="P1391" s="5"/>
    </row>
    <row r="1392" spans="1:16" x14ac:dyDescent="0.25">
      <c r="A1392" s="4" t="s">
        <v>21</v>
      </c>
      <c r="B1392" s="4" t="s">
        <v>423</v>
      </c>
      <c r="C1392" s="5">
        <v>36757</v>
      </c>
      <c r="D1392" s="4" t="s">
        <v>23</v>
      </c>
      <c r="E1392" s="4" t="s">
        <v>25</v>
      </c>
      <c r="F1392" s="4" t="s">
        <v>493</v>
      </c>
      <c r="G1392" s="4" t="s">
        <v>26</v>
      </c>
      <c r="H1392" s="4" t="s">
        <v>18</v>
      </c>
      <c r="I1392" s="4" t="s">
        <v>715</v>
      </c>
      <c r="J1392" s="4" t="s">
        <v>715</v>
      </c>
      <c r="K1392" s="5">
        <v>6270566</v>
      </c>
      <c r="L1392" s="5">
        <v>306779</v>
      </c>
      <c r="M1392" s="5">
        <v>19</v>
      </c>
      <c r="N1392" s="5">
        <v>1</v>
      </c>
      <c r="O1392" s="5">
        <v>2.6</v>
      </c>
      <c r="P1392" s="5"/>
    </row>
    <row r="1393" spans="1:16" x14ac:dyDescent="0.25">
      <c r="A1393" s="4" t="s">
        <v>13</v>
      </c>
      <c r="B1393" s="4" t="s">
        <v>423</v>
      </c>
      <c r="C1393" s="5">
        <v>36758</v>
      </c>
      <c r="D1393" s="4" t="s">
        <v>23</v>
      </c>
      <c r="E1393" s="4" t="s">
        <v>357</v>
      </c>
      <c r="F1393" s="4" t="s">
        <v>453</v>
      </c>
      <c r="G1393" s="4" t="s">
        <v>26</v>
      </c>
      <c r="H1393" s="4" t="s">
        <v>27</v>
      </c>
      <c r="I1393" s="4" t="s">
        <v>715</v>
      </c>
      <c r="J1393" s="4" t="s">
        <v>715</v>
      </c>
      <c r="K1393" s="5">
        <v>6271226</v>
      </c>
      <c r="L1393" s="5">
        <v>335663</v>
      </c>
      <c r="M1393" s="5">
        <v>19</v>
      </c>
      <c r="N1393" s="5">
        <v>1</v>
      </c>
      <c r="O1393" s="5">
        <v>0.37</v>
      </c>
      <c r="P1393" s="5"/>
    </row>
    <row r="1394" spans="1:16" x14ac:dyDescent="0.25">
      <c r="A1394" s="4" t="s">
        <v>21</v>
      </c>
      <c r="B1394" s="4" t="s">
        <v>423</v>
      </c>
      <c r="C1394" s="5">
        <v>36759</v>
      </c>
      <c r="D1394" s="4" t="s">
        <v>23</v>
      </c>
      <c r="E1394" s="4" t="s">
        <v>25</v>
      </c>
      <c r="F1394" s="4" t="s">
        <v>494</v>
      </c>
      <c r="G1394" s="4" t="s">
        <v>26</v>
      </c>
      <c r="H1394" s="4" t="s">
        <v>128</v>
      </c>
      <c r="I1394" s="4" t="s">
        <v>715</v>
      </c>
      <c r="J1394" s="4" t="s">
        <v>638</v>
      </c>
      <c r="K1394" s="5">
        <v>6277515</v>
      </c>
      <c r="L1394" s="5">
        <v>297623</v>
      </c>
      <c r="M1394" s="5">
        <v>19</v>
      </c>
      <c r="N1394" s="5">
        <v>1</v>
      </c>
      <c r="O1394" s="5">
        <v>8.07</v>
      </c>
      <c r="P1394" s="5"/>
    </row>
    <row r="1395" spans="1:16" x14ac:dyDescent="0.25">
      <c r="A1395" s="4" t="s">
        <v>13</v>
      </c>
      <c r="B1395" s="4" t="s">
        <v>423</v>
      </c>
      <c r="C1395" s="5">
        <v>36760</v>
      </c>
      <c r="D1395" s="4" t="s">
        <v>23</v>
      </c>
      <c r="E1395" s="4" t="s">
        <v>31</v>
      </c>
      <c r="F1395" s="4" t="s">
        <v>495</v>
      </c>
      <c r="G1395" s="4" t="s">
        <v>26</v>
      </c>
      <c r="H1395" s="4" t="s">
        <v>27</v>
      </c>
      <c r="I1395" s="4" t="s">
        <v>715</v>
      </c>
      <c r="J1395" s="4" t="s">
        <v>715</v>
      </c>
      <c r="K1395" s="5">
        <v>6293472</v>
      </c>
      <c r="L1395" s="5">
        <v>332184</v>
      </c>
      <c r="M1395" s="5">
        <v>19</v>
      </c>
      <c r="N1395" s="5">
        <v>1</v>
      </c>
      <c r="O1395" s="5">
        <v>0.3</v>
      </c>
      <c r="P1395" s="5"/>
    </row>
    <row r="1396" spans="1:16" x14ac:dyDescent="0.25">
      <c r="A1396" s="4" t="s">
        <v>13</v>
      </c>
      <c r="B1396" s="4" t="s">
        <v>423</v>
      </c>
      <c r="C1396" s="5">
        <v>36761</v>
      </c>
      <c r="D1396" s="4" t="s">
        <v>23</v>
      </c>
      <c r="E1396" s="4" t="s">
        <v>357</v>
      </c>
      <c r="F1396" s="4" t="s">
        <v>361</v>
      </c>
      <c r="G1396" s="4" t="s">
        <v>26</v>
      </c>
      <c r="H1396" s="4" t="s">
        <v>27</v>
      </c>
      <c r="I1396" s="4" t="s">
        <v>715</v>
      </c>
      <c r="J1396" s="4" t="s">
        <v>715</v>
      </c>
      <c r="K1396" s="5">
        <v>6271004</v>
      </c>
      <c r="L1396" s="5">
        <v>335873</v>
      </c>
      <c r="M1396" s="5">
        <v>19</v>
      </c>
      <c r="N1396" s="5">
        <v>1</v>
      </c>
      <c r="O1396" s="5">
        <v>0.37</v>
      </c>
      <c r="P1396" s="5"/>
    </row>
    <row r="1397" spans="1:16" x14ac:dyDescent="0.25">
      <c r="A1397" s="4" t="s">
        <v>13</v>
      </c>
      <c r="B1397" s="4" t="s">
        <v>423</v>
      </c>
      <c r="C1397" s="5">
        <v>36762</v>
      </c>
      <c r="D1397" s="4" t="s">
        <v>23</v>
      </c>
      <c r="E1397" s="4" t="s">
        <v>367</v>
      </c>
      <c r="F1397" s="4" t="s">
        <v>367</v>
      </c>
      <c r="G1397" s="4" t="s">
        <v>26</v>
      </c>
      <c r="H1397" s="4" t="s">
        <v>27</v>
      </c>
      <c r="I1397" s="4" t="s">
        <v>715</v>
      </c>
      <c r="J1397" s="4" t="s">
        <v>715</v>
      </c>
      <c r="K1397" s="5">
        <v>6275379</v>
      </c>
      <c r="L1397" s="5">
        <v>337223</v>
      </c>
      <c r="M1397" s="5">
        <v>19</v>
      </c>
      <c r="N1397" s="5">
        <v>1</v>
      </c>
      <c r="O1397" s="5">
        <v>0.41</v>
      </c>
      <c r="P1397" s="5"/>
    </row>
    <row r="1398" spans="1:16" x14ac:dyDescent="0.25">
      <c r="A1398" s="4" t="s">
        <v>13</v>
      </c>
      <c r="B1398" s="4" t="s">
        <v>423</v>
      </c>
      <c r="C1398" s="5">
        <v>36763</v>
      </c>
      <c r="D1398" s="4" t="s">
        <v>23</v>
      </c>
      <c r="E1398" s="4" t="s">
        <v>357</v>
      </c>
      <c r="F1398" s="4" t="s">
        <v>453</v>
      </c>
      <c r="G1398" s="4" t="s">
        <v>26</v>
      </c>
      <c r="H1398" s="4" t="s">
        <v>27</v>
      </c>
      <c r="I1398" s="4" t="s">
        <v>715</v>
      </c>
      <c r="J1398" s="4" t="s">
        <v>715</v>
      </c>
      <c r="K1398" s="5">
        <v>6270985</v>
      </c>
      <c r="L1398" s="5">
        <v>335645</v>
      </c>
      <c r="M1398" s="5">
        <v>19</v>
      </c>
      <c r="N1398" s="5">
        <v>1</v>
      </c>
      <c r="O1398" s="5">
        <v>0.36</v>
      </c>
      <c r="P1398" s="5"/>
    </row>
    <row r="1399" spans="1:16" x14ac:dyDescent="0.25">
      <c r="A1399" s="4" t="s">
        <v>13</v>
      </c>
      <c r="B1399" s="4" t="s">
        <v>423</v>
      </c>
      <c r="C1399" s="5">
        <v>36764</v>
      </c>
      <c r="D1399" s="4" t="s">
        <v>23</v>
      </c>
      <c r="E1399" s="4" t="s">
        <v>357</v>
      </c>
      <c r="F1399" s="4" t="s">
        <v>361</v>
      </c>
      <c r="G1399" s="4" t="s">
        <v>26</v>
      </c>
      <c r="H1399" s="4" t="s">
        <v>27</v>
      </c>
      <c r="I1399" s="4" t="s">
        <v>715</v>
      </c>
      <c r="J1399" s="4" t="s">
        <v>715</v>
      </c>
      <c r="K1399" s="5">
        <v>6270816</v>
      </c>
      <c r="L1399" s="5">
        <v>335998</v>
      </c>
      <c r="M1399" s="5">
        <v>19</v>
      </c>
      <c r="N1399" s="5">
        <v>1</v>
      </c>
      <c r="O1399" s="5">
        <v>0.4</v>
      </c>
      <c r="P1399" s="5"/>
    </row>
    <row r="1400" spans="1:16" x14ac:dyDescent="0.25">
      <c r="A1400" s="4" t="s">
        <v>13</v>
      </c>
      <c r="B1400" s="4" t="s">
        <v>423</v>
      </c>
      <c r="C1400" s="5">
        <v>36765</v>
      </c>
      <c r="D1400" s="4" t="s">
        <v>23</v>
      </c>
      <c r="E1400" s="4" t="s">
        <v>357</v>
      </c>
      <c r="F1400" s="4" t="s">
        <v>361</v>
      </c>
      <c r="G1400" s="4" t="s">
        <v>26</v>
      </c>
      <c r="H1400" s="4" t="s">
        <v>27</v>
      </c>
      <c r="I1400" s="4" t="s">
        <v>715</v>
      </c>
      <c r="J1400" s="4" t="s">
        <v>715</v>
      </c>
      <c r="K1400" s="5">
        <v>6271245</v>
      </c>
      <c r="L1400" s="5">
        <v>335980</v>
      </c>
      <c r="M1400" s="5">
        <v>19</v>
      </c>
      <c r="N1400" s="5">
        <v>1</v>
      </c>
      <c r="O1400" s="5">
        <v>0.38</v>
      </c>
      <c r="P1400" s="5"/>
    </row>
    <row r="1401" spans="1:16" x14ac:dyDescent="0.25">
      <c r="A1401" s="4" t="s">
        <v>13</v>
      </c>
      <c r="B1401" s="4" t="s">
        <v>423</v>
      </c>
      <c r="C1401" s="5">
        <v>36766</v>
      </c>
      <c r="D1401" s="4" t="s">
        <v>23</v>
      </c>
      <c r="E1401" s="4" t="s">
        <v>25</v>
      </c>
      <c r="F1401" s="4" t="s">
        <v>147</v>
      </c>
      <c r="G1401" s="4" t="s">
        <v>26</v>
      </c>
      <c r="H1401" s="4" t="s">
        <v>27</v>
      </c>
      <c r="I1401" s="4" t="s">
        <v>715</v>
      </c>
      <c r="J1401" s="4" t="s">
        <v>715</v>
      </c>
      <c r="K1401" s="5">
        <v>6276279</v>
      </c>
      <c r="L1401" s="5">
        <v>291857</v>
      </c>
      <c r="M1401" s="5">
        <v>19</v>
      </c>
      <c r="N1401" s="5">
        <v>1</v>
      </c>
      <c r="O1401" s="5">
        <v>0.41</v>
      </c>
      <c r="P1401" s="5"/>
    </row>
    <row r="1402" spans="1:16" x14ac:dyDescent="0.25">
      <c r="A1402" s="4" t="s">
        <v>21</v>
      </c>
      <c r="B1402" s="4" t="s">
        <v>423</v>
      </c>
      <c r="C1402" s="5">
        <v>36767</v>
      </c>
      <c r="D1402" s="4" t="s">
        <v>23</v>
      </c>
      <c r="E1402" s="4" t="s">
        <v>25</v>
      </c>
      <c r="F1402" s="4" t="s">
        <v>147</v>
      </c>
      <c r="G1402" s="4" t="s">
        <v>26</v>
      </c>
      <c r="H1402" s="4" t="s">
        <v>27</v>
      </c>
      <c r="I1402" s="4" t="s">
        <v>715</v>
      </c>
      <c r="J1402" s="4" t="s">
        <v>715</v>
      </c>
      <c r="K1402" s="5">
        <v>6275774</v>
      </c>
      <c r="L1402" s="5">
        <v>292366</v>
      </c>
      <c r="M1402" s="5">
        <v>19</v>
      </c>
      <c r="N1402" s="5">
        <v>1</v>
      </c>
      <c r="O1402" s="5">
        <v>1.54</v>
      </c>
      <c r="P1402" s="5"/>
    </row>
    <row r="1403" spans="1:16" x14ac:dyDescent="0.25">
      <c r="A1403" s="4" t="s">
        <v>21</v>
      </c>
      <c r="B1403" s="4" t="s">
        <v>423</v>
      </c>
      <c r="C1403" s="5">
        <v>36768</v>
      </c>
      <c r="D1403" s="4" t="s">
        <v>23</v>
      </c>
      <c r="E1403" s="4" t="s">
        <v>381</v>
      </c>
      <c r="F1403" s="4" t="s">
        <v>382</v>
      </c>
      <c r="G1403" s="4" t="s">
        <v>26</v>
      </c>
      <c r="H1403" s="4" t="s">
        <v>18</v>
      </c>
      <c r="I1403" s="4" t="s">
        <v>715</v>
      </c>
      <c r="J1403" s="4" t="s">
        <v>715</v>
      </c>
      <c r="K1403" s="5">
        <v>6261270</v>
      </c>
      <c r="L1403" s="5">
        <v>326858</v>
      </c>
      <c r="M1403" s="5">
        <v>19</v>
      </c>
      <c r="N1403" s="5">
        <v>1</v>
      </c>
      <c r="O1403" s="5">
        <v>0.2</v>
      </c>
      <c r="P1403" s="5"/>
    </row>
    <row r="1404" spans="1:16" x14ac:dyDescent="0.25">
      <c r="A1404" s="4" t="s">
        <v>21</v>
      </c>
      <c r="B1404" s="4" t="s">
        <v>423</v>
      </c>
      <c r="C1404" s="5">
        <v>36769</v>
      </c>
      <c r="D1404" s="4" t="s">
        <v>23</v>
      </c>
      <c r="E1404" s="4" t="s">
        <v>28</v>
      </c>
      <c r="F1404" s="4" t="s">
        <v>77</v>
      </c>
      <c r="G1404" s="4" t="s">
        <v>26</v>
      </c>
      <c r="H1404" s="4" t="s">
        <v>128</v>
      </c>
      <c r="I1404" s="4" t="s">
        <v>715</v>
      </c>
      <c r="J1404" s="4" t="s">
        <v>638</v>
      </c>
      <c r="K1404" s="5">
        <v>6264177</v>
      </c>
      <c r="L1404" s="5">
        <v>341764</v>
      </c>
      <c r="M1404" s="5">
        <v>19</v>
      </c>
      <c r="N1404" s="5">
        <v>1</v>
      </c>
      <c r="O1404" s="5">
        <v>3.6</v>
      </c>
      <c r="P1404" s="5"/>
    </row>
    <row r="1405" spans="1:16" x14ac:dyDescent="0.25">
      <c r="A1405" s="4" t="s">
        <v>21</v>
      </c>
      <c r="B1405" s="4" t="s">
        <v>423</v>
      </c>
      <c r="C1405" s="5">
        <v>36770</v>
      </c>
      <c r="D1405" s="4" t="s">
        <v>23</v>
      </c>
      <c r="E1405" s="4" t="s">
        <v>25</v>
      </c>
      <c r="F1405" s="4" t="s">
        <v>496</v>
      </c>
      <c r="G1405" s="4" t="s">
        <v>26</v>
      </c>
      <c r="H1405" s="4" t="s">
        <v>18</v>
      </c>
      <c r="I1405" s="4" t="s">
        <v>715</v>
      </c>
      <c r="J1405" s="4" t="s">
        <v>715</v>
      </c>
      <c r="K1405" s="5">
        <v>6276866</v>
      </c>
      <c r="L1405" s="5">
        <v>295254</v>
      </c>
      <c r="M1405" s="5">
        <v>19</v>
      </c>
      <c r="N1405" s="5">
        <v>1</v>
      </c>
      <c r="O1405" s="5">
        <v>8.25</v>
      </c>
      <c r="P1405" s="5"/>
    </row>
    <row r="1406" spans="1:16" x14ac:dyDescent="0.25">
      <c r="A1406" s="4" t="s">
        <v>21</v>
      </c>
      <c r="B1406" s="4" t="s">
        <v>423</v>
      </c>
      <c r="C1406" s="5">
        <v>36771</v>
      </c>
      <c r="D1406" s="4" t="s">
        <v>23</v>
      </c>
      <c r="E1406" s="4" t="s">
        <v>76</v>
      </c>
      <c r="F1406" s="4" t="s">
        <v>456</v>
      </c>
      <c r="G1406" s="4" t="s">
        <v>26</v>
      </c>
      <c r="H1406" s="4" t="s">
        <v>18</v>
      </c>
      <c r="I1406" s="4" t="s">
        <v>715</v>
      </c>
      <c r="J1406" s="4" t="s">
        <v>715</v>
      </c>
      <c r="K1406" s="5">
        <v>6269375</v>
      </c>
      <c r="L1406" s="5">
        <v>329227</v>
      </c>
      <c r="M1406" s="5">
        <v>19</v>
      </c>
      <c r="N1406" s="5">
        <v>1</v>
      </c>
      <c r="O1406" s="5">
        <v>1.6</v>
      </c>
      <c r="P1406" s="5"/>
    </row>
    <row r="1407" spans="1:16" x14ac:dyDescent="0.25">
      <c r="A1407" s="4" t="s">
        <v>13</v>
      </c>
      <c r="B1407" s="4" t="s">
        <v>423</v>
      </c>
      <c r="C1407" s="5">
        <v>36772</v>
      </c>
      <c r="D1407" s="4" t="s">
        <v>23</v>
      </c>
      <c r="E1407" s="4" t="s">
        <v>357</v>
      </c>
      <c r="F1407" s="4" t="s">
        <v>272</v>
      </c>
      <c r="G1407" s="4" t="s">
        <v>26</v>
      </c>
      <c r="H1407" s="4" t="s">
        <v>27</v>
      </c>
      <c r="I1407" s="4" t="s">
        <v>715</v>
      </c>
      <c r="J1407" s="4" t="s">
        <v>715</v>
      </c>
      <c r="K1407" s="5">
        <v>6278110</v>
      </c>
      <c r="L1407" s="5">
        <v>339280</v>
      </c>
      <c r="M1407" s="5">
        <v>19</v>
      </c>
      <c r="N1407" s="5">
        <v>1</v>
      </c>
      <c r="O1407" s="5">
        <v>0.4</v>
      </c>
      <c r="P1407" s="5"/>
    </row>
    <row r="1408" spans="1:16" x14ac:dyDescent="0.25">
      <c r="A1408" s="4" t="s">
        <v>21</v>
      </c>
      <c r="B1408" s="4" t="s">
        <v>423</v>
      </c>
      <c r="C1408" s="5">
        <v>36773</v>
      </c>
      <c r="D1408" s="4" t="s">
        <v>23</v>
      </c>
      <c r="E1408" s="4" t="s">
        <v>357</v>
      </c>
      <c r="F1408" s="4" t="s">
        <v>358</v>
      </c>
      <c r="G1408" s="4" t="s">
        <v>26</v>
      </c>
      <c r="H1408" s="4" t="s">
        <v>27</v>
      </c>
      <c r="I1408" s="4" t="s">
        <v>715</v>
      </c>
      <c r="J1408" s="4" t="s">
        <v>715</v>
      </c>
      <c r="K1408" s="5">
        <v>6275953</v>
      </c>
      <c r="L1408" s="5">
        <v>345866</v>
      </c>
      <c r="M1408" s="5">
        <v>19</v>
      </c>
      <c r="N1408" s="5">
        <v>1</v>
      </c>
      <c r="O1408" s="5">
        <v>1.2</v>
      </c>
      <c r="P1408" s="5"/>
    </row>
    <row r="1409" spans="1:16" x14ac:dyDescent="0.25">
      <c r="A1409" s="4" t="s">
        <v>21</v>
      </c>
      <c r="B1409" s="4" t="s">
        <v>423</v>
      </c>
      <c r="C1409" s="5">
        <v>36777</v>
      </c>
      <c r="D1409" s="4" t="s">
        <v>23</v>
      </c>
      <c r="E1409" s="4" t="s">
        <v>367</v>
      </c>
      <c r="F1409" s="4" t="s">
        <v>367</v>
      </c>
      <c r="G1409" s="4" t="s">
        <v>26</v>
      </c>
      <c r="H1409" s="4" t="s">
        <v>18</v>
      </c>
      <c r="I1409" s="4" t="s">
        <v>715</v>
      </c>
      <c r="J1409" s="4" t="s">
        <v>715</v>
      </c>
      <c r="K1409" s="5">
        <v>6277445</v>
      </c>
      <c r="L1409" s="5">
        <v>335586</v>
      </c>
      <c r="M1409" s="5">
        <v>19</v>
      </c>
      <c r="N1409" s="5">
        <v>1</v>
      </c>
      <c r="O1409" s="5">
        <v>1.65</v>
      </c>
      <c r="P1409" s="5"/>
    </row>
    <row r="1410" spans="1:16" x14ac:dyDescent="0.25">
      <c r="A1410" s="4" t="s">
        <v>21</v>
      </c>
      <c r="B1410" s="4" t="s">
        <v>423</v>
      </c>
      <c r="C1410" s="5">
        <v>36778</v>
      </c>
      <c r="D1410" s="4" t="s">
        <v>23</v>
      </c>
      <c r="E1410" s="4" t="s">
        <v>445</v>
      </c>
      <c r="F1410" s="4" t="s">
        <v>445</v>
      </c>
      <c r="G1410" s="4" t="s">
        <v>26</v>
      </c>
      <c r="H1410" s="4" t="s">
        <v>18</v>
      </c>
      <c r="I1410" s="4" t="s">
        <v>715</v>
      </c>
      <c r="J1410" s="4" t="s">
        <v>715</v>
      </c>
      <c r="K1410" s="5">
        <v>6312552</v>
      </c>
      <c r="L1410" s="5">
        <v>330266</v>
      </c>
      <c r="M1410" s="5">
        <v>19</v>
      </c>
      <c r="N1410" s="5">
        <v>1</v>
      </c>
      <c r="O1410" s="5">
        <v>3.6</v>
      </c>
      <c r="P1410" s="5"/>
    </row>
    <row r="1411" spans="1:16" x14ac:dyDescent="0.25">
      <c r="A1411" s="4" t="s">
        <v>21</v>
      </c>
      <c r="B1411" s="4" t="s">
        <v>423</v>
      </c>
      <c r="C1411" s="5">
        <v>36779</v>
      </c>
      <c r="D1411" s="4" t="s">
        <v>23</v>
      </c>
      <c r="E1411" s="4" t="s">
        <v>409</v>
      </c>
      <c r="F1411" s="4" t="s">
        <v>487</v>
      </c>
      <c r="G1411" s="4" t="s">
        <v>26</v>
      </c>
      <c r="H1411" s="4" t="s">
        <v>18</v>
      </c>
      <c r="I1411" s="4" t="s">
        <v>715</v>
      </c>
      <c r="J1411" s="4" t="s">
        <v>715</v>
      </c>
      <c r="K1411" s="5">
        <v>6272211</v>
      </c>
      <c r="L1411" s="5">
        <v>309870</v>
      </c>
      <c r="M1411" s="5">
        <v>19</v>
      </c>
      <c r="N1411" s="5">
        <v>1</v>
      </c>
      <c r="O1411" s="5">
        <v>1.1000000000000001</v>
      </c>
      <c r="P1411" s="5"/>
    </row>
    <row r="1412" spans="1:16" x14ac:dyDescent="0.25">
      <c r="A1412" s="4" t="s">
        <v>21</v>
      </c>
      <c r="B1412" s="4" t="s">
        <v>423</v>
      </c>
      <c r="C1412" s="5">
        <v>36780</v>
      </c>
      <c r="D1412" s="4" t="s">
        <v>23</v>
      </c>
      <c r="E1412" s="4" t="s">
        <v>25</v>
      </c>
      <c r="F1412" s="4" t="s">
        <v>497</v>
      </c>
      <c r="G1412" s="4" t="s">
        <v>26</v>
      </c>
      <c r="H1412" s="4" t="s">
        <v>18</v>
      </c>
      <c r="I1412" s="4" t="s">
        <v>715</v>
      </c>
      <c r="J1412" s="4" t="s">
        <v>715</v>
      </c>
      <c r="K1412" s="5">
        <v>6275804</v>
      </c>
      <c r="L1412" s="5">
        <v>290684</v>
      </c>
      <c r="M1412" s="5">
        <v>19</v>
      </c>
      <c r="N1412" s="5">
        <v>1</v>
      </c>
      <c r="O1412" s="5">
        <v>3.7</v>
      </c>
      <c r="P1412" s="5"/>
    </row>
    <row r="1413" spans="1:16" x14ac:dyDescent="0.25">
      <c r="A1413" s="4" t="s">
        <v>21</v>
      </c>
      <c r="B1413" s="4" t="s">
        <v>423</v>
      </c>
      <c r="C1413" s="5">
        <v>36781</v>
      </c>
      <c r="D1413" s="4" t="s">
        <v>23</v>
      </c>
      <c r="E1413" s="4" t="s">
        <v>445</v>
      </c>
      <c r="F1413" s="4" t="s">
        <v>444</v>
      </c>
      <c r="G1413" s="4" t="s">
        <v>26</v>
      </c>
      <c r="H1413" s="4" t="s">
        <v>18</v>
      </c>
      <c r="I1413" s="4" t="s">
        <v>715</v>
      </c>
      <c r="J1413" s="4" t="s">
        <v>715</v>
      </c>
      <c r="K1413" s="5">
        <v>6312158</v>
      </c>
      <c r="L1413" s="5">
        <v>329685</v>
      </c>
      <c r="M1413" s="5">
        <v>19</v>
      </c>
      <c r="N1413" s="5">
        <v>1</v>
      </c>
      <c r="O1413" s="5">
        <v>1</v>
      </c>
      <c r="P1413" s="5"/>
    </row>
    <row r="1414" spans="1:16" x14ac:dyDescent="0.25">
      <c r="A1414" s="4" t="s">
        <v>21</v>
      </c>
      <c r="B1414" s="4" t="s">
        <v>423</v>
      </c>
      <c r="C1414" s="5">
        <v>36782</v>
      </c>
      <c r="D1414" s="4" t="s">
        <v>23</v>
      </c>
      <c r="E1414" s="4" t="s">
        <v>25</v>
      </c>
      <c r="F1414" s="4" t="s">
        <v>147</v>
      </c>
      <c r="G1414" s="4" t="s">
        <v>26</v>
      </c>
      <c r="H1414" s="4" t="s">
        <v>18</v>
      </c>
      <c r="I1414" s="4" t="s">
        <v>715</v>
      </c>
      <c r="J1414" s="4" t="s">
        <v>715</v>
      </c>
      <c r="K1414" s="5">
        <v>6278146</v>
      </c>
      <c r="L1414" s="5">
        <v>290607</v>
      </c>
      <c r="M1414" s="5">
        <v>19</v>
      </c>
      <c r="N1414" s="5">
        <v>1</v>
      </c>
      <c r="O1414" s="5">
        <v>1.05</v>
      </c>
      <c r="P1414" s="5"/>
    </row>
    <row r="1415" spans="1:16" x14ac:dyDescent="0.25">
      <c r="A1415" s="4" t="s">
        <v>21</v>
      </c>
      <c r="B1415" s="4" t="s">
        <v>423</v>
      </c>
      <c r="C1415" s="5">
        <v>36783</v>
      </c>
      <c r="D1415" s="4" t="s">
        <v>23</v>
      </c>
      <c r="E1415" s="4" t="s">
        <v>25</v>
      </c>
      <c r="F1415" s="4" t="s">
        <v>497</v>
      </c>
      <c r="G1415" s="4" t="s">
        <v>26</v>
      </c>
      <c r="H1415" s="4" t="s">
        <v>18</v>
      </c>
      <c r="I1415" s="4" t="s">
        <v>715</v>
      </c>
      <c r="J1415" s="4" t="s">
        <v>715</v>
      </c>
      <c r="K1415" s="5">
        <v>6274613</v>
      </c>
      <c r="L1415" s="5">
        <v>285023</v>
      </c>
      <c r="M1415" s="5">
        <v>19</v>
      </c>
      <c r="N1415" s="5">
        <v>1</v>
      </c>
      <c r="O1415" s="5">
        <v>1.1000000000000001</v>
      </c>
      <c r="P1415" s="5"/>
    </row>
    <row r="1416" spans="1:16" x14ac:dyDescent="0.25">
      <c r="A1416" s="4" t="s">
        <v>21</v>
      </c>
      <c r="B1416" s="4" t="s">
        <v>423</v>
      </c>
      <c r="C1416" s="5">
        <v>36784</v>
      </c>
      <c r="D1416" s="4" t="s">
        <v>23</v>
      </c>
      <c r="E1416" s="4" t="s">
        <v>445</v>
      </c>
      <c r="F1416" s="4" t="s">
        <v>444</v>
      </c>
      <c r="G1416" s="4" t="s">
        <v>26</v>
      </c>
      <c r="H1416" s="4" t="s">
        <v>18</v>
      </c>
      <c r="I1416" s="4" t="s">
        <v>715</v>
      </c>
      <c r="J1416" s="4" t="s">
        <v>715</v>
      </c>
      <c r="K1416" s="5">
        <v>6312212</v>
      </c>
      <c r="L1416" s="5">
        <v>329384</v>
      </c>
      <c r="M1416" s="5">
        <v>19</v>
      </c>
      <c r="N1416" s="5">
        <v>1</v>
      </c>
      <c r="O1416" s="5">
        <v>1</v>
      </c>
      <c r="P1416" s="5"/>
    </row>
    <row r="1417" spans="1:16" x14ac:dyDescent="0.25">
      <c r="A1417" s="4" t="s">
        <v>21</v>
      </c>
      <c r="B1417" s="4" t="s">
        <v>423</v>
      </c>
      <c r="C1417" s="5">
        <v>36785</v>
      </c>
      <c r="D1417" s="4" t="s">
        <v>23</v>
      </c>
      <c r="E1417" s="4" t="s">
        <v>25</v>
      </c>
      <c r="F1417" s="4" t="s">
        <v>498</v>
      </c>
      <c r="G1417" s="4" t="s">
        <v>26</v>
      </c>
      <c r="H1417" s="4" t="s">
        <v>128</v>
      </c>
      <c r="I1417" s="4" t="s">
        <v>715</v>
      </c>
      <c r="J1417" s="4" t="s">
        <v>638</v>
      </c>
      <c r="K1417" s="5">
        <v>6273117</v>
      </c>
      <c r="L1417" s="5">
        <v>286948</v>
      </c>
      <c r="M1417" s="5">
        <v>19</v>
      </c>
      <c r="N1417" s="5">
        <v>1</v>
      </c>
      <c r="O1417" s="5">
        <v>8.16</v>
      </c>
      <c r="P1417" s="5"/>
    </row>
    <row r="1418" spans="1:16" x14ac:dyDescent="0.25">
      <c r="A1418" s="4" t="s">
        <v>21</v>
      </c>
      <c r="B1418" s="4" t="s">
        <v>423</v>
      </c>
      <c r="C1418" s="5">
        <v>36786</v>
      </c>
      <c r="D1418" s="4" t="s">
        <v>23</v>
      </c>
      <c r="E1418" s="4" t="s">
        <v>445</v>
      </c>
      <c r="F1418" s="4" t="s">
        <v>444</v>
      </c>
      <c r="G1418" s="4" t="s">
        <v>26</v>
      </c>
      <c r="H1418" s="4" t="s">
        <v>18</v>
      </c>
      <c r="I1418" s="4" t="s">
        <v>715</v>
      </c>
      <c r="J1418" s="4" t="s">
        <v>715</v>
      </c>
      <c r="K1418" s="5">
        <v>6312523</v>
      </c>
      <c r="L1418" s="5">
        <v>329435</v>
      </c>
      <c r="M1418" s="5">
        <v>19</v>
      </c>
      <c r="N1418" s="5">
        <v>1</v>
      </c>
      <c r="O1418" s="5">
        <v>1</v>
      </c>
      <c r="P1418" s="5"/>
    </row>
    <row r="1419" spans="1:16" x14ac:dyDescent="0.25">
      <c r="A1419" s="4" t="s">
        <v>21</v>
      </c>
      <c r="B1419" s="4" t="s">
        <v>423</v>
      </c>
      <c r="C1419" s="5">
        <v>36787</v>
      </c>
      <c r="D1419" s="4" t="s">
        <v>23</v>
      </c>
      <c r="E1419" s="4" t="s">
        <v>25</v>
      </c>
      <c r="F1419" s="4" t="s">
        <v>345</v>
      </c>
      <c r="G1419" s="4" t="s">
        <v>26</v>
      </c>
      <c r="H1419" s="4" t="s">
        <v>18</v>
      </c>
      <c r="I1419" s="4" t="s">
        <v>715</v>
      </c>
      <c r="J1419" s="4" t="s">
        <v>715</v>
      </c>
      <c r="K1419" s="5">
        <v>6272869</v>
      </c>
      <c r="L1419" s="5">
        <v>301058</v>
      </c>
      <c r="M1419" s="5">
        <v>19</v>
      </c>
      <c r="N1419" s="5">
        <v>1</v>
      </c>
      <c r="O1419" s="5">
        <v>1.62</v>
      </c>
      <c r="P1419" s="5"/>
    </row>
    <row r="1420" spans="1:16" x14ac:dyDescent="0.25">
      <c r="A1420" s="4" t="s">
        <v>21</v>
      </c>
      <c r="B1420" s="4" t="s">
        <v>423</v>
      </c>
      <c r="C1420" s="5">
        <v>36788</v>
      </c>
      <c r="D1420" s="4" t="s">
        <v>23</v>
      </c>
      <c r="E1420" s="4" t="s">
        <v>25</v>
      </c>
      <c r="F1420" s="4" t="s">
        <v>147</v>
      </c>
      <c r="G1420" s="4" t="s">
        <v>26</v>
      </c>
      <c r="H1420" s="4" t="s">
        <v>18</v>
      </c>
      <c r="I1420" s="4" t="s">
        <v>715</v>
      </c>
      <c r="J1420" s="4" t="s">
        <v>715</v>
      </c>
      <c r="K1420" s="5">
        <v>6277355</v>
      </c>
      <c r="L1420" s="5">
        <v>290890</v>
      </c>
      <c r="M1420" s="5">
        <v>19</v>
      </c>
      <c r="N1420" s="5">
        <v>1</v>
      </c>
      <c r="O1420" s="5">
        <v>1.1599999999999999</v>
      </c>
      <c r="P1420" s="5"/>
    </row>
    <row r="1421" spans="1:16" x14ac:dyDescent="0.25">
      <c r="A1421" s="4" t="s">
        <v>21</v>
      </c>
      <c r="B1421" s="4" t="s">
        <v>423</v>
      </c>
      <c r="C1421" s="5">
        <v>36789</v>
      </c>
      <c r="D1421" s="4" t="s">
        <v>23</v>
      </c>
      <c r="E1421" s="4" t="s">
        <v>25</v>
      </c>
      <c r="F1421" s="4" t="s">
        <v>490</v>
      </c>
      <c r="G1421" s="4" t="s">
        <v>26</v>
      </c>
      <c r="H1421" s="4" t="s">
        <v>18</v>
      </c>
      <c r="I1421" s="4" t="s">
        <v>715</v>
      </c>
      <c r="J1421" s="4" t="s">
        <v>715</v>
      </c>
      <c r="K1421" s="5">
        <v>6273431</v>
      </c>
      <c r="L1421" s="5">
        <v>302628</v>
      </c>
      <c r="M1421" s="5">
        <v>19</v>
      </c>
      <c r="N1421" s="5">
        <v>1</v>
      </c>
      <c r="O1421" s="5">
        <v>0.35</v>
      </c>
      <c r="P1421" s="5"/>
    </row>
    <row r="1422" spans="1:16" x14ac:dyDescent="0.25">
      <c r="A1422" s="4" t="s">
        <v>21</v>
      </c>
      <c r="B1422" s="4" t="s">
        <v>423</v>
      </c>
      <c r="C1422" s="5">
        <v>36790</v>
      </c>
      <c r="D1422" s="4" t="s">
        <v>23</v>
      </c>
      <c r="E1422" s="4" t="s">
        <v>31</v>
      </c>
      <c r="F1422" s="4" t="s">
        <v>480</v>
      </c>
      <c r="G1422" s="4" t="s">
        <v>26</v>
      </c>
      <c r="H1422" s="4" t="s">
        <v>18</v>
      </c>
      <c r="I1422" s="4" t="s">
        <v>715</v>
      </c>
      <c r="J1422" s="4" t="s">
        <v>715</v>
      </c>
      <c r="K1422" s="5">
        <v>6292089</v>
      </c>
      <c r="L1422" s="5">
        <v>330879</v>
      </c>
      <c r="M1422" s="5">
        <v>19</v>
      </c>
      <c r="N1422" s="5">
        <v>1</v>
      </c>
      <c r="O1422" s="5">
        <v>1.63</v>
      </c>
      <c r="P1422" s="5"/>
    </row>
    <row r="1423" spans="1:16" x14ac:dyDescent="0.25">
      <c r="A1423" s="4" t="s">
        <v>21</v>
      </c>
      <c r="B1423" s="4" t="s">
        <v>423</v>
      </c>
      <c r="C1423" s="5">
        <v>36791</v>
      </c>
      <c r="D1423" s="4" t="s">
        <v>23</v>
      </c>
      <c r="E1423" s="4" t="s">
        <v>262</v>
      </c>
      <c r="F1423" s="4" t="s">
        <v>433</v>
      </c>
      <c r="G1423" s="4" t="s">
        <v>26</v>
      </c>
      <c r="H1423" s="4" t="s">
        <v>18</v>
      </c>
      <c r="I1423" s="4" t="s">
        <v>715</v>
      </c>
      <c r="J1423" s="4" t="s">
        <v>715</v>
      </c>
      <c r="K1423" s="5">
        <v>6282340</v>
      </c>
      <c r="L1423" s="5">
        <v>327359</v>
      </c>
      <c r="M1423" s="5">
        <v>19</v>
      </c>
      <c r="N1423" s="5">
        <v>1</v>
      </c>
      <c r="O1423" s="5">
        <v>1.56</v>
      </c>
      <c r="P1423" s="5"/>
    </row>
    <row r="1424" spans="1:16" x14ac:dyDescent="0.25">
      <c r="A1424" s="4" t="s">
        <v>21</v>
      </c>
      <c r="B1424" s="4" t="s">
        <v>423</v>
      </c>
      <c r="C1424" s="5">
        <v>36794</v>
      </c>
      <c r="D1424" s="4" t="s">
        <v>23</v>
      </c>
      <c r="E1424" s="4" t="s">
        <v>76</v>
      </c>
      <c r="F1424" s="4" t="s">
        <v>440</v>
      </c>
      <c r="G1424" s="4" t="s">
        <v>26</v>
      </c>
      <c r="H1424" s="4" t="s">
        <v>18</v>
      </c>
      <c r="I1424" s="4" t="s">
        <v>715</v>
      </c>
      <c r="J1424" s="4" t="s">
        <v>715</v>
      </c>
      <c r="K1424" s="5">
        <v>6271454</v>
      </c>
      <c r="L1424" s="5">
        <v>320254</v>
      </c>
      <c r="M1424" s="5">
        <v>19</v>
      </c>
      <c r="N1424" s="5">
        <v>1</v>
      </c>
      <c r="O1424" s="5">
        <v>2.4</v>
      </c>
      <c r="P1424" s="5"/>
    </row>
    <row r="1425" spans="1:16" x14ac:dyDescent="0.25">
      <c r="A1425" s="4" t="s">
        <v>21</v>
      </c>
      <c r="B1425" s="4" t="s">
        <v>423</v>
      </c>
      <c r="C1425" s="5">
        <v>36798</v>
      </c>
      <c r="D1425" s="4" t="s">
        <v>23</v>
      </c>
      <c r="E1425" s="4" t="s">
        <v>409</v>
      </c>
      <c r="F1425" s="4" t="s">
        <v>487</v>
      </c>
      <c r="G1425" s="4" t="s">
        <v>26</v>
      </c>
      <c r="H1425" s="4" t="s">
        <v>128</v>
      </c>
      <c r="I1425" s="4" t="s">
        <v>715</v>
      </c>
      <c r="J1425" s="4" t="s">
        <v>638</v>
      </c>
      <c r="K1425" s="5">
        <v>6268490</v>
      </c>
      <c r="L1425" s="5">
        <v>307828</v>
      </c>
      <c r="M1425" s="5">
        <v>19</v>
      </c>
      <c r="N1425" s="5">
        <v>1</v>
      </c>
      <c r="O1425" s="5">
        <v>6.2</v>
      </c>
      <c r="P1425" s="5"/>
    </row>
    <row r="1426" spans="1:16" x14ac:dyDescent="0.25">
      <c r="A1426" s="4" t="s">
        <v>54</v>
      </c>
      <c r="B1426" s="4" t="s">
        <v>423</v>
      </c>
      <c r="C1426" s="5">
        <v>36848</v>
      </c>
      <c r="D1426" s="4" t="s">
        <v>23</v>
      </c>
      <c r="E1426" s="4" t="s">
        <v>28</v>
      </c>
      <c r="F1426" s="4" t="s">
        <v>380</v>
      </c>
      <c r="G1426" s="4" t="s">
        <v>26</v>
      </c>
      <c r="H1426" s="4" t="s">
        <v>641</v>
      </c>
      <c r="I1426" s="4" t="s">
        <v>715</v>
      </c>
      <c r="J1426" s="4" t="s">
        <v>715</v>
      </c>
      <c r="K1426" s="5">
        <v>6259261</v>
      </c>
      <c r="L1426" s="5">
        <v>332910</v>
      </c>
      <c r="M1426" s="5">
        <v>19</v>
      </c>
      <c r="N1426" s="5">
        <v>2</v>
      </c>
      <c r="O1426" s="5">
        <v>1.91</v>
      </c>
      <c r="P1426" s="5"/>
    </row>
    <row r="1427" spans="1:16" x14ac:dyDescent="0.25">
      <c r="A1427" s="4" t="s">
        <v>54</v>
      </c>
      <c r="B1427" s="4" t="s">
        <v>423</v>
      </c>
      <c r="C1427" s="5">
        <v>36853</v>
      </c>
      <c r="D1427" s="4" t="s">
        <v>23</v>
      </c>
      <c r="E1427" s="4" t="s">
        <v>28</v>
      </c>
      <c r="F1427" s="4" t="s">
        <v>380</v>
      </c>
      <c r="G1427" s="4" t="s">
        <v>26</v>
      </c>
      <c r="H1427" s="4" t="s">
        <v>641</v>
      </c>
      <c r="I1427" s="4" t="s">
        <v>715</v>
      </c>
      <c r="J1427" s="4" t="s">
        <v>715</v>
      </c>
      <c r="K1427" s="5">
        <v>6259451</v>
      </c>
      <c r="L1427" s="5">
        <v>332656</v>
      </c>
      <c r="M1427" s="5">
        <v>19</v>
      </c>
      <c r="N1427" s="5">
        <v>2</v>
      </c>
      <c r="O1427" s="5">
        <v>1.96</v>
      </c>
      <c r="P1427" s="5"/>
    </row>
    <row r="1428" spans="1:16" x14ac:dyDescent="0.25">
      <c r="A1428" s="4" t="s">
        <v>54</v>
      </c>
      <c r="B1428" s="4" t="s">
        <v>423</v>
      </c>
      <c r="C1428" s="5">
        <v>36856</v>
      </c>
      <c r="D1428" s="4" t="s">
        <v>23</v>
      </c>
      <c r="E1428" s="4" t="s">
        <v>28</v>
      </c>
      <c r="F1428" s="4" t="s">
        <v>380</v>
      </c>
      <c r="G1428" s="4" t="s">
        <v>26</v>
      </c>
      <c r="H1428" s="4" t="s">
        <v>641</v>
      </c>
      <c r="I1428" s="4" t="s">
        <v>715</v>
      </c>
      <c r="J1428" s="4" t="s">
        <v>715</v>
      </c>
      <c r="K1428" s="5">
        <v>6259505</v>
      </c>
      <c r="L1428" s="5">
        <v>332961</v>
      </c>
      <c r="M1428" s="5">
        <v>19</v>
      </c>
      <c r="N1428" s="5">
        <v>1</v>
      </c>
      <c r="O1428" s="5">
        <v>1.1499999999999999</v>
      </c>
      <c r="P1428" s="5"/>
    </row>
    <row r="1429" spans="1:16" x14ac:dyDescent="0.25">
      <c r="A1429" s="4" t="s">
        <v>54</v>
      </c>
      <c r="B1429" s="4" t="s">
        <v>423</v>
      </c>
      <c r="C1429" s="5">
        <v>36859</v>
      </c>
      <c r="D1429" s="4" t="s">
        <v>23</v>
      </c>
      <c r="E1429" s="4" t="s">
        <v>28</v>
      </c>
      <c r="F1429" s="4" t="s">
        <v>383</v>
      </c>
      <c r="G1429" s="4" t="s">
        <v>26</v>
      </c>
      <c r="H1429" s="4" t="s">
        <v>641</v>
      </c>
      <c r="I1429" s="4" t="s">
        <v>715</v>
      </c>
      <c r="J1429" s="4" t="s">
        <v>715</v>
      </c>
      <c r="K1429" s="5">
        <v>6260892</v>
      </c>
      <c r="L1429" s="5">
        <v>331684</v>
      </c>
      <c r="M1429" s="5">
        <v>19</v>
      </c>
      <c r="N1429" s="5">
        <v>1</v>
      </c>
      <c r="O1429" s="5">
        <v>0.97</v>
      </c>
      <c r="P1429" s="5"/>
    </row>
    <row r="1430" spans="1:16" x14ac:dyDescent="0.25">
      <c r="A1430" s="4" t="s">
        <v>54</v>
      </c>
      <c r="B1430" s="4" t="s">
        <v>423</v>
      </c>
      <c r="C1430" s="5">
        <v>36861</v>
      </c>
      <c r="D1430" s="4" t="s">
        <v>23</v>
      </c>
      <c r="E1430" s="4" t="s">
        <v>28</v>
      </c>
      <c r="F1430" s="4" t="s">
        <v>383</v>
      </c>
      <c r="G1430" s="4" t="s">
        <v>26</v>
      </c>
      <c r="H1430" s="4" t="s">
        <v>641</v>
      </c>
      <c r="I1430" s="4" t="s">
        <v>715</v>
      </c>
      <c r="J1430" s="4" t="s">
        <v>715</v>
      </c>
      <c r="K1430" s="5">
        <v>6260786</v>
      </c>
      <c r="L1430" s="5">
        <v>331630</v>
      </c>
      <c r="M1430" s="5">
        <v>19</v>
      </c>
      <c r="N1430" s="5">
        <v>2</v>
      </c>
      <c r="O1430" s="5">
        <v>2.2200000000000002</v>
      </c>
      <c r="P1430" s="5"/>
    </row>
    <row r="1431" spans="1:16" x14ac:dyDescent="0.25">
      <c r="A1431" s="4" t="s">
        <v>21</v>
      </c>
      <c r="B1431" s="4" t="s">
        <v>423</v>
      </c>
      <c r="C1431" s="5">
        <v>36864</v>
      </c>
      <c r="D1431" s="4" t="s">
        <v>23</v>
      </c>
      <c r="E1431" s="4" t="s">
        <v>25</v>
      </c>
      <c r="F1431" s="4" t="s">
        <v>499</v>
      </c>
      <c r="G1431" s="4" t="s">
        <v>26</v>
      </c>
      <c r="H1431" s="4" t="s">
        <v>18</v>
      </c>
      <c r="I1431" s="4" t="s">
        <v>715</v>
      </c>
      <c r="J1431" s="4" t="s">
        <v>715</v>
      </c>
      <c r="K1431" s="5">
        <v>6281206</v>
      </c>
      <c r="L1431" s="5">
        <v>306855</v>
      </c>
      <c r="M1431" s="5">
        <v>19</v>
      </c>
      <c r="N1431" s="5">
        <v>1</v>
      </c>
      <c r="O1431" s="5">
        <v>1</v>
      </c>
      <c r="P1431" s="5"/>
    </row>
    <row r="1432" spans="1:16" x14ac:dyDescent="0.25">
      <c r="A1432" s="4" t="s">
        <v>21</v>
      </c>
      <c r="B1432" s="4" t="s">
        <v>423</v>
      </c>
      <c r="C1432" s="5">
        <v>36867</v>
      </c>
      <c r="D1432" s="4" t="s">
        <v>23</v>
      </c>
      <c r="E1432" s="4" t="s">
        <v>445</v>
      </c>
      <c r="F1432" s="4" t="s">
        <v>445</v>
      </c>
      <c r="G1432" s="4" t="s">
        <v>26</v>
      </c>
      <c r="H1432" s="4" t="s">
        <v>18</v>
      </c>
      <c r="I1432" s="4" t="s">
        <v>715</v>
      </c>
      <c r="J1432" s="4" t="s">
        <v>715</v>
      </c>
      <c r="K1432" s="5">
        <v>6311873</v>
      </c>
      <c r="L1432" s="5">
        <v>330214</v>
      </c>
      <c r="M1432" s="5">
        <v>19</v>
      </c>
      <c r="N1432" s="5">
        <v>1</v>
      </c>
      <c r="O1432" s="5">
        <v>1.1000000000000001</v>
      </c>
      <c r="P1432" s="5"/>
    </row>
    <row r="1433" spans="1:16" x14ac:dyDescent="0.25">
      <c r="A1433" s="4" t="s">
        <v>21</v>
      </c>
      <c r="B1433" s="4" t="s">
        <v>423</v>
      </c>
      <c r="C1433" s="5">
        <v>36868</v>
      </c>
      <c r="D1433" s="4" t="s">
        <v>23</v>
      </c>
      <c r="E1433" s="4" t="s">
        <v>25</v>
      </c>
      <c r="F1433" s="4" t="s">
        <v>345</v>
      </c>
      <c r="G1433" s="4" t="s">
        <v>26</v>
      </c>
      <c r="H1433" s="4" t="s">
        <v>18</v>
      </c>
      <c r="I1433" s="4" t="s">
        <v>715</v>
      </c>
      <c r="J1433" s="4" t="s">
        <v>715</v>
      </c>
      <c r="K1433" s="5">
        <v>6272789</v>
      </c>
      <c r="L1433" s="5">
        <v>301671</v>
      </c>
      <c r="M1433" s="5">
        <v>19</v>
      </c>
      <c r="N1433" s="5">
        <v>1</v>
      </c>
      <c r="O1433" s="5">
        <v>1</v>
      </c>
      <c r="P1433" s="5"/>
    </row>
    <row r="1434" spans="1:16" x14ac:dyDescent="0.25">
      <c r="A1434" s="4" t="s">
        <v>21</v>
      </c>
      <c r="B1434" s="4" t="s">
        <v>423</v>
      </c>
      <c r="C1434" s="5">
        <v>36870</v>
      </c>
      <c r="D1434" s="4" t="s">
        <v>23</v>
      </c>
      <c r="E1434" s="4" t="s">
        <v>445</v>
      </c>
      <c r="F1434" s="4" t="s">
        <v>444</v>
      </c>
      <c r="G1434" s="4" t="s">
        <v>26</v>
      </c>
      <c r="H1434" s="4" t="s">
        <v>18</v>
      </c>
      <c r="I1434" s="4" t="s">
        <v>715</v>
      </c>
      <c r="J1434" s="4" t="s">
        <v>715</v>
      </c>
      <c r="K1434" s="5">
        <v>6311016</v>
      </c>
      <c r="L1434" s="5">
        <v>330605</v>
      </c>
      <c r="M1434" s="5">
        <v>19</v>
      </c>
      <c r="N1434" s="5">
        <v>1</v>
      </c>
      <c r="O1434" s="5">
        <v>4.8</v>
      </c>
      <c r="P1434" s="5"/>
    </row>
    <row r="1435" spans="1:16" x14ac:dyDescent="0.25">
      <c r="A1435" s="4" t="s">
        <v>21</v>
      </c>
      <c r="B1435" s="4" t="s">
        <v>423</v>
      </c>
      <c r="C1435" s="5">
        <v>36872</v>
      </c>
      <c r="D1435" s="4" t="s">
        <v>23</v>
      </c>
      <c r="E1435" s="4" t="s">
        <v>367</v>
      </c>
      <c r="F1435" s="4" t="s">
        <v>367</v>
      </c>
      <c r="G1435" s="4" t="s">
        <v>26</v>
      </c>
      <c r="H1435" s="4" t="s">
        <v>128</v>
      </c>
      <c r="I1435" s="4" t="s">
        <v>715</v>
      </c>
      <c r="J1435" s="4" t="s">
        <v>638</v>
      </c>
      <c r="K1435" s="5">
        <v>6281796</v>
      </c>
      <c r="L1435" s="5">
        <v>335270</v>
      </c>
      <c r="M1435" s="5">
        <v>19</v>
      </c>
      <c r="N1435" s="5">
        <v>1</v>
      </c>
      <c r="O1435" s="5">
        <v>3.59</v>
      </c>
      <c r="P1435" s="5"/>
    </row>
    <row r="1436" spans="1:16" x14ac:dyDescent="0.25">
      <c r="A1436" s="4" t="s">
        <v>21</v>
      </c>
      <c r="B1436" s="4" t="s">
        <v>423</v>
      </c>
      <c r="C1436" s="5">
        <v>36875</v>
      </c>
      <c r="D1436" s="4" t="s">
        <v>23</v>
      </c>
      <c r="E1436" s="4" t="s">
        <v>445</v>
      </c>
      <c r="F1436" s="4" t="s">
        <v>444</v>
      </c>
      <c r="G1436" s="4" t="s">
        <v>26</v>
      </c>
      <c r="H1436" s="4" t="s">
        <v>18</v>
      </c>
      <c r="I1436" s="4" t="s">
        <v>715</v>
      </c>
      <c r="J1436" s="4" t="s">
        <v>715</v>
      </c>
      <c r="K1436" s="5">
        <v>6311420</v>
      </c>
      <c r="L1436" s="5">
        <v>329993</v>
      </c>
      <c r="M1436" s="5">
        <v>19</v>
      </c>
      <c r="N1436" s="5">
        <v>1</v>
      </c>
      <c r="O1436" s="5">
        <v>1.05</v>
      </c>
      <c r="P1436" s="5"/>
    </row>
    <row r="1437" spans="1:16" x14ac:dyDescent="0.25">
      <c r="A1437" s="4" t="s">
        <v>21</v>
      </c>
      <c r="B1437" s="4" t="s">
        <v>423</v>
      </c>
      <c r="C1437" s="5">
        <v>36876</v>
      </c>
      <c r="D1437" s="4" t="s">
        <v>23</v>
      </c>
      <c r="E1437" s="4" t="s">
        <v>28</v>
      </c>
      <c r="F1437" s="4" t="s">
        <v>500</v>
      </c>
      <c r="G1437" s="4" t="s">
        <v>26</v>
      </c>
      <c r="H1437" s="4" t="s">
        <v>18</v>
      </c>
      <c r="I1437" s="4" t="s">
        <v>715</v>
      </c>
      <c r="J1437" s="4" t="s">
        <v>715</v>
      </c>
      <c r="K1437" s="5">
        <v>6265688</v>
      </c>
      <c r="L1437" s="5">
        <v>334435</v>
      </c>
      <c r="M1437" s="5">
        <v>19</v>
      </c>
      <c r="N1437" s="5">
        <v>1</v>
      </c>
      <c r="O1437" s="5">
        <v>1.52</v>
      </c>
      <c r="P1437" s="5"/>
    </row>
    <row r="1438" spans="1:16" x14ac:dyDescent="0.25">
      <c r="A1438" s="4" t="s">
        <v>21</v>
      </c>
      <c r="B1438" s="4" t="s">
        <v>423</v>
      </c>
      <c r="C1438" s="5">
        <v>36877</v>
      </c>
      <c r="D1438" s="4" t="s">
        <v>23</v>
      </c>
      <c r="E1438" s="4" t="s">
        <v>25</v>
      </c>
      <c r="F1438" s="4" t="s">
        <v>501</v>
      </c>
      <c r="G1438" s="4" t="s">
        <v>26</v>
      </c>
      <c r="H1438" s="4" t="s">
        <v>18</v>
      </c>
      <c r="I1438" s="4" t="s">
        <v>715</v>
      </c>
      <c r="J1438" s="4" t="s">
        <v>715</v>
      </c>
      <c r="K1438" s="5">
        <v>6281172</v>
      </c>
      <c r="L1438" s="5">
        <v>297545</v>
      </c>
      <c r="M1438" s="5">
        <v>19</v>
      </c>
      <c r="N1438" s="5">
        <v>1</v>
      </c>
      <c r="O1438" s="5">
        <v>1.1000000000000001</v>
      </c>
      <c r="P1438" s="5"/>
    </row>
    <row r="1439" spans="1:16" x14ac:dyDescent="0.25">
      <c r="A1439" s="4" t="s">
        <v>54</v>
      </c>
      <c r="B1439" s="4" t="s">
        <v>423</v>
      </c>
      <c r="C1439" s="5">
        <v>36881</v>
      </c>
      <c r="D1439" s="4" t="s">
        <v>23</v>
      </c>
      <c r="E1439" s="4" t="s">
        <v>28</v>
      </c>
      <c r="F1439" s="4" t="s">
        <v>380</v>
      </c>
      <c r="G1439" s="4" t="s">
        <v>26</v>
      </c>
      <c r="H1439" s="4" t="s">
        <v>641</v>
      </c>
      <c r="I1439" s="4" t="s">
        <v>715</v>
      </c>
      <c r="J1439" s="4" t="s">
        <v>715</v>
      </c>
      <c r="K1439" s="5">
        <v>6259910</v>
      </c>
      <c r="L1439" s="5">
        <v>332417</v>
      </c>
      <c r="M1439" s="5">
        <v>19</v>
      </c>
      <c r="N1439" s="5">
        <v>3</v>
      </c>
      <c r="O1439" s="5">
        <v>2.25</v>
      </c>
      <c r="P1439" s="5"/>
    </row>
    <row r="1440" spans="1:16" x14ac:dyDescent="0.25">
      <c r="A1440" s="4" t="s">
        <v>21</v>
      </c>
      <c r="B1440" s="4" t="s">
        <v>423</v>
      </c>
      <c r="C1440" s="5">
        <v>36883</v>
      </c>
      <c r="D1440" s="4" t="s">
        <v>23</v>
      </c>
      <c r="E1440" s="4" t="s">
        <v>76</v>
      </c>
      <c r="F1440" s="4" t="s">
        <v>76</v>
      </c>
      <c r="G1440" s="4" t="s">
        <v>26</v>
      </c>
      <c r="H1440" s="4" t="s">
        <v>18</v>
      </c>
      <c r="I1440" s="4" t="s">
        <v>715</v>
      </c>
      <c r="J1440" s="4" t="s">
        <v>715</v>
      </c>
      <c r="K1440" s="5">
        <v>6271301</v>
      </c>
      <c r="L1440" s="5">
        <v>322066</v>
      </c>
      <c r="M1440" s="5">
        <v>19</v>
      </c>
      <c r="N1440" s="5">
        <v>1</v>
      </c>
      <c r="O1440" s="5">
        <v>1</v>
      </c>
      <c r="P1440" s="5"/>
    </row>
    <row r="1441" spans="1:16" x14ac:dyDescent="0.25">
      <c r="A1441" s="4" t="s">
        <v>21</v>
      </c>
      <c r="B1441" s="4" t="s">
        <v>423</v>
      </c>
      <c r="C1441" s="5">
        <v>36884</v>
      </c>
      <c r="D1441" s="4" t="s">
        <v>23</v>
      </c>
      <c r="E1441" s="4" t="s">
        <v>25</v>
      </c>
      <c r="F1441" s="4" t="s">
        <v>442</v>
      </c>
      <c r="G1441" s="4" t="s">
        <v>26</v>
      </c>
      <c r="H1441" s="4" t="s">
        <v>18</v>
      </c>
      <c r="I1441" s="4" t="s">
        <v>715</v>
      </c>
      <c r="J1441" s="4" t="s">
        <v>715</v>
      </c>
      <c r="K1441" s="5">
        <v>6272264</v>
      </c>
      <c r="L1441" s="5">
        <v>303133</v>
      </c>
      <c r="M1441" s="5">
        <v>19</v>
      </c>
      <c r="N1441" s="5">
        <v>1</v>
      </c>
      <c r="O1441" s="5">
        <v>2.4</v>
      </c>
      <c r="P1441" s="5"/>
    </row>
    <row r="1442" spans="1:16" x14ac:dyDescent="0.25">
      <c r="A1442" s="4" t="s">
        <v>21</v>
      </c>
      <c r="B1442" s="4" t="s">
        <v>423</v>
      </c>
      <c r="C1442" s="5">
        <v>36885</v>
      </c>
      <c r="D1442" s="4" t="s">
        <v>23</v>
      </c>
      <c r="E1442" s="4" t="s">
        <v>381</v>
      </c>
      <c r="F1442" s="4" t="s">
        <v>382</v>
      </c>
      <c r="G1442" s="4" t="s">
        <v>26</v>
      </c>
      <c r="H1442" s="4" t="s">
        <v>18</v>
      </c>
      <c r="I1442" s="4" t="s">
        <v>715</v>
      </c>
      <c r="J1442" s="4" t="s">
        <v>715</v>
      </c>
      <c r="K1442" s="5">
        <v>6264297</v>
      </c>
      <c r="L1442" s="5">
        <v>324741</v>
      </c>
      <c r="M1442" s="5">
        <v>19</v>
      </c>
      <c r="N1442" s="5">
        <v>1</v>
      </c>
      <c r="O1442" s="5">
        <v>1</v>
      </c>
      <c r="P1442" s="5"/>
    </row>
    <row r="1443" spans="1:16" x14ac:dyDescent="0.25">
      <c r="A1443" s="4" t="s">
        <v>21</v>
      </c>
      <c r="B1443" s="4" t="s">
        <v>423</v>
      </c>
      <c r="C1443" s="5">
        <v>36886</v>
      </c>
      <c r="D1443" s="4" t="s">
        <v>23</v>
      </c>
      <c r="E1443" s="4" t="s">
        <v>381</v>
      </c>
      <c r="F1443" s="4" t="s">
        <v>382</v>
      </c>
      <c r="G1443" s="4" t="s">
        <v>26</v>
      </c>
      <c r="H1443" s="4" t="s">
        <v>18</v>
      </c>
      <c r="I1443" s="4" t="s">
        <v>715</v>
      </c>
      <c r="J1443" s="4" t="s">
        <v>715</v>
      </c>
      <c r="K1443" s="5">
        <v>6264370</v>
      </c>
      <c r="L1443" s="5">
        <v>325648</v>
      </c>
      <c r="M1443" s="5">
        <v>19</v>
      </c>
      <c r="N1443" s="5">
        <v>1</v>
      </c>
      <c r="O1443" s="5">
        <v>1</v>
      </c>
      <c r="P1443" s="5"/>
    </row>
    <row r="1444" spans="1:16" x14ac:dyDescent="0.25">
      <c r="A1444" s="4" t="s">
        <v>13</v>
      </c>
      <c r="B1444" s="4" t="s">
        <v>423</v>
      </c>
      <c r="C1444" s="5">
        <v>36889</v>
      </c>
      <c r="D1444" s="4" t="s">
        <v>23</v>
      </c>
      <c r="E1444" s="4" t="s">
        <v>367</v>
      </c>
      <c r="F1444" s="4" t="s">
        <v>367</v>
      </c>
      <c r="G1444" s="4" t="s">
        <v>26</v>
      </c>
      <c r="H1444" s="4" t="s">
        <v>27</v>
      </c>
      <c r="I1444" s="4" t="s">
        <v>715</v>
      </c>
      <c r="J1444" s="4" t="s">
        <v>715</v>
      </c>
      <c r="K1444" s="5">
        <v>6274885</v>
      </c>
      <c r="L1444" s="5">
        <v>338446</v>
      </c>
      <c r="M1444" s="5">
        <v>19</v>
      </c>
      <c r="N1444" s="5">
        <v>1</v>
      </c>
      <c r="O1444" s="5">
        <v>0.43</v>
      </c>
      <c r="P1444" s="5"/>
    </row>
    <row r="1445" spans="1:16" x14ac:dyDescent="0.25">
      <c r="A1445" s="4" t="s">
        <v>21</v>
      </c>
      <c r="B1445" s="4" t="s">
        <v>423</v>
      </c>
      <c r="C1445" s="5">
        <v>36890</v>
      </c>
      <c r="D1445" s="4" t="s">
        <v>23</v>
      </c>
      <c r="E1445" s="4" t="s">
        <v>356</v>
      </c>
      <c r="F1445" s="4" t="s">
        <v>502</v>
      </c>
      <c r="G1445" s="4" t="s">
        <v>26</v>
      </c>
      <c r="H1445" s="4" t="s">
        <v>18</v>
      </c>
      <c r="I1445" s="4" t="s">
        <v>715</v>
      </c>
      <c r="J1445" s="4" t="s">
        <v>715</v>
      </c>
      <c r="K1445" s="5">
        <v>6261378</v>
      </c>
      <c r="L1445" s="5">
        <v>345050</v>
      </c>
      <c r="M1445" s="5">
        <v>19</v>
      </c>
      <c r="N1445" s="5">
        <v>1</v>
      </c>
      <c r="O1445" s="5">
        <v>8.1</v>
      </c>
      <c r="P1445" s="5"/>
    </row>
    <row r="1446" spans="1:16" x14ac:dyDescent="0.25">
      <c r="A1446" s="4" t="s">
        <v>13</v>
      </c>
      <c r="B1446" s="4" t="s">
        <v>423</v>
      </c>
      <c r="C1446" s="5">
        <v>36892</v>
      </c>
      <c r="D1446" s="4" t="s">
        <v>33</v>
      </c>
      <c r="E1446" s="4" t="s">
        <v>43</v>
      </c>
      <c r="F1446" s="4" t="s">
        <v>43</v>
      </c>
      <c r="G1446" s="4" t="s">
        <v>26</v>
      </c>
      <c r="H1446" s="4" t="s">
        <v>27</v>
      </c>
      <c r="I1446" s="4" t="s">
        <v>715</v>
      </c>
      <c r="J1446" s="4" t="s">
        <v>715</v>
      </c>
      <c r="K1446" s="5">
        <v>6060208</v>
      </c>
      <c r="L1446" s="5">
        <v>284688</v>
      </c>
      <c r="M1446" s="5">
        <v>19</v>
      </c>
      <c r="N1446" s="5">
        <v>1</v>
      </c>
      <c r="O1446" s="5">
        <v>15.5</v>
      </c>
      <c r="P1446" s="5"/>
    </row>
    <row r="1447" spans="1:16" x14ac:dyDescent="0.25">
      <c r="A1447" s="4" t="s">
        <v>21</v>
      </c>
      <c r="B1447" s="4" t="s">
        <v>423</v>
      </c>
      <c r="C1447" s="5">
        <v>36894</v>
      </c>
      <c r="D1447" s="4" t="s">
        <v>37</v>
      </c>
      <c r="E1447" s="4" t="s">
        <v>151</v>
      </c>
      <c r="F1447" s="4" t="s">
        <v>503</v>
      </c>
      <c r="G1447" s="4" t="s">
        <v>26</v>
      </c>
      <c r="H1447" s="4" t="s">
        <v>18</v>
      </c>
      <c r="I1447" s="4" t="s">
        <v>715</v>
      </c>
      <c r="J1447" s="4" t="s">
        <v>715</v>
      </c>
      <c r="K1447" s="5">
        <v>6237875</v>
      </c>
      <c r="L1447" s="5">
        <v>349302</v>
      </c>
      <c r="M1447" s="5">
        <v>19</v>
      </c>
      <c r="N1447" s="5">
        <v>1</v>
      </c>
      <c r="O1447" s="5">
        <v>3.6</v>
      </c>
      <c r="P1447" s="5"/>
    </row>
    <row r="1448" spans="1:16" x14ac:dyDescent="0.25">
      <c r="A1448" s="4" t="s">
        <v>21</v>
      </c>
      <c r="B1448" s="4" t="s">
        <v>423</v>
      </c>
      <c r="C1448" s="5">
        <v>36895</v>
      </c>
      <c r="D1448" s="4" t="s">
        <v>23</v>
      </c>
      <c r="E1448" s="4" t="s">
        <v>445</v>
      </c>
      <c r="F1448" s="4" t="s">
        <v>444</v>
      </c>
      <c r="G1448" s="4" t="s">
        <v>26</v>
      </c>
      <c r="H1448" s="4" t="s">
        <v>18</v>
      </c>
      <c r="I1448" s="4" t="s">
        <v>715</v>
      </c>
      <c r="J1448" s="4" t="s">
        <v>715</v>
      </c>
      <c r="K1448" s="5">
        <v>6311757</v>
      </c>
      <c r="L1448" s="5">
        <v>329915</v>
      </c>
      <c r="M1448" s="5">
        <v>19</v>
      </c>
      <c r="N1448" s="5">
        <v>1</v>
      </c>
      <c r="O1448" s="5">
        <v>1.05</v>
      </c>
      <c r="P1448" s="5"/>
    </row>
    <row r="1449" spans="1:16" x14ac:dyDescent="0.25">
      <c r="A1449" s="4" t="s">
        <v>21</v>
      </c>
      <c r="B1449" s="4" t="s">
        <v>423</v>
      </c>
      <c r="C1449" s="5">
        <v>36907</v>
      </c>
      <c r="D1449" s="4" t="s">
        <v>23</v>
      </c>
      <c r="E1449" s="4" t="s">
        <v>381</v>
      </c>
      <c r="F1449" s="4" t="s">
        <v>382</v>
      </c>
      <c r="G1449" s="4" t="s">
        <v>26</v>
      </c>
      <c r="H1449" s="4" t="s">
        <v>18</v>
      </c>
      <c r="I1449" s="4" t="s">
        <v>715</v>
      </c>
      <c r="J1449" s="4" t="s">
        <v>715</v>
      </c>
      <c r="K1449" s="5">
        <v>6266305</v>
      </c>
      <c r="L1449" s="5">
        <v>325302</v>
      </c>
      <c r="M1449" s="5">
        <v>19</v>
      </c>
      <c r="N1449" s="5">
        <v>1</v>
      </c>
      <c r="O1449" s="5">
        <v>1.2</v>
      </c>
      <c r="P1449" s="5"/>
    </row>
    <row r="1450" spans="1:16" x14ac:dyDescent="0.25">
      <c r="A1450" s="4" t="s">
        <v>21</v>
      </c>
      <c r="B1450" s="4" t="s">
        <v>423</v>
      </c>
      <c r="C1450" s="5">
        <v>36908</v>
      </c>
      <c r="D1450" s="4" t="s">
        <v>23</v>
      </c>
      <c r="E1450" s="4" t="s">
        <v>76</v>
      </c>
      <c r="F1450" s="4" t="s">
        <v>393</v>
      </c>
      <c r="G1450" s="4" t="s">
        <v>26</v>
      </c>
      <c r="H1450" s="4" t="s">
        <v>18</v>
      </c>
      <c r="I1450" s="4" t="s">
        <v>715</v>
      </c>
      <c r="J1450" s="4" t="s">
        <v>715</v>
      </c>
      <c r="K1450" s="5">
        <v>6272767</v>
      </c>
      <c r="L1450" s="5">
        <v>327463</v>
      </c>
      <c r="M1450" s="5">
        <v>19</v>
      </c>
      <c r="N1450" s="5">
        <v>1</v>
      </c>
      <c r="O1450" s="5">
        <v>1.05</v>
      </c>
      <c r="P1450" s="5"/>
    </row>
    <row r="1451" spans="1:16" x14ac:dyDescent="0.25">
      <c r="A1451" s="4" t="s">
        <v>21</v>
      </c>
      <c r="B1451" s="4" t="s">
        <v>423</v>
      </c>
      <c r="C1451" s="5">
        <v>36909</v>
      </c>
      <c r="D1451" s="4" t="s">
        <v>33</v>
      </c>
      <c r="E1451" s="4" t="s">
        <v>144</v>
      </c>
      <c r="F1451" s="4" t="s">
        <v>467</v>
      </c>
      <c r="G1451" s="4" t="s">
        <v>26</v>
      </c>
      <c r="H1451" s="4" t="s">
        <v>27</v>
      </c>
      <c r="I1451" s="4" t="s">
        <v>715</v>
      </c>
      <c r="J1451" s="4" t="s">
        <v>715</v>
      </c>
      <c r="K1451" s="5">
        <v>6057773</v>
      </c>
      <c r="L1451" s="5">
        <v>239944</v>
      </c>
      <c r="M1451" s="5">
        <v>19</v>
      </c>
      <c r="N1451" s="5">
        <v>2</v>
      </c>
      <c r="O1451" s="5">
        <v>60</v>
      </c>
      <c r="P1451" s="5"/>
    </row>
    <row r="1452" spans="1:16" x14ac:dyDescent="0.25">
      <c r="A1452" s="4" t="s">
        <v>21</v>
      </c>
      <c r="B1452" s="4" t="s">
        <v>423</v>
      </c>
      <c r="C1452" s="5">
        <v>36911</v>
      </c>
      <c r="D1452" s="4" t="s">
        <v>23</v>
      </c>
      <c r="E1452" s="4" t="s">
        <v>367</v>
      </c>
      <c r="F1452" s="4" t="s">
        <v>504</v>
      </c>
      <c r="G1452" s="4" t="s">
        <v>26</v>
      </c>
      <c r="H1452" s="4" t="s">
        <v>18</v>
      </c>
      <c r="I1452" s="4" t="s">
        <v>715</v>
      </c>
      <c r="J1452" s="4" t="s">
        <v>715</v>
      </c>
      <c r="K1452" s="5">
        <v>6277993</v>
      </c>
      <c r="L1452" s="5">
        <v>330732</v>
      </c>
      <c r="M1452" s="5">
        <v>19</v>
      </c>
      <c r="N1452" s="5">
        <v>1</v>
      </c>
      <c r="O1452" s="5">
        <v>1.07</v>
      </c>
      <c r="P1452" s="5"/>
    </row>
    <row r="1453" spans="1:16" x14ac:dyDescent="0.25">
      <c r="A1453" s="4" t="s">
        <v>13</v>
      </c>
      <c r="B1453" s="4" t="s">
        <v>423</v>
      </c>
      <c r="C1453" s="5">
        <v>36913</v>
      </c>
      <c r="D1453" s="4" t="s">
        <v>23</v>
      </c>
      <c r="E1453" s="4" t="s">
        <v>367</v>
      </c>
      <c r="F1453" s="4" t="s">
        <v>459</v>
      </c>
      <c r="G1453" s="4" t="s">
        <v>26</v>
      </c>
      <c r="H1453" s="4" t="s">
        <v>27</v>
      </c>
      <c r="I1453" s="4" t="s">
        <v>715</v>
      </c>
      <c r="J1453" s="4" t="s">
        <v>715</v>
      </c>
      <c r="K1453" s="5">
        <v>6277361</v>
      </c>
      <c r="L1453" s="5">
        <v>338709</v>
      </c>
      <c r="M1453" s="5">
        <v>19</v>
      </c>
      <c r="N1453" s="5">
        <v>1</v>
      </c>
      <c r="O1453" s="5">
        <v>0.28000000000000003</v>
      </c>
      <c r="P1453" s="5"/>
    </row>
    <row r="1454" spans="1:16" x14ac:dyDescent="0.25">
      <c r="A1454" s="4" t="s">
        <v>13</v>
      </c>
      <c r="B1454" s="4" t="s">
        <v>423</v>
      </c>
      <c r="C1454" s="5">
        <v>36918</v>
      </c>
      <c r="D1454" s="4" t="s">
        <v>37</v>
      </c>
      <c r="E1454" s="4" t="s">
        <v>73</v>
      </c>
      <c r="F1454" s="4" t="s">
        <v>505</v>
      </c>
      <c r="G1454" s="4" t="s">
        <v>26</v>
      </c>
      <c r="H1454" s="4" t="s">
        <v>27</v>
      </c>
      <c r="I1454" s="4" t="s">
        <v>715</v>
      </c>
      <c r="J1454" s="4" t="s">
        <v>715</v>
      </c>
      <c r="K1454" s="5">
        <v>6157458</v>
      </c>
      <c r="L1454" s="5">
        <v>316318</v>
      </c>
      <c r="M1454" s="5">
        <v>19</v>
      </c>
      <c r="N1454" s="5">
        <v>1</v>
      </c>
      <c r="O1454" s="5">
        <v>30</v>
      </c>
      <c r="P1454" s="5"/>
    </row>
    <row r="1455" spans="1:16" x14ac:dyDescent="0.25">
      <c r="A1455" s="4" t="s">
        <v>13</v>
      </c>
      <c r="B1455" s="4" t="s">
        <v>423</v>
      </c>
      <c r="C1455" s="5">
        <v>36951</v>
      </c>
      <c r="D1455" s="4" t="s">
        <v>23</v>
      </c>
      <c r="E1455" s="4" t="s">
        <v>76</v>
      </c>
      <c r="F1455" s="4" t="s">
        <v>76</v>
      </c>
      <c r="G1455" s="4" t="s">
        <v>26</v>
      </c>
      <c r="H1455" s="4" t="s">
        <v>27</v>
      </c>
      <c r="I1455" s="4" t="s">
        <v>715</v>
      </c>
      <c r="J1455" s="4" t="s">
        <v>638</v>
      </c>
      <c r="K1455" s="5">
        <v>6270793</v>
      </c>
      <c r="L1455" s="5">
        <v>320955</v>
      </c>
      <c r="M1455" s="5">
        <v>19</v>
      </c>
      <c r="N1455" s="5">
        <v>2</v>
      </c>
      <c r="O1455" s="5">
        <v>28</v>
      </c>
      <c r="P1455" s="5"/>
    </row>
    <row r="1456" spans="1:16" x14ac:dyDescent="0.25">
      <c r="A1456" s="4" t="s">
        <v>21</v>
      </c>
      <c r="B1456" s="4" t="s">
        <v>423</v>
      </c>
      <c r="C1456" s="5">
        <v>37017</v>
      </c>
      <c r="D1456" s="4" t="s">
        <v>33</v>
      </c>
      <c r="E1456" s="4" t="s">
        <v>118</v>
      </c>
      <c r="F1456" s="4" t="s">
        <v>506</v>
      </c>
      <c r="G1456" s="4" t="s">
        <v>26</v>
      </c>
      <c r="H1456" s="4" t="s">
        <v>27</v>
      </c>
      <c r="I1456" s="4" t="s">
        <v>715</v>
      </c>
      <c r="J1456" s="4" t="s">
        <v>715</v>
      </c>
      <c r="K1456" s="5">
        <v>6031715</v>
      </c>
      <c r="L1456" s="5">
        <v>277059</v>
      </c>
      <c r="M1456" s="5">
        <v>19</v>
      </c>
      <c r="N1456" s="5">
        <v>5</v>
      </c>
      <c r="O1456" s="5">
        <v>90.8</v>
      </c>
      <c r="P1456" s="5"/>
    </row>
    <row r="1457" spans="1:16" x14ac:dyDescent="0.25">
      <c r="A1457" s="4" t="s">
        <v>13</v>
      </c>
      <c r="B1457" s="4" t="s">
        <v>423</v>
      </c>
      <c r="C1457" s="5">
        <v>37039</v>
      </c>
      <c r="D1457" s="4" t="s">
        <v>33</v>
      </c>
      <c r="E1457" s="4" t="s">
        <v>122</v>
      </c>
      <c r="F1457" s="4" t="s">
        <v>122</v>
      </c>
      <c r="G1457" s="4" t="s">
        <v>26</v>
      </c>
      <c r="H1457" s="4" t="s">
        <v>27</v>
      </c>
      <c r="I1457" s="4" t="s">
        <v>715</v>
      </c>
      <c r="J1457" s="4" t="s">
        <v>715</v>
      </c>
      <c r="K1457" s="5">
        <v>6107913</v>
      </c>
      <c r="L1457" s="5">
        <v>294888</v>
      </c>
      <c r="M1457" s="5">
        <v>19</v>
      </c>
      <c r="N1457" s="5">
        <v>1</v>
      </c>
      <c r="O1457" s="5">
        <v>16</v>
      </c>
      <c r="P1457" s="5"/>
    </row>
    <row r="1458" spans="1:16" x14ac:dyDescent="0.25">
      <c r="A1458" s="4" t="s">
        <v>21</v>
      </c>
      <c r="B1458" s="4" t="s">
        <v>423</v>
      </c>
      <c r="C1458" s="5">
        <v>37066</v>
      </c>
      <c r="D1458" s="4" t="s">
        <v>23</v>
      </c>
      <c r="E1458" s="4" t="s">
        <v>42</v>
      </c>
      <c r="F1458" s="4" t="s">
        <v>489</v>
      </c>
      <c r="G1458" s="4" t="s">
        <v>26</v>
      </c>
      <c r="H1458" s="4" t="s">
        <v>18</v>
      </c>
      <c r="I1458" s="4" t="s">
        <v>715</v>
      </c>
      <c r="J1458" s="4" t="s">
        <v>715</v>
      </c>
      <c r="K1458" s="5">
        <v>6305987</v>
      </c>
      <c r="L1458" s="5">
        <v>331035</v>
      </c>
      <c r="M1458" s="5">
        <v>19</v>
      </c>
      <c r="N1458" s="5">
        <v>1</v>
      </c>
      <c r="O1458" s="5">
        <v>0.08</v>
      </c>
      <c r="P1458" s="5"/>
    </row>
    <row r="1459" spans="1:16" x14ac:dyDescent="0.25">
      <c r="A1459" s="4" t="s">
        <v>21</v>
      </c>
      <c r="B1459" s="4" t="s">
        <v>423</v>
      </c>
      <c r="C1459" s="5">
        <v>37067</v>
      </c>
      <c r="D1459" s="4" t="s">
        <v>23</v>
      </c>
      <c r="E1459" s="4" t="s">
        <v>25</v>
      </c>
      <c r="F1459" s="4" t="s">
        <v>507</v>
      </c>
      <c r="G1459" s="4" t="s">
        <v>26</v>
      </c>
      <c r="H1459" s="4" t="s">
        <v>18</v>
      </c>
      <c r="I1459" s="4" t="s">
        <v>715</v>
      </c>
      <c r="J1459" s="4" t="s">
        <v>715</v>
      </c>
      <c r="K1459" s="5">
        <v>6273272</v>
      </c>
      <c r="L1459" s="5">
        <v>291351</v>
      </c>
      <c r="M1459" s="5">
        <v>19</v>
      </c>
      <c r="N1459" s="5">
        <v>1</v>
      </c>
      <c r="O1459" s="5">
        <v>1</v>
      </c>
      <c r="P1459" s="5"/>
    </row>
    <row r="1460" spans="1:16" x14ac:dyDescent="0.25">
      <c r="A1460" s="4" t="s">
        <v>21</v>
      </c>
      <c r="B1460" s="4" t="s">
        <v>423</v>
      </c>
      <c r="C1460" s="5">
        <v>37069</v>
      </c>
      <c r="D1460" s="4" t="s">
        <v>23</v>
      </c>
      <c r="E1460" s="4" t="s">
        <v>25</v>
      </c>
      <c r="F1460" s="4" t="s">
        <v>147</v>
      </c>
      <c r="G1460" s="4" t="s">
        <v>26</v>
      </c>
      <c r="H1460" s="4" t="s">
        <v>18</v>
      </c>
      <c r="I1460" s="4" t="s">
        <v>715</v>
      </c>
      <c r="J1460" s="4" t="s">
        <v>715</v>
      </c>
      <c r="K1460" s="5">
        <v>6277825</v>
      </c>
      <c r="L1460" s="5">
        <v>290701</v>
      </c>
      <c r="M1460" s="5">
        <v>19</v>
      </c>
      <c r="N1460" s="5">
        <v>1</v>
      </c>
      <c r="O1460" s="5">
        <v>1</v>
      </c>
      <c r="P1460" s="5"/>
    </row>
    <row r="1461" spans="1:16" x14ac:dyDescent="0.25">
      <c r="A1461" s="4" t="s">
        <v>21</v>
      </c>
      <c r="B1461" s="4" t="s">
        <v>423</v>
      </c>
      <c r="C1461" s="5">
        <v>37070</v>
      </c>
      <c r="D1461" s="4" t="s">
        <v>23</v>
      </c>
      <c r="E1461" s="4" t="s">
        <v>409</v>
      </c>
      <c r="F1461" s="4" t="s">
        <v>487</v>
      </c>
      <c r="G1461" s="4" t="s">
        <v>26</v>
      </c>
      <c r="H1461" s="4" t="s">
        <v>18</v>
      </c>
      <c r="I1461" s="4" t="s">
        <v>715</v>
      </c>
      <c r="J1461" s="4" t="s">
        <v>715</v>
      </c>
      <c r="K1461" s="5">
        <v>6270749</v>
      </c>
      <c r="L1461" s="5">
        <v>309248</v>
      </c>
      <c r="M1461" s="5">
        <v>19</v>
      </c>
      <c r="N1461" s="5">
        <v>1</v>
      </c>
      <c r="O1461" s="5">
        <v>1</v>
      </c>
      <c r="P1461" s="5"/>
    </row>
    <row r="1462" spans="1:16" x14ac:dyDescent="0.25">
      <c r="A1462" s="4" t="s">
        <v>13</v>
      </c>
      <c r="B1462" s="4" t="s">
        <v>423</v>
      </c>
      <c r="C1462" s="5">
        <v>37072</v>
      </c>
      <c r="D1462" s="4" t="s">
        <v>23</v>
      </c>
      <c r="E1462" s="4" t="s">
        <v>25</v>
      </c>
      <c r="F1462" s="4" t="s">
        <v>508</v>
      </c>
      <c r="G1462" s="4" t="s">
        <v>26</v>
      </c>
      <c r="H1462" s="4" t="s">
        <v>27</v>
      </c>
      <c r="I1462" s="4" t="s">
        <v>715</v>
      </c>
      <c r="J1462" s="4" t="s">
        <v>715</v>
      </c>
      <c r="K1462" s="5">
        <v>6273718</v>
      </c>
      <c r="L1462" s="5">
        <v>288003</v>
      </c>
      <c r="M1462" s="5">
        <v>19</v>
      </c>
      <c r="N1462" s="5">
        <v>1</v>
      </c>
      <c r="O1462" s="5">
        <v>0.21</v>
      </c>
      <c r="P1462" s="5"/>
    </row>
    <row r="1463" spans="1:16" x14ac:dyDescent="0.25">
      <c r="A1463" s="4" t="s">
        <v>54</v>
      </c>
      <c r="B1463" s="4" t="s">
        <v>423</v>
      </c>
      <c r="C1463" s="5">
        <v>37078</v>
      </c>
      <c r="D1463" s="4" t="s">
        <v>23</v>
      </c>
      <c r="E1463" s="4" t="s">
        <v>28</v>
      </c>
      <c r="F1463" s="4" t="s">
        <v>380</v>
      </c>
      <c r="G1463" s="4" t="s">
        <v>26</v>
      </c>
      <c r="H1463" s="4" t="s">
        <v>641</v>
      </c>
      <c r="I1463" s="4" t="s">
        <v>715</v>
      </c>
      <c r="J1463" s="4" t="s">
        <v>715</v>
      </c>
      <c r="K1463" s="5">
        <v>6259770</v>
      </c>
      <c r="L1463" s="5">
        <v>332463</v>
      </c>
      <c r="M1463" s="5">
        <v>19</v>
      </c>
      <c r="N1463" s="5">
        <v>1</v>
      </c>
      <c r="O1463" s="5">
        <v>0.78</v>
      </c>
      <c r="P1463" s="5"/>
    </row>
    <row r="1464" spans="1:16" x14ac:dyDescent="0.25">
      <c r="A1464" s="4" t="s">
        <v>54</v>
      </c>
      <c r="B1464" s="4" t="s">
        <v>423</v>
      </c>
      <c r="C1464" s="5">
        <v>37081</v>
      </c>
      <c r="D1464" s="4" t="s">
        <v>23</v>
      </c>
      <c r="E1464" s="4" t="s">
        <v>28</v>
      </c>
      <c r="F1464" s="4" t="s">
        <v>380</v>
      </c>
      <c r="G1464" s="4" t="s">
        <v>26</v>
      </c>
      <c r="H1464" s="4" t="s">
        <v>641</v>
      </c>
      <c r="I1464" s="4" t="s">
        <v>715</v>
      </c>
      <c r="J1464" s="4" t="s">
        <v>715</v>
      </c>
      <c r="K1464" s="5">
        <v>6259821</v>
      </c>
      <c r="L1464" s="5">
        <v>332374</v>
      </c>
      <c r="M1464" s="5">
        <v>19</v>
      </c>
      <c r="N1464" s="5">
        <v>1</v>
      </c>
      <c r="O1464" s="5">
        <v>0.85</v>
      </c>
      <c r="P1464" s="5"/>
    </row>
    <row r="1465" spans="1:16" x14ac:dyDescent="0.25">
      <c r="A1465" s="4" t="s">
        <v>54</v>
      </c>
      <c r="B1465" s="4" t="s">
        <v>423</v>
      </c>
      <c r="C1465" s="5">
        <v>37084</v>
      </c>
      <c r="D1465" s="4" t="s">
        <v>23</v>
      </c>
      <c r="E1465" s="4" t="s">
        <v>28</v>
      </c>
      <c r="F1465" s="4" t="s">
        <v>380</v>
      </c>
      <c r="G1465" s="4" t="s">
        <v>26</v>
      </c>
      <c r="H1465" s="4" t="s">
        <v>641</v>
      </c>
      <c r="I1465" s="4" t="s">
        <v>715</v>
      </c>
      <c r="J1465" s="4" t="s">
        <v>715</v>
      </c>
      <c r="K1465" s="5">
        <v>6260369</v>
      </c>
      <c r="L1465" s="5">
        <v>332690</v>
      </c>
      <c r="M1465" s="5">
        <v>19</v>
      </c>
      <c r="N1465" s="5">
        <v>3</v>
      </c>
      <c r="O1465" s="5">
        <v>3.22</v>
      </c>
      <c r="P1465" s="5"/>
    </row>
    <row r="1466" spans="1:16" x14ac:dyDescent="0.25">
      <c r="A1466" s="4" t="s">
        <v>54</v>
      </c>
      <c r="B1466" s="4" t="s">
        <v>423</v>
      </c>
      <c r="C1466" s="5">
        <v>37086</v>
      </c>
      <c r="D1466" s="4" t="s">
        <v>23</v>
      </c>
      <c r="E1466" s="4" t="s">
        <v>28</v>
      </c>
      <c r="F1466" s="4" t="s">
        <v>380</v>
      </c>
      <c r="G1466" s="4" t="s">
        <v>26</v>
      </c>
      <c r="H1466" s="4" t="s">
        <v>641</v>
      </c>
      <c r="I1466" s="4" t="s">
        <v>715</v>
      </c>
      <c r="J1466" s="4" t="s">
        <v>715</v>
      </c>
      <c r="K1466" s="5">
        <v>6259404</v>
      </c>
      <c r="L1466" s="5">
        <v>333016</v>
      </c>
      <c r="M1466" s="5">
        <v>19</v>
      </c>
      <c r="N1466" s="5">
        <v>2</v>
      </c>
      <c r="O1466" s="5">
        <v>1.55</v>
      </c>
      <c r="P1466" s="5"/>
    </row>
    <row r="1467" spans="1:16" x14ac:dyDescent="0.25">
      <c r="A1467" s="4" t="s">
        <v>54</v>
      </c>
      <c r="B1467" s="4" t="s">
        <v>423</v>
      </c>
      <c r="C1467" s="5">
        <v>37115</v>
      </c>
      <c r="D1467" s="4" t="s">
        <v>23</v>
      </c>
      <c r="E1467" s="4" t="s">
        <v>28</v>
      </c>
      <c r="F1467" s="4" t="s">
        <v>380</v>
      </c>
      <c r="G1467" s="4" t="s">
        <v>26</v>
      </c>
      <c r="H1467" s="4" t="s">
        <v>641</v>
      </c>
      <c r="I1467" s="4" t="s">
        <v>715</v>
      </c>
      <c r="J1467" s="4" t="s">
        <v>715</v>
      </c>
      <c r="K1467" s="5">
        <v>6259543</v>
      </c>
      <c r="L1467" s="5">
        <v>332464</v>
      </c>
      <c r="M1467" s="5">
        <v>19</v>
      </c>
      <c r="N1467" s="5">
        <v>2</v>
      </c>
      <c r="O1467" s="5">
        <v>2.1800000000000002</v>
      </c>
      <c r="P1467" s="5"/>
    </row>
    <row r="1468" spans="1:16" x14ac:dyDescent="0.25">
      <c r="A1468" s="4" t="s">
        <v>54</v>
      </c>
      <c r="B1468" s="4" t="s">
        <v>423</v>
      </c>
      <c r="C1468" s="5">
        <v>37120</v>
      </c>
      <c r="D1468" s="4" t="s">
        <v>23</v>
      </c>
      <c r="E1468" s="4" t="s">
        <v>28</v>
      </c>
      <c r="F1468" s="4" t="s">
        <v>380</v>
      </c>
      <c r="G1468" s="4" t="s">
        <v>26</v>
      </c>
      <c r="H1468" s="4" t="s">
        <v>641</v>
      </c>
      <c r="I1468" s="4" t="s">
        <v>715</v>
      </c>
      <c r="J1468" s="4" t="s">
        <v>715</v>
      </c>
      <c r="K1468" s="5">
        <v>6259313</v>
      </c>
      <c r="L1468" s="5">
        <v>332831</v>
      </c>
      <c r="M1468" s="5">
        <v>19</v>
      </c>
      <c r="N1468" s="5">
        <v>1</v>
      </c>
      <c r="O1468" s="5">
        <v>1.84</v>
      </c>
      <c r="P1468" s="5"/>
    </row>
    <row r="1469" spans="1:16" x14ac:dyDescent="0.25">
      <c r="A1469" s="4" t="s">
        <v>54</v>
      </c>
      <c r="B1469" s="4" t="s">
        <v>423</v>
      </c>
      <c r="C1469" s="5">
        <v>37123</v>
      </c>
      <c r="D1469" s="4" t="s">
        <v>23</v>
      </c>
      <c r="E1469" s="4" t="s">
        <v>28</v>
      </c>
      <c r="F1469" s="4" t="s">
        <v>383</v>
      </c>
      <c r="G1469" s="4" t="s">
        <v>26</v>
      </c>
      <c r="H1469" s="4" t="s">
        <v>641</v>
      </c>
      <c r="I1469" s="4" t="s">
        <v>715</v>
      </c>
      <c r="J1469" s="4" t="s">
        <v>715</v>
      </c>
      <c r="K1469" s="5">
        <v>6260935</v>
      </c>
      <c r="L1469" s="5">
        <v>331604</v>
      </c>
      <c r="M1469" s="5">
        <v>19</v>
      </c>
      <c r="N1469" s="5">
        <v>2</v>
      </c>
      <c r="O1469" s="5">
        <v>1.98</v>
      </c>
      <c r="P1469" s="5"/>
    </row>
    <row r="1470" spans="1:16" x14ac:dyDescent="0.25">
      <c r="A1470" s="4" t="s">
        <v>54</v>
      </c>
      <c r="B1470" s="4" t="s">
        <v>423</v>
      </c>
      <c r="C1470" s="5">
        <v>37125</v>
      </c>
      <c r="D1470" s="4" t="s">
        <v>23</v>
      </c>
      <c r="E1470" s="4" t="s">
        <v>28</v>
      </c>
      <c r="F1470" s="4" t="s">
        <v>380</v>
      </c>
      <c r="G1470" s="4" t="s">
        <v>26</v>
      </c>
      <c r="H1470" s="4" t="s">
        <v>641</v>
      </c>
      <c r="I1470" s="4" t="s">
        <v>715</v>
      </c>
      <c r="J1470" s="4" t="s">
        <v>715</v>
      </c>
      <c r="K1470" s="5">
        <v>6259592</v>
      </c>
      <c r="L1470" s="5">
        <v>332379</v>
      </c>
      <c r="M1470" s="5">
        <v>19</v>
      </c>
      <c r="N1470" s="5">
        <v>2</v>
      </c>
      <c r="O1470" s="5">
        <v>1.98</v>
      </c>
      <c r="P1470" s="5"/>
    </row>
    <row r="1471" spans="1:16" x14ac:dyDescent="0.25">
      <c r="A1471" s="4" t="s">
        <v>54</v>
      </c>
      <c r="B1471" s="4" t="s">
        <v>423</v>
      </c>
      <c r="C1471" s="5">
        <v>37126</v>
      </c>
      <c r="D1471" s="4" t="s">
        <v>23</v>
      </c>
      <c r="E1471" s="4" t="s">
        <v>28</v>
      </c>
      <c r="F1471" s="4" t="s">
        <v>380</v>
      </c>
      <c r="G1471" s="4" t="s">
        <v>26</v>
      </c>
      <c r="H1471" s="4" t="s">
        <v>641</v>
      </c>
      <c r="I1471" s="4" t="s">
        <v>715</v>
      </c>
      <c r="J1471" s="4" t="s">
        <v>715</v>
      </c>
      <c r="K1471" s="5">
        <v>6259814</v>
      </c>
      <c r="L1471" s="5">
        <v>332584</v>
      </c>
      <c r="M1471" s="5">
        <v>19</v>
      </c>
      <c r="N1471" s="5">
        <v>2</v>
      </c>
      <c r="O1471" s="5">
        <v>1.95</v>
      </c>
      <c r="P1471" s="5"/>
    </row>
    <row r="1472" spans="1:16" x14ac:dyDescent="0.25">
      <c r="A1472" s="4" t="s">
        <v>54</v>
      </c>
      <c r="B1472" s="4" t="s">
        <v>423</v>
      </c>
      <c r="C1472" s="5">
        <v>37128</v>
      </c>
      <c r="D1472" s="4" t="s">
        <v>23</v>
      </c>
      <c r="E1472" s="4" t="s">
        <v>28</v>
      </c>
      <c r="F1472" s="4" t="s">
        <v>380</v>
      </c>
      <c r="G1472" s="4" t="s">
        <v>26</v>
      </c>
      <c r="H1472" s="4" t="s">
        <v>641</v>
      </c>
      <c r="I1472" s="4" t="s">
        <v>715</v>
      </c>
      <c r="J1472" s="4" t="s">
        <v>715</v>
      </c>
      <c r="K1472" s="5">
        <v>6259383</v>
      </c>
      <c r="L1472" s="5">
        <v>332744</v>
      </c>
      <c r="M1472" s="5">
        <v>19</v>
      </c>
      <c r="N1472" s="5">
        <v>2</v>
      </c>
      <c r="O1472" s="5">
        <v>1.85</v>
      </c>
      <c r="P1472" s="5"/>
    </row>
    <row r="1473" spans="1:16" x14ac:dyDescent="0.25">
      <c r="A1473" s="4" t="s">
        <v>13</v>
      </c>
      <c r="B1473" s="4" t="s">
        <v>423</v>
      </c>
      <c r="C1473" s="5">
        <v>37183</v>
      </c>
      <c r="D1473" s="4" t="s">
        <v>58</v>
      </c>
      <c r="E1473" s="4" t="s">
        <v>59</v>
      </c>
      <c r="F1473" s="4" t="s">
        <v>112</v>
      </c>
      <c r="G1473" s="4" t="s">
        <v>57</v>
      </c>
      <c r="H1473" s="4" t="s">
        <v>173</v>
      </c>
      <c r="I1473" s="4" t="s">
        <v>715</v>
      </c>
      <c r="J1473" s="4" t="s">
        <v>638</v>
      </c>
      <c r="K1473" s="5">
        <v>5849863</v>
      </c>
      <c r="L1473" s="5">
        <v>739989</v>
      </c>
      <c r="M1473" s="5">
        <v>18</v>
      </c>
      <c r="N1473" s="5">
        <v>1</v>
      </c>
      <c r="O1473" s="5">
        <v>1</v>
      </c>
      <c r="P1473" s="5"/>
    </row>
    <row r="1474" spans="1:16" x14ac:dyDescent="0.25">
      <c r="A1474" s="4" t="s">
        <v>54</v>
      </c>
      <c r="B1474" s="4" t="s">
        <v>423</v>
      </c>
      <c r="C1474" s="5">
        <v>37188</v>
      </c>
      <c r="D1474" s="4" t="s">
        <v>23</v>
      </c>
      <c r="E1474" s="4" t="s">
        <v>28</v>
      </c>
      <c r="F1474" s="4" t="s">
        <v>380</v>
      </c>
      <c r="G1474" s="4" t="s">
        <v>26</v>
      </c>
      <c r="H1474" s="4" t="s">
        <v>641</v>
      </c>
      <c r="I1474" s="4" t="s">
        <v>715</v>
      </c>
      <c r="J1474" s="4" t="s">
        <v>715</v>
      </c>
      <c r="K1474" s="5">
        <v>6259862</v>
      </c>
      <c r="L1474" s="5">
        <v>332500</v>
      </c>
      <c r="M1474" s="5">
        <v>19</v>
      </c>
      <c r="N1474" s="5">
        <v>2</v>
      </c>
      <c r="O1474" s="5">
        <v>1.68</v>
      </c>
      <c r="P1474" s="5"/>
    </row>
    <row r="1475" spans="1:16" x14ac:dyDescent="0.25">
      <c r="A1475" s="4" t="s">
        <v>54</v>
      </c>
      <c r="B1475" s="4" t="s">
        <v>423</v>
      </c>
      <c r="C1475" s="5">
        <v>37201</v>
      </c>
      <c r="D1475" s="4" t="s">
        <v>23</v>
      </c>
      <c r="E1475" s="4" t="s">
        <v>28</v>
      </c>
      <c r="F1475" s="4" t="s">
        <v>380</v>
      </c>
      <c r="G1475" s="4" t="s">
        <v>26</v>
      </c>
      <c r="H1475" s="4" t="s">
        <v>641</v>
      </c>
      <c r="I1475" s="4" t="s">
        <v>715</v>
      </c>
      <c r="J1475" s="4" t="s">
        <v>715</v>
      </c>
      <c r="K1475" s="5">
        <v>6259902</v>
      </c>
      <c r="L1475" s="5">
        <v>332634</v>
      </c>
      <c r="M1475" s="5">
        <v>19</v>
      </c>
      <c r="N1475" s="5">
        <v>1</v>
      </c>
      <c r="O1475" s="5">
        <v>0.75</v>
      </c>
      <c r="P1475" s="5"/>
    </row>
    <row r="1476" spans="1:16" x14ac:dyDescent="0.25">
      <c r="A1476" s="4" t="s">
        <v>21</v>
      </c>
      <c r="B1476" s="4" t="s">
        <v>423</v>
      </c>
      <c r="C1476" s="5">
        <v>37209</v>
      </c>
      <c r="D1476" s="4" t="s">
        <v>23</v>
      </c>
      <c r="E1476" s="4" t="s">
        <v>356</v>
      </c>
      <c r="F1476" s="4" t="s">
        <v>365</v>
      </c>
      <c r="G1476" s="4" t="s">
        <v>26</v>
      </c>
      <c r="H1476" s="4" t="s">
        <v>18</v>
      </c>
      <c r="I1476" s="4" t="s">
        <v>715</v>
      </c>
      <c r="J1476" s="4" t="s">
        <v>715</v>
      </c>
      <c r="K1476" s="5">
        <v>6253208</v>
      </c>
      <c r="L1476" s="5">
        <v>344281</v>
      </c>
      <c r="M1476" s="5">
        <v>19</v>
      </c>
      <c r="N1476" s="5">
        <v>1</v>
      </c>
      <c r="O1476" s="5">
        <v>1.6</v>
      </c>
      <c r="P1476" s="5"/>
    </row>
    <row r="1477" spans="1:16" x14ac:dyDescent="0.25">
      <c r="A1477" s="4" t="s">
        <v>21</v>
      </c>
      <c r="B1477" s="4" t="s">
        <v>423</v>
      </c>
      <c r="C1477" s="5">
        <v>37211</v>
      </c>
      <c r="D1477" s="4" t="s">
        <v>23</v>
      </c>
      <c r="E1477" s="4" t="s">
        <v>25</v>
      </c>
      <c r="F1477" s="4" t="s">
        <v>345</v>
      </c>
      <c r="G1477" s="4" t="s">
        <v>26</v>
      </c>
      <c r="H1477" s="4" t="s">
        <v>18</v>
      </c>
      <c r="I1477" s="4" t="s">
        <v>715</v>
      </c>
      <c r="J1477" s="4" t="s">
        <v>715</v>
      </c>
      <c r="K1477" s="5">
        <v>6275958</v>
      </c>
      <c r="L1477" s="5">
        <v>296244</v>
      </c>
      <c r="M1477" s="5">
        <v>19</v>
      </c>
      <c r="N1477" s="5">
        <v>1</v>
      </c>
      <c r="O1477" s="5">
        <v>6.2</v>
      </c>
      <c r="P1477" s="5"/>
    </row>
    <row r="1478" spans="1:16" x14ac:dyDescent="0.25">
      <c r="A1478" s="4" t="s">
        <v>13</v>
      </c>
      <c r="B1478" s="4" t="s">
        <v>423</v>
      </c>
      <c r="C1478" s="5">
        <v>37214</v>
      </c>
      <c r="D1478" s="4" t="s">
        <v>37</v>
      </c>
      <c r="E1478" s="4" t="s">
        <v>73</v>
      </c>
      <c r="F1478" s="4" t="s">
        <v>249</v>
      </c>
      <c r="G1478" s="4" t="s">
        <v>26</v>
      </c>
      <c r="H1478" s="4" t="s">
        <v>27</v>
      </c>
      <c r="I1478" s="4" t="s">
        <v>715</v>
      </c>
      <c r="J1478" s="4" t="s">
        <v>715</v>
      </c>
      <c r="K1478" s="5">
        <v>6153264</v>
      </c>
      <c r="L1478" s="5">
        <v>313870</v>
      </c>
      <c r="M1478" s="5">
        <v>19</v>
      </c>
      <c r="N1478" s="5">
        <v>1</v>
      </c>
      <c r="O1478" s="5">
        <v>10.5</v>
      </c>
      <c r="P1478" s="5"/>
    </row>
    <row r="1479" spans="1:16" x14ac:dyDescent="0.25">
      <c r="A1479" s="4" t="s">
        <v>13</v>
      </c>
      <c r="B1479" s="4" t="s">
        <v>423</v>
      </c>
      <c r="C1479" s="5">
        <v>37216</v>
      </c>
      <c r="D1479" s="4" t="s">
        <v>37</v>
      </c>
      <c r="E1479" s="4" t="s">
        <v>73</v>
      </c>
      <c r="F1479" s="4" t="s">
        <v>329</v>
      </c>
      <c r="G1479" s="4" t="s">
        <v>26</v>
      </c>
      <c r="H1479" s="4" t="s">
        <v>27</v>
      </c>
      <c r="I1479" s="4" t="s">
        <v>715</v>
      </c>
      <c r="J1479" s="4" t="s">
        <v>638</v>
      </c>
      <c r="K1479" s="5">
        <v>6161110</v>
      </c>
      <c r="L1479" s="5">
        <v>313863</v>
      </c>
      <c r="M1479" s="5">
        <v>19</v>
      </c>
      <c r="N1479" s="5">
        <v>1</v>
      </c>
      <c r="O1479" s="5">
        <v>8.5</v>
      </c>
      <c r="P1479" s="5"/>
    </row>
    <row r="1480" spans="1:16" x14ac:dyDescent="0.25">
      <c r="A1480" s="4" t="s">
        <v>13</v>
      </c>
      <c r="B1480" s="4" t="s">
        <v>423</v>
      </c>
      <c r="C1480" s="5">
        <v>37220</v>
      </c>
      <c r="D1480" s="4" t="s">
        <v>37</v>
      </c>
      <c r="E1480" s="4" t="s">
        <v>73</v>
      </c>
      <c r="F1480" s="4" t="s">
        <v>249</v>
      </c>
      <c r="G1480" s="4" t="s">
        <v>26</v>
      </c>
      <c r="H1480" s="4" t="s">
        <v>27</v>
      </c>
      <c r="I1480" s="4" t="s">
        <v>715</v>
      </c>
      <c r="J1480" s="4" t="s">
        <v>715</v>
      </c>
      <c r="K1480" s="5">
        <v>6155671</v>
      </c>
      <c r="L1480" s="5">
        <v>314533</v>
      </c>
      <c r="M1480" s="5">
        <v>19</v>
      </c>
      <c r="N1480" s="5">
        <v>1</v>
      </c>
      <c r="O1480" s="5">
        <v>12</v>
      </c>
      <c r="P1480" s="5"/>
    </row>
    <row r="1481" spans="1:16" x14ac:dyDescent="0.25">
      <c r="A1481" s="4" t="s">
        <v>13</v>
      </c>
      <c r="B1481" s="4" t="s">
        <v>423</v>
      </c>
      <c r="C1481" s="5">
        <v>37222</v>
      </c>
      <c r="D1481" s="4" t="s">
        <v>23</v>
      </c>
      <c r="E1481" s="4" t="s">
        <v>31</v>
      </c>
      <c r="F1481" s="4" t="s">
        <v>495</v>
      </c>
      <c r="G1481" s="4" t="s">
        <v>26</v>
      </c>
      <c r="H1481" s="4" t="s">
        <v>27</v>
      </c>
      <c r="I1481" s="4" t="s">
        <v>715</v>
      </c>
      <c r="J1481" s="4" t="s">
        <v>715</v>
      </c>
      <c r="K1481" s="5">
        <v>6293755</v>
      </c>
      <c r="L1481" s="5">
        <v>332144</v>
      </c>
      <c r="M1481" s="5">
        <v>19</v>
      </c>
      <c r="N1481" s="5">
        <v>1</v>
      </c>
      <c r="O1481" s="5">
        <v>0.41</v>
      </c>
      <c r="P1481" s="5"/>
    </row>
    <row r="1482" spans="1:16" x14ac:dyDescent="0.25">
      <c r="A1482" s="4" t="s">
        <v>13</v>
      </c>
      <c r="B1482" s="4" t="s">
        <v>423</v>
      </c>
      <c r="C1482" s="5">
        <v>37224</v>
      </c>
      <c r="D1482" s="4" t="s">
        <v>37</v>
      </c>
      <c r="E1482" s="4" t="s">
        <v>73</v>
      </c>
      <c r="F1482" s="4" t="s">
        <v>248</v>
      </c>
      <c r="G1482" s="4" t="s">
        <v>26</v>
      </c>
      <c r="H1482" s="4" t="s">
        <v>27</v>
      </c>
      <c r="I1482" s="4" t="s">
        <v>715</v>
      </c>
      <c r="J1482" s="4" t="s">
        <v>715</v>
      </c>
      <c r="K1482" s="5">
        <v>6158234</v>
      </c>
      <c r="L1482" s="5">
        <v>322418</v>
      </c>
      <c r="M1482" s="5">
        <v>19</v>
      </c>
      <c r="N1482" s="5">
        <v>2</v>
      </c>
      <c r="O1482" s="5">
        <v>17</v>
      </c>
      <c r="P1482" s="5"/>
    </row>
    <row r="1483" spans="1:16" x14ac:dyDescent="0.25">
      <c r="A1483" s="4" t="s">
        <v>13</v>
      </c>
      <c r="B1483" s="4" t="s">
        <v>423</v>
      </c>
      <c r="C1483" s="5">
        <v>37226</v>
      </c>
      <c r="D1483" s="4" t="s">
        <v>58</v>
      </c>
      <c r="E1483" s="4" t="s">
        <v>59</v>
      </c>
      <c r="F1483" s="4" t="s">
        <v>509</v>
      </c>
      <c r="G1483" s="4" t="s">
        <v>57</v>
      </c>
      <c r="H1483" s="4" t="s">
        <v>173</v>
      </c>
      <c r="I1483" s="4" t="s">
        <v>715</v>
      </c>
      <c r="J1483" s="4" t="s">
        <v>638</v>
      </c>
      <c r="K1483" s="5">
        <v>5850875</v>
      </c>
      <c r="L1483" s="5">
        <v>722757</v>
      </c>
      <c r="M1483" s="5">
        <v>18</v>
      </c>
      <c r="N1483" s="5">
        <v>1</v>
      </c>
      <c r="O1483" s="5">
        <v>1.2</v>
      </c>
      <c r="P1483" s="5"/>
    </row>
    <row r="1484" spans="1:16" x14ac:dyDescent="0.25">
      <c r="A1484" s="4" t="s">
        <v>13</v>
      </c>
      <c r="B1484" s="4" t="s">
        <v>423</v>
      </c>
      <c r="C1484" s="5">
        <v>37227</v>
      </c>
      <c r="D1484" s="4" t="s">
        <v>58</v>
      </c>
      <c r="E1484" s="4" t="s">
        <v>59</v>
      </c>
      <c r="F1484" s="4" t="s">
        <v>509</v>
      </c>
      <c r="G1484" s="4" t="s">
        <v>57</v>
      </c>
      <c r="H1484" s="4" t="s">
        <v>173</v>
      </c>
      <c r="I1484" s="4" t="s">
        <v>715</v>
      </c>
      <c r="J1484" s="4" t="s">
        <v>638</v>
      </c>
      <c r="K1484" s="5">
        <v>5849931</v>
      </c>
      <c r="L1484" s="5">
        <v>720836</v>
      </c>
      <c r="M1484" s="5">
        <v>18</v>
      </c>
      <c r="N1484" s="5">
        <v>1</v>
      </c>
      <c r="O1484" s="5">
        <v>1.2</v>
      </c>
      <c r="P1484" s="5"/>
    </row>
    <row r="1485" spans="1:16" x14ac:dyDescent="0.25">
      <c r="A1485" s="4" t="s">
        <v>54</v>
      </c>
      <c r="B1485" s="4" t="s">
        <v>423</v>
      </c>
      <c r="C1485" s="5">
        <v>37228</v>
      </c>
      <c r="D1485" s="4" t="s">
        <v>23</v>
      </c>
      <c r="E1485" s="4" t="s">
        <v>28</v>
      </c>
      <c r="F1485" s="4" t="s">
        <v>383</v>
      </c>
      <c r="G1485" s="4" t="s">
        <v>26</v>
      </c>
      <c r="H1485" s="4" t="s">
        <v>641</v>
      </c>
      <c r="I1485" s="4" t="s">
        <v>715</v>
      </c>
      <c r="J1485" s="4" t="s">
        <v>715</v>
      </c>
      <c r="K1485" s="5">
        <v>6260341</v>
      </c>
      <c r="L1485" s="5">
        <v>331000</v>
      </c>
      <c r="M1485" s="5">
        <v>19</v>
      </c>
      <c r="N1485" s="5">
        <v>1</v>
      </c>
      <c r="O1485" s="5">
        <v>0.61</v>
      </c>
      <c r="P1485" s="5"/>
    </row>
    <row r="1486" spans="1:16" x14ac:dyDescent="0.25">
      <c r="A1486" s="4" t="s">
        <v>13</v>
      </c>
      <c r="B1486" s="4" t="s">
        <v>423</v>
      </c>
      <c r="C1486" s="5">
        <v>37229</v>
      </c>
      <c r="D1486" s="4" t="s">
        <v>37</v>
      </c>
      <c r="E1486" s="4" t="s">
        <v>73</v>
      </c>
      <c r="F1486" s="4" t="s">
        <v>249</v>
      </c>
      <c r="G1486" s="4" t="s">
        <v>26</v>
      </c>
      <c r="H1486" s="4" t="s">
        <v>27</v>
      </c>
      <c r="I1486" s="4" t="s">
        <v>715</v>
      </c>
      <c r="J1486" s="4" t="s">
        <v>715</v>
      </c>
      <c r="K1486" s="5">
        <v>6155436</v>
      </c>
      <c r="L1486" s="5">
        <v>314857</v>
      </c>
      <c r="M1486" s="5">
        <v>19</v>
      </c>
      <c r="N1486" s="5">
        <v>1</v>
      </c>
      <c r="O1486" s="5">
        <v>3</v>
      </c>
      <c r="P1486" s="5"/>
    </row>
    <row r="1487" spans="1:16" x14ac:dyDescent="0.25">
      <c r="A1487" s="4" t="s">
        <v>13</v>
      </c>
      <c r="B1487" s="4" t="s">
        <v>423</v>
      </c>
      <c r="C1487" s="5">
        <v>37232</v>
      </c>
      <c r="D1487" s="4" t="s">
        <v>58</v>
      </c>
      <c r="E1487" s="4" t="s">
        <v>59</v>
      </c>
      <c r="F1487" s="4" t="s">
        <v>510</v>
      </c>
      <c r="G1487" s="4" t="s">
        <v>57</v>
      </c>
      <c r="H1487" s="4" t="s">
        <v>173</v>
      </c>
      <c r="I1487" s="4" t="s">
        <v>715</v>
      </c>
      <c r="J1487" s="4" t="s">
        <v>638</v>
      </c>
      <c r="K1487" s="5">
        <v>5849771</v>
      </c>
      <c r="L1487" s="5">
        <v>718649</v>
      </c>
      <c r="M1487" s="5">
        <v>18</v>
      </c>
      <c r="N1487" s="5">
        <v>1</v>
      </c>
      <c r="O1487" s="5">
        <v>1.3</v>
      </c>
      <c r="P1487" s="5"/>
    </row>
    <row r="1488" spans="1:16" x14ac:dyDescent="0.25">
      <c r="A1488" s="4" t="s">
        <v>21</v>
      </c>
      <c r="B1488" s="4" t="s">
        <v>423</v>
      </c>
      <c r="C1488" s="5">
        <v>37233</v>
      </c>
      <c r="D1488" s="4" t="s">
        <v>23</v>
      </c>
      <c r="E1488" s="4" t="s">
        <v>31</v>
      </c>
      <c r="F1488" s="4" t="s">
        <v>483</v>
      </c>
      <c r="G1488" s="4" t="s">
        <v>26</v>
      </c>
      <c r="H1488" s="4" t="s">
        <v>18</v>
      </c>
      <c r="I1488" s="4" t="s">
        <v>715</v>
      </c>
      <c r="J1488" s="4" t="s">
        <v>715</v>
      </c>
      <c r="K1488" s="5">
        <v>6296082</v>
      </c>
      <c r="L1488" s="5">
        <v>333335</v>
      </c>
      <c r="M1488" s="5">
        <v>19</v>
      </c>
      <c r="N1488" s="5">
        <v>1</v>
      </c>
      <c r="O1488" s="5">
        <v>0.24</v>
      </c>
      <c r="P1488" s="5"/>
    </row>
    <row r="1489" spans="1:16" x14ac:dyDescent="0.25">
      <c r="A1489" s="4" t="s">
        <v>21</v>
      </c>
      <c r="B1489" s="4" t="s">
        <v>423</v>
      </c>
      <c r="C1489" s="5">
        <v>37234</v>
      </c>
      <c r="D1489" s="4" t="s">
        <v>23</v>
      </c>
      <c r="E1489" s="4" t="s">
        <v>363</v>
      </c>
      <c r="F1489" s="4" t="s">
        <v>511</v>
      </c>
      <c r="G1489" s="4" t="s">
        <v>26</v>
      </c>
      <c r="H1489" s="4" t="s">
        <v>128</v>
      </c>
      <c r="I1489" s="4" t="s">
        <v>715</v>
      </c>
      <c r="J1489" s="4" t="s">
        <v>638</v>
      </c>
      <c r="K1489" s="5">
        <v>6280838</v>
      </c>
      <c r="L1489" s="5">
        <v>346353</v>
      </c>
      <c r="M1489" s="5">
        <v>19</v>
      </c>
      <c r="N1489" s="5">
        <v>1</v>
      </c>
      <c r="O1489" s="5">
        <v>4.84</v>
      </c>
      <c r="P1489" s="5"/>
    </row>
    <row r="1490" spans="1:16" x14ac:dyDescent="0.25">
      <c r="A1490" s="4" t="s">
        <v>21</v>
      </c>
      <c r="B1490" s="4" t="s">
        <v>423</v>
      </c>
      <c r="C1490" s="5">
        <v>37235</v>
      </c>
      <c r="D1490" s="4" t="s">
        <v>23</v>
      </c>
      <c r="E1490" s="4" t="s">
        <v>427</v>
      </c>
      <c r="F1490" s="4" t="s">
        <v>512</v>
      </c>
      <c r="G1490" s="4" t="s">
        <v>26</v>
      </c>
      <c r="H1490" s="4" t="s">
        <v>18</v>
      </c>
      <c r="I1490" s="4" t="s">
        <v>715</v>
      </c>
      <c r="J1490" s="4" t="s">
        <v>715</v>
      </c>
      <c r="K1490" s="5">
        <v>6327747</v>
      </c>
      <c r="L1490" s="5">
        <v>324219</v>
      </c>
      <c r="M1490" s="5">
        <v>19</v>
      </c>
      <c r="N1490" s="5">
        <v>1</v>
      </c>
      <c r="O1490" s="5">
        <v>8.1</v>
      </c>
      <c r="P1490" s="5"/>
    </row>
    <row r="1491" spans="1:16" x14ac:dyDescent="0.25">
      <c r="A1491" s="4" t="s">
        <v>21</v>
      </c>
      <c r="B1491" s="4" t="s">
        <v>423</v>
      </c>
      <c r="C1491" s="5">
        <v>37237</v>
      </c>
      <c r="D1491" s="4" t="s">
        <v>23</v>
      </c>
      <c r="E1491" s="4" t="s">
        <v>357</v>
      </c>
      <c r="F1491" s="4" t="s">
        <v>369</v>
      </c>
      <c r="G1491" s="4" t="s">
        <v>26</v>
      </c>
      <c r="H1491" s="4" t="s">
        <v>18</v>
      </c>
      <c r="I1491" s="4" t="s">
        <v>715</v>
      </c>
      <c r="J1491" s="4" t="s">
        <v>715</v>
      </c>
      <c r="K1491" s="5">
        <v>6276722</v>
      </c>
      <c r="L1491" s="5">
        <v>345889</v>
      </c>
      <c r="M1491" s="5">
        <v>19</v>
      </c>
      <c r="N1491" s="5">
        <v>1</v>
      </c>
      <c r="O1491" s="5">
        <v>0.96</v>
      </c>
      <c r="P1491" s="5"/>
    </row>
    <row r="1492" spans="1:16" x14ac:dyDescent="0.25">
      <c r="A1492" s="4" t="s">
        <v>13</v>
      </c>
      <c r="B1492" s="4" t="s">
        <v>423</v>
      </c>
      <c r="C1492" s="5">
        <v>37239</v>
      </c>
      <c r="D1492" s="4" t="s">
        <v>58</v>
      </c>
      <c r="E1492" s="4" t="s">
        <v>47</v>
      </c>
      <c r="F1492" s="4" t="s">
        <v>47</v>
      </c>
      <c r="G1492" s="4" t="s">
        <v>57</v>
      </c>
      <c r="H1492" s="4" t="s">
        <v>173</v>
      </c>
      <c r="I1492" s="4" t="s">
        <v>715</v>
      </c>
      <c r="J1492" s="4" t="s">
        <v>638</v>
      </c>
      <c r="K1492" s="5">
        <v>5849408</v>
      </c>
      <c r="L1492" s="5">
        <v>722307</v>
      </c>
      <c r="M1492" s="5">
        <v>18</v>
      </c>
      <c r="N1492" s="5">
        <v>1</v>
      </c>
      <c r="O1492" s="5">
        <v>1</v>
      </c>
      <c r="P1492" s="5"/>
    </row>
    <row r="1493" spans="1:16" x14ac:dyDescent="0.25">
      <c r="A1493" s="4" t="s">
        <v>13</v>
      </c>
      <c r="B1493" s="4" t="s">
        <v>423</v>
      </c>
      <c r="C1493" s="5">
        <v>37242</v>
      </c>
      <c r="D1493" s="4" t="s">
        <v>37</v>
      </c>
      <c r="E1493" s="4" t="s">
        <v>75</v>
      </c>
      <c r="F1493" s="4" t="s">
        <v>75</v>
      </c>
      <c r="G1493" s="4" t="s">
        <v>26</v>
      </c>
      <c r="H1493" s="4" t="s">
        <v>27</v>
      </c>
      <c r="I1493" s="4" t="s">
        <v>715</v>
      </c>
      <c r="J1493" s="4" t="s">
        <v>715</v>
      </c>
      <c r="K1493" s="5">
        <v>6232309</v>
      </c>
      <c r="L1493" s="5">
        <v>344546</v>
      </c>
      <c r="M1493" s="5">
        <v>19</v>
      </c>
      <c r="N1493" s="5">
        <v>1</v>
      </c>
      <c r="O1493" s="5">
        <v>9.26</v>
      </c>
      <c r="P1493" s="5"/>
    </row>
    <row r="1494" spans="1:16" x14ac:dyDescent="0.25">
      <c r="A1494" s="4" t="s">
        <v>13</v>
      </c>
      <c r="B1494" s="4" t="s">
        <v>423</v>
      </c>
      <c r="C1494" s="5">
        <v>37244</v>
      </c>
      <c r="D1494" s="4" t="s">
        <v>58</v>
      </c>
      <c r="E1494" s="4" t="s">
        <v>59</v>
      </c>
      <c r="F1494" s="4" t="s">
        <v>59</v>
      </c>
      <c r="G1494" s="4" t="s">
        <v>57</v>
      </c>
      <c r="H1494" s="4" t="s">
        <v>173</v>
      </c>
      <c r="I1494" s="4" t="s">
        <v>715</v>
      </c>
      <c r="J1494" s="4" t="s">
        <v>638</v>
      </c>
      <c r="K1494" s="5">
        <v>5851697</v>
      </c>
      <c r="L1494" s="5">
        <v>726277</v>
      </c>
      <c r="M1494" s="5">
        <v>18</v>
      </c>
      <c r="N1494" s="5">
        <v>1</v>
      </c>
      <c r="O1494" s="5">
        <v>0.75</v>
      </c>
      <c r="P1494" s="5"/>
    </row>
    <row r="1495" spans="1:16" x14ac:dyDescent="0.25">
      <c r="A1495" s="4" t="s">
        <v>13</v>
      </c>
      <c r="B1495" s="4" t="s">
        <v>423</v>
      </c>
      <c r="C1495" s="5">
        <v>37248</v>
      </c>
      <c r="D1495" s="4" t="s">
        <v>37</v>
      </c>
      <c r="E1495" s="4" t="s">
        <v>40</v>
      </c>
      <c r="F1495" s="4" t="s">
        <v>40</v>
      </c>
      <c r="G1495" s="4" t="s">
        <v>26</v>
      </c>
      <c r="H1495" s="4" t="s">
        <v>27</v>
      </c>
      <c r="I1495" s="4" t="s">
        <v>715</v>
      </c>
      <c r="J1495" s="4" t="s">
        <v>715</v>
      </c>
      <c r="K1495" s="5">
        <v>6215726</v>
      </c>
      <c r="L1495" s="5">
        <v>344071</v>
      </c>
      <c r="M1495" s="5">
        <v>19</v>
      </c>
      <c r="N1495" s="5">
        <v>2</v>
      </c>
      <c r="O1495" s="5">
        <v>25.98</v>
      </c>
      <c r="P1495" s="5"/>
    </row>
    <row r="1496" spans="1:16" x14ac:dyDescent="0.25">
      <c r="A1496" s="4" t="s">
        <v>13</v>
      </c>
      <c r="B1496" s="4" t="s">
        <v>423</v>
      </c>
      <c r="C1496" s="5">
        <v>37249</v>
      </c>
      <c r="D1496" s="4" t="s">
        <v>58</v>
      </c>
      <c r="E1496" s="4" t="s">
        <v>59</v>
      </c>
      <c r="F1496" s="4" t="s">
        <v>59</v>
      </c>
      <c r="G1496" s="4" t="s">
        <v>57</v>
      </c>
      <c r="H1496" s="4" t="s">
        <v>173</v>
      </c>
      <c r="I1496" s="4" t="s">
        <v>715</v>
      </c>
      <c r="J1496" s="4" t="s">
        <v>638</v>
      </c>
      <c r="K1496" s="5">
        <v>5851697</v>
      </c>
      <c r="L1496" s="5">
        <v>726277</v>
      </c>
      <c r="M1496" s="5">
        <v>18</v>
      </c>
      <c r="N1496" s="5">
        <v>1</v>
      </c>
      <c r="O1496" s="5">
        <v>0.75</v>
      </c>
      <c r="P1496" s="5"/>
    </row>
    <row r="1497" spans="1:16" x14ac:dyDescent="0.25">
      <c r="A1497" s="4" t="s">
        <v>21</v>
      </c>
      <c r="B1497" s="4" t="s">
        <v>423</v>
      </c>
      <c r="C1497" s="5">
        <v>37253</v>
      </c>
      <c r="D1497" s="4" t="s">
        <v>23</v>
      </c>
      <c r="E1497" s="4" t="s">
        <v>31</v>
      </c>
      <c r="F1497" s="4" t="s">
        <v>480</v>
      </c>
      <c r="G1497" s="4" t="s">
        <v>26</v>
      </c>
      <c r="H1497" s="4" t="s">
        <v>18</v>
      </c>
      <c r="I1497" s="4" t="s">
        <v>715</v>
      </c>
      <c r="J1497" s="4" t="s">
        <v>715</v>
      </c>
      <c r="K1497" s="5">
        <v>6289798</v>
      </c>
      <c r="L1497" s="5">
        <v>330970</v>
      </c>
      <c r="M1497" s="5">
        <v>19</v>
      </c>
      <c r="N1497" s="5">
        <v>1</v>
      </c>
      <c r="O1497" s="5">
        <v>0.21</v>
      </c>
      <c r="P1497" s="5"/>
    </row>
    <row r="1498" spans="1:16" x14ac:dyDescent="0.25">
      <c r="A1498" s="4" t="s">
        <v>21</v>
      </c>
      <c r="B1498" s="4" t="s">
        <v>423</v>
      </c>
      <c r="C1498" s="5">
        <v>37255</v>
      </c>
      <c r="D1498" s="4" t="s">
        <v>23</v>
      </c>
      <c r="E1498" s="4" t="s">
        <v>31</v>
      </c>
      <c r="F1498" s="4" t="s">
        <v>480</v>
      </c>
      <c r="G1498" s="4" t="s">
        <v>26</v>
      </c>
      <c r="H1498" s="4" t="s">
        <v>18</v>
      </c>
      <c r="I1498" s="4" t="s">
        <v>715</v>
      </c>
      <c r="J1498" s="4" t="s">
        <v>715</v>
      </c>
      <c r="K1498" s="5">
        <v>6289484</v>
      </c>
      <c r="L1498" s="5">
        <v>329834</v>
      </c>
      <c r="M1498" s="5">
        <v>19</v>
      </c>
      <c r="N1498" s="5">
        <v>1</v>
      </c>
      <c r="O1498" s="5">
        <v>0.4</v>
      </c>
      <c r="P1498" s="5"/>
    </row>
    <row r="1499" spans="1:16" x14ac:dyDescent="0.25">
      <c r="A1499" s="4" t="s">
        <v>21</v>
      </c>
      <c r="B1499" s="4" t="s">
        <v>423</v>
      </c>
      <c r="C1499" s="5">
        <v>37256</v>
      </c>
      <c r="D1499" s="4" t="s">
        <v>23</v>
      </c>
      <c r="E1499" s="4" t="s">
        <v>445</v>
      </c>
      <c r="F1499" s="4" t="s">
        <v>462</v>
      </c>
      <c r="G1499" s="4" t="s">
        <v>26</v>
      </c>
      <c r="H1499" s="4" t="s">
        <v>18</v>
      </c>
      <c r="I1499" s="4" t="s">
        <v>715</v>
      </c>
      <c r="J1499" s="4" t="s">
        <v>715</v>
      </c>
      <c r="K1499" s="5">
        <v>6305975</v>
      </c>
      <c r="L1499" s="5">
        <v>329890</v>
      </c>
      <c r="M1499" s="5">
        <v>19</v>
      </c>
      <c r="N1499" s="5">
        <v>1</v>
      </c>
      <c r="O1499" s="5">
        <v>0.24</v>
      </c>
      <c r="P1499" s="5"/>
    </row>
    <row r="1500" spans="1:16" x14ac:dyDescent="0.25">
      <c r="A1500" s="4" t="s">
        <v>21</v>
      </c>
      <c r="B1500" s="4" t="s">
        <v>423</v>
      </c>
      <c r="C1500" s="5">
        <v>37257</v>
      </c>
      <c r="D1500" s="4" t="s">
        <v>23</v>
      </c>
      <c r="E1500" s="4" t="s">
        <v>445</v>
      </c>
      <c r="F1500" s="4" t="s">
        <v>462</v>
      </c>
      <c r="G1500" s="4" t="s">
        <v>26</v>
      </c>
      <c r="H1500" s="4" t="s">
        <v>18</v>
      </c>
      <c r="I1500" s="4" t="s">
        <v>715</v>
      </c>
      <c r="J1500" s="4" t="s">
        <v>715</v>
      </c>
      <c r="K1500" s="5">
        <v>6305417</v>
      </c>
      <c r="L1500" s="5">
        <v>329180</v>
      </c>
      <c r="M1500" s="5">
        <v>19</v>
      </c>
      <c r="N1500" s="5">
        <v>1</v>
      </c>
      <c r="O1500" s="5">
        <v>0.19</v>
      </c>
      <c r="P1500" s="5"/>
    </row>
    <row r="1501" spans="1:16" x14ac:dyDescent="0.25">
      <c r="A1501" s="4" t="s">
        <v>21</v>
      </c>
      <c r="B1501" s="4" t="s">
        <v>423</v>
      </c>
      <c r="C1501" s="5">
        <v>37258</v>
      </c>
      <c r="D1501" s="4" t="s">
        <v>23</v>
      </c>
      <c r="E1501" s="4" t="s">
        <v>28</v>
      </c>
      <c r="F1501" s="4" t="s">
        <v>513</v>
      </c>
      <c r="G1501" s="4" t="s">
        <v>26</v>
      </c>
      <c r="H1501" s="4" t="s">
        <v>18</v>
      </c>
      <c r="I1501" s="4" t="s">
        <v>715</v>
      </c>
      <c r="J1501" s="4" t="s">
        <v>715</v>
      </c>
      <c r="K1501" s="5">
        <v>6262875</v>
      </c>
      <c r="L1501" s="5">
        <v>336739</v>
      </c>
      <c r="M1501" s="5">
        <v>19</v>
      </c>
      <c r="N1501" s="5">
        <v>1</v>
      </c>
      <c r="O1501" s="5">
        <v>0.24</v>
      </c>
      <c r="P1501" s="5"/>
    </row>
    <row r="1502" spans="1:16" x14ac:dyDescent="0.25">
      <c r="A1502" s="4" t="s">
        <v>21</v>
      </c>
      <c r="B1502" s="4" t="s">
        <v>423</v>
      </c>
      <c r="C1502" s="5">
        <v>37259</v>
      </c>
      <c r="D1502" s="4" t="s">
        <v>23</v>
      </c>
      <c r="E1502" s="4" t="s">
        <v>25</v>
      </c>
      <c r="F1502" s="4" t="s">
        <v>345</v>
      </c>
      <c r="G1502" s="4" t="s">
        <v>26</v>
      </c>
      <c r="H1502" s="4" t="s">
        <v>18</v>
      </c>
      <c r="I1502" s="4" t="s">
        <v>715</v>
      </c>
      <c r="J1502" s="4" t="s">
        <v>715</v>
      </c>
      <c r="K1502" s="5">
        <v>6273233</v>
      </c>
      <c r="L1502" s="5">
        <v>300525</v>
      </c>
      <c r="M1502" s="5">
        <v>19</v>
      </c>
      <c r="N1502" s="5">
        <v>1</v>
      </c>
      <c r="O1502" s="5">
        <v>1.1499999999999999</v>
      </c>
      <c r="P1502" s="5"/>
    </row>
    <row r="1503" spans="1:16" x14ac:dyDescent="0.25">
      <c r="A1503" s="4" t="s">
        <v>13</v>
      </c>
      <c r="B1503" s="4" t="s">
        <v>423</v>
      </c>
      <c r="C1503" s="5">
        <v>37261</v>
      </c>
      <c r="D1503" s="4" t="s">
        <v>37</v>
      </c>
      <c r="E1503" s="4" t="s">
        <v>399</v>
      </c>
      <c r="F1503" s="4" t="s">
        <v>514</v>
      </c>
      <c r="G1503" s="4" t="s">
        <v>26</v>
      </c>
      <c r="H1503" s="4" t="s">
        <v>27</v>
      </c>
      <c r="I1503" s="4" t="s">
        <v>715</v>
      </c>
      <c r="J1503" s="4" t="s">
        <v>715</v>
      </c>
      <c r="K1503" s="5">
        <v>6164510</v>
      </c>
      <c r="L1503" s="5">
        <v>291724</v>
      </c>
      <c r="M1503" s="5">
        <v>19</v>
      </c>
      <c r="N1503" s="5">
        <v>3</v>
      </c>
      <c r="O1503" s="5">
        <v>35</v>
      </c>
      <c r="P1503" s="5"/>
    </row>
    <row r="1504" spans="1:16" x14ac:dyDescent="0.25">
      <c r="A1504" s="4" t="s">
        <v>21</v>
      </c>
      <c r="B1504" s="4" t="s">
        <v>423</v>
      </c>
      <c r="C1504" s="5">
        <v>37266</v>
      </c>
      <c r="D1504" s="4" t="s">
        <v>23</v>
      </c>
      <c r="E1504" s="4" t="s">
        <v>367</v>
      </c>
      <c r="F1504" s="4" t="s">
        <v>367</v>
      </c>
      <c r="G1504" s="4" t="s">
        <v>26</v>
      </c>
      <c r="H1504" s="4" t="s">
        <v>18</v>
      </c>
      <c r="I1504" s="4" t="s">
        <v>715</v>
      </c>
      <c r="J1504" s="4" t="s">
        <v>715</v>
      </c>
      <c r="K1504" s="5">
        <v>6279581</v>
      </c>
      <c r="L1504" s="5">
        <v>334321</v>
      </c>
      <c r="M1504" s="5">
        <v>19</v>
      </c>
      <c r="N1504" s="5">
        <v>1</v>
      </c>
      <c r="O1504" s="5">
        <v>5.0599999999999996</v>
      </c>
      <c r="P1504" s="5"/>
    </row>
    <row r="1505" spans="1:16" x14ac:dyDescent="0.25">
      <c r="A1505" s="4" t="s">
        <v>13</v>
      </c>
      <c r="B1505" s="4" t="s">
        <v>423</v>
      </c>
      <c r="C1505" s="5">
        <v>37267</v>
      </c>
      <c r="D1505" s="4" t="s">
        <v>23</v>
      </c>
      <c r="E1505" s="4" t="s">
        <v>381</v>
      </c>
      <c r="F1505" s="4" t="s">
        <v>382</v>
      </c>
      <c r="G1505" s="4" t="s">
        <v>26</v>
      </c>
      <c r="H1505" s="4" t="s">
        <v>27</v>
      </c>
      <c r="I1505" s="4" t="s">
        <v>715</v>
      </c>
      <c r="J1505" s="4" t="s">
        <v>715</v>
      </c>
      <c r="K1505" s="5">
        <v>6266886</v>
      </c>
      <c r="L1505" s="5">
        <v>322818</v>
      </c>
      <c r="M1505" s="5">
        <v>19</v>
      </c>
      <c r="N1505" s="5">
        <v>1</v>
      </c>
      <c r="O1505" s="5">
        <v>0.41</v>
      </c>
      <c r="P1505" s="5"/>
    </row>
    <row r="1506" spans="1:16" x14ac:dyDescent="0.25">
      <c r="A1506" s="4" t="s">
        <v>21</v>
      </c>
      <c r="B1506" s="4" t="s">
        <v>423</v>
      </c>
      <c r="C1506" s="5">
        <v>37268</v>
      </c>
      <c r="D1506" s="4" t="s">
        <v>23</v>
      </c>
      <c r="E1506" s="4" t="s">
        <v>357</v>
      </c>
      <c r="F1506" s="4" t="s">
        <v>358</v>
      </c>
      <c r="G1506" s="4" t="s">
        <v>26</v>
      </c>
      <c r="H1506" s="4" t="s">
        <v>27</v>
      </c>
      <c r="I1506" s="4" t="s">
        <v>715</v>
      </c>
      <c r="J1506" s="4" t="s">
        <v>715</v>
      </c>
      <c r="K1506" s="5">
        <v>6275953</v>
      </c>
      <c r="L1506" s="5">
        <v>345866</v>
      </c>
      <c r="M1506" s="5">
        <v>19</v>
      </c>
      <c r="N1506" s="5">
        <v>1</v>
      </c>
      <c r="O1506" s="5">
        <v>1.2</v>
      </c>
      <c r="P1506" s="5"/>
    </row>
    <row r="1507" spans="1:16" x14ac:dyDescent="0.25">
      <c r="A1507" s="4" t="s">
        <v>21</v>
      </c>
      <c r="B1507" s="4" t="s">
        <v>423</v>
      </c>
      <c r="C1507" s="5">
        <v>37269</v>
      </c>
      <c r="D1507" s="4" t="s">
        <v>23</v>
      </c>
      <c r="E1507" s="4" t="s">
        <v>367</v>
      </c>
      <c r="F1507" s="4" t="s">
        <v>367</v>
      </c>
      <c r="G1507" s="4" t="s">
        <v>26</v>
      </c>
      <c r="H1507" s="4" t="s">
        <v>18</v>
      </c>
      <c r="I1507" s="4" t="s">
        <v>715</v>
      </c>
      <c r="J1507" s="4" t="s">
        <v>715</v>
      </c>
      <c r="K1507" s="5">
        <v>6278338</v>
      </c>
      <c r="L1507" s="5">
        <v>334712</v>
      </c>
      <c r="M1507" s="5">
        <v>19</v>
      </c>
      <c r="N1507" s="5">
        <v>1</v>
      </c>
      <c r="O1507" s="5">
        <v>6.3</v>
      </c>
      <c r="P1507" s="5"/>
    </row>
    <row r="1508" spans="1:16" x14ac:dyDescent="0.25">
      <c r="A1508" s="4" t="s">
        <v>21</v>
      </c>
      <c r="B1508" s="4" t="s">
        <v>423</v>
      </c>
      <c r="C1508" s="5">
        <v>37270</v>
      </c>
      <c r="D1508" s="4" t="s">
        <v>23</v>
      </c>
      <c r="E1508" s="4" t="s">
        <v>25</v>
      </c>
      <c r="F1508" s="4" t="s">
        <v>147</v>
      </c>
      <c r="G1508" s="4" t="s">
        <v>26</v>
      </c>
      <c r="H1508" s="4" t="s">
        <v>18</v>
      </c>
      <c r="I1508" s="4" t="s">
        <v>715</v>
      </c>
      <c r="J1508" s="4" t="s">
        <v>715</v>
      </c>
      <c r="K1508" s="5">
        <v>6277330</v>
      </c>
      <c r="L1508" s="5">
        <v>290541</v>
      </c>
      <c r="M1508" s="5">
        <v>19</v>
      </c>
      <c r="N1508" s="5">
        <v>1</v>
      </c>
      <c r="O1508" s="5">
        <v>2.4</v>
      </c>
      <c r="P1508" s="5"/>
    </row>
    <row r="1509" spans="1:16" x14ac:dyDescent="0.25">
      <c r="A1509" s="4" t="s">
        <v>21</v>
      </c>
      <c r="B1509" s="4" t="s">
        <v>423</v>
      </c>
      <c r="C1509" s="5">
        <v>37271</v>
      </c>
      <c r="D1509" s="4" t="s">
        <v>23</v>
      </c>
      <c r="E1509" s="4" t="s">
        <v>515</v>
      </c>
      <c r="F1509" s="4" t="s">
        <v>515</v>
      </c>
      <c r="G1509" s="4" t="s">
        <v>26</v>
      </c>
      <c r="H1509" s="4" t="s">
        <v>18</v>
      </c>
      <c r="I1509" s="4" t="s">
        <v>715</v>
      </c>
      <c r="J1509" s="4" t="s">
        <v>715</v>
      </c>
      <c r="K1509" s="5">
        <v>6307895</v>
      </c>
      <c r="L1509" s="5">
        <v>341684</v>
      </c>
      <c r="M1509" s="5">
        <v>19</v>
      </c>
      <c r="N1509" s="5">
        <v>1</v>
      </c>
      <c r="O1509" s="5">
        <v>2.4500000000000002</v>
      </c>
      <c r="P1509" s="5"/>
    </row>
    <row r="1510" spans="1:16" x14ac:dyDescent="0.25">
      <c r="A1510" s="4" t="s">
        <v>21</v>
      </c>
      <c r="B1510" s="4" t="s">
        <v>423</v>
      </c>
      <c r="C1510" s="5">
        <v>37273</v>
      </c>
      <c r="D1510" s="4" t="s">
        <v>58</v>
      </c>
      <c r="E1510" s="4" t="s">
        <v>59</v>
      </c>
      <c r="F1510" s="4" t="s">
        <v>432</v>
      </c>
      <c r="G1510" s="4" t="s">
        <v>57</v>
      </c>
      <c r="H1510" s="4" t="s">
        <v>27</v>
      </c>
      <c r="I1510" s="4" t="s">
        <v>715</v>
      </c>
      <c r="J1510" s="4" t="s">
        <v>638</v>
      </c>
      <c r="K1510" s="5">
        <v>5855599</v>
      </c>
      <c r="L1510" s="5">
        <v>722645</v>
      </c>
      <c r="M1510" s="5">
        <v>18</v>
      </c>
      <c r="N1510" s="5">
        <v>1</v>
      </c>
      <c r="O1510" s="5">
        <v>4</v>
      </c>
      <c r="P1510" s="5"/>
    </row>
    <row r="1511" spans="1:16" x14ac:dyDescent="0.25">
      <c r="A1511" s="4" t="s">
        <v>13</v>
      </c>
      <c r="B1511" s="4" t="s">
        <v>423</v>
      </c>
      <c r="C1511" s="5">
        <v>37277</v>
      </c>
      <c r="D1511" s="4" t="s">
        <v>37</v>
      </c>
      <c r="E1511" s="4" t="s">
        <v>38</v>
      </c>
      <c r="F1511" s="4" t="s">
        <v>38</v>
      </c>
      <c r="G1511" s="4" t="s">
        <v>26</v>
      </c>
      <c r="H1511" s="4" t="s">
        <v>27</v>
      </c>
      <c r="I1511" s="4" t="s">
        <v>715</v>
      </c>
      <c r="J1511" s="4" t="s">
        <v>715</v>
      </c>
      <c r="K1511" s="5">
        <v>6165875</v>
      </c>
      <c r="L1511" s="5">
        <v>322121</v>
      </c>
      <c r="M1511" s="5">
        <v>19</v>
      </c>
      <c r="N1511" s="5">
        <v>2</v>
      </c>
      <c r="O1511" s="5">
        <v>6.6</v>
      </c>
      <c r="P1511" s="5"/>
    </row>
    <row r="1512" spans="1:16" x14ac:dyDescent="0.25">
      <c r="A1512" s="4" t="s">
        <v>21</v>
      </c>
      <c r="B1512" s="4" t="s">
        <v>423</v>
      </c>
      <c r="C1512" s="5">
        <v>37278</v>
      </c>
      <c r="D1512" s="4" t="s">
        <v>37</v>
      </c>
      <c r="E1512" s="4" t="s">
        <v>73</v>
      </c>
      <c r="F1512" s="4" t="s">
        <v>516</v>
      </c>
      <c r="G1512" s="4" t="s">
        <v>26</v>
      </c>
      <c r="H1512" s="4" t="s">
        <v>27</v>
      </c>
      <c r="I1512" s="4" t="s">
        <v>715</v>
      </c>
      <c r="J1512" s="4" t="s">
        <v>638</v>
      </c>
      <c r="K1512" s="5">
        <v>6156798</v>
      </c>
      <c r="L1512" s="5">
        <v>319657</v>
      </c>
      <c r="M1512" s="5">
        <v>19</v>
      </c>
      <c r="N1512" s="5">
        <v>1</v>
      </c>
      <c r="O1512" s="5">
        <v>10.220000000000001</v>
      </c>
      <c r="P1512" s="5"/>
    </row>
    <row r="1513" spans="1:16" x14ac:dyDescent="0.25">
      <c r="A1513" s="4" t="s">
        <v>13</v>
      </c>
      <c r="B1513" s="4" t="s">
        <v>423</v>
      </c>
      <c r="C1513" s="5">
        <v>37336</v>
      </c>
      <c r="D1513" s="4" t="s">
        <v>33</v>
      </c>
      <c r="E1513" s="4" t="s">
        <v>34</v>
      </c>
      <c r="F1513" s="4" t="s">
        <v>34</v>
      </c>
      <c r="G1513" s="4" t="s">
        <v>26</v>
      </c>
      <c r="H1513" s="4" t="s">
        <v>27</v>
      </c>
      <c r="I1513" s="4" t="s">
        <v>715</v>
      </c>
      <c r="J1513" s="4" t="s">
        <v>715</v>
      </c>
      <c r="K1513" s="5">
        <v>6129353</v>
      </c>
      <c r="L1513" s="5">
        <v>296292</v>
      </c>
      <c r="M1513" s="5">
        <v>19</v>
      </c>
      <c r="N1513" s="5">
        <v>2</v>
      </c>
      <c r="O1513" s="5">
        <v>10.4</v>
      </c>
      <c r="P1513" s="5"/>
    </row>
    <row r="1514" spans="1:16" x14ac:dyDescent="0.25">
      <c r="A1514" s="4" t="s">
        <v>21</v>
      </c>
      <c r="B1514" s="4" t="s">
        <v>423</v>
      </c>
      <c r="C1514" s="5">
        <v>37338</v>
      </c>
      <c r="D1514" s="4" t="s">
        <v>33</v>
      </c>
      <c r="E1514" s="4" t="s">
        <v>147</v>
      </c>
      <c r="F1514" s="4" t="s">
        <v>147</v>
      </c>
      <c r="G1514" s="4" t="s">
        <v>26</v>
      </c>
      <c r="H1514" s="4" t="s">
        <v>27</v>
      </c>
      <c r="I1514" s="4" t="s">
        <v>715</v>
      </c>
      <c r="J1514" s="4" t="s">
        <v>715</v>
      </c>
      <c r="K1514" s="5">
        <v>6053744</v>
      </c>
      <c r="L1514" s="5">
        <v>255284</v>
      </c>
      <c r="M1514" s="5">
        <v>19</v>
      </c>
      <c r="N1514" s="5">
        <v>3</v>
      </c>
      <c r="O1514" s="5">
        <v>22.76</v>
      </c>
      <c r="P1514" s="5"/>
    </row>
    <row r="1515" spans="1:16" x14ac:dyDescent="0.25">
      <c r="A1515" s="4" t="s">
        <v>21</v>
      </c>
      <c r="B1515" s="4" t="s">
        <v>423</v>
      </c>
      <c r="C1515" s="5">
        <v>37359</v>
      </c>
      <c r="D1515" s="4" t="s">
        <v>37</v>
      </c>
      <c r="E1515" s="4" t="s">
        <v>169</v>
      </c>
      <c r="F1515" s="4" t="s">
        <v>169</v>
      </c>
      <c r="G1515" s="4" t="s">
        <v>26</v>
      </c>
      <c r="H1515" s="4" t="s">
        <v>27</v>
      </c>
      <c r="I1515" s="4" t="s">
        <v>715</v>
      </c>
      <c r="J1515" s="4" t="s">
        <v>638</v>
      </c>
      <c r="K1515" s="5">
        <v>6219546</v>
      </c>
      <c r="L1515" s="5">
        <v>343969</v>
      </c>
      <c r="M1515" s="5">
        <v>19</v>
      </c>
      <c r="N1515" s="5">
        <v>1</v>
      </c>
      <c r="O1515" s="5">
        <v>20</v>
      </c>
      <c r="P1515" s="5"/>
    </row>
    <row r="1516" spans="1:16" x14ac:dyDescent="0.25">
      <c r="A1516" s="4" t="s">
        <v>13</v>
      </c>
      <c r="B1516" s="4" t="s">
        <v>423</v>
      </c>
      <c r="C1516" s="5">
        <v>37360</v>
      </c>
      <c r="D1516" s="4" t="s">
        <v>37</v>
      </c>
      <c r="E1516" s="4" t="s">
        <v>295</v>
      </c>
      <c r="F1516" s="4" t="s">
        <v>517</v>
      </c>
      <c r="G1516" s="4" t="s">
        <v>26</v>
      </c>
      <c r="H1516" s="4" t="s">
        <v>27</v>
      </c>
      <c r="I1516" s="4" t="s">
        <v>715</v>
      </c>
      <c r="J1516" s="4" t="s">
        <v>715</v>
      </c>
      <c r="K1516" s="5">
        <v>6230147</v>
      </c>
      <c r="L1516" s="5">
        <v>342782</v>
      </c>
      <c r="M1516" s="5">
        <v>19</v>
      </c>
      <c r="N1516" s="5">
        <v>1</v>
      </c>
      <c r="O1516" s="5">
        <v>21</v>
      </c>
      <c r="P1516" s="5"/>
    </row>
    <row r="1517" spans="1:16" x14ac:dyDescent="0.25">
      <c r="A1517" s="4" t="s">
        <v>21</v>
      </c>
      <c r="B1517" s="4" t="s">
        <v>423</v>
      </c>
      <c r="C1517" s="5">
        <v>37361</v>
      </c>
      <c r="D1517" s="4" t="s">
        <v>37</v>
      </c>
      <c r="E1517" s="4" t="s">
        <v>73</v>
      </c>
      <c r="F1517" s="4" t="s">
        <v>434</v>
      </c>
      <c r="G1517" s="4" t="s">
        <v>26</v>
      </c>
      <c r="H1517" s="4" t="s">
        <v>27</v>
      </c>
      <c r="I1517" s="4" t="s">
        <v>638</v>
      </c>
      <c r="J1517" s="4" t="s">
        <v>715</v>
      </c>
      <c r="K1517" s="5">
        <v>6158517</v>
      </c>
      <c r="L1517" s="5">
        <v>317776</v>
      </c>
      <c r="M1517" s="5">
        <v>19</v>
      </c>
      <c r="N1517" s="5">
        <v>1</v>
      </c>
      <c r="O1517" s="5">
        <v>10</v>
      </c>
      <c r="P1517" s="5"/>
    </row>
    <row r="1518" spans="1:16" x14ac:dyDescent="0.25">
      <c r="A1518" s="4" t="s">
        <v>21</v>
      </c>
      <c r="B1518" s="4" t="s">
        <v>423</v>
      </c>
      <c r="C1518" s="5">
        <v>37380</v>
      </c>
      <c r="D1518" s="4" t="s">
        <v>33</v>
      </c>
      <c r="E1518" s="4" t="s">
        <v>167</v>
      </c>
      <c r="F1518" s="4" t="s">
        <v>167</v>
      </c>
      <c r="G1518" s="4" t="s">
        <v>26</v>
      </c>
      <c r="H1518" s="4" t="s">
        <v>27</v>
      </c>
      <c r="I1518" s="4" t="s">
        <v>715</v>
      </c>
      <c r="J1518" s="4" t="s">
        <v>638</v>
      </c>
      <c r="K1518" s="5">
        <v>6101527</v>
      </c>
      <c r="L1518" s="5">
        <v>292932</v>
      </c>
      <c r="M1518" s="5">
        <v>19</v>
      </c>
      <c r="N1518" s="5">
        <v>1</v>
      </c>
      <c r="O1518" s="5">
        <v>21</v>
      </c>
      <c r="P1518" s="5"/>
    </row>
    <row r="1519" spans="1:16" x14ac:dyDescent="0.25">
      <c r="A1519" s="4" t="s">
        <v>21</v>
      </c>
      <c r="B1519" s="4" t="s">
        <v>423</v>
      </c>
      <c r="C1519" s="5">
        <v>37404</v>
      </c>
      <c r="D1519" s="4" t="s">
        <v>33</v>
      </c>
      <c r="E1519" s="4" t="s">
        <v>144</v>
      </c>
      <c r="F1519" s="4" t="s">
        <v>467</v>
      </c>
      <c r="G1519" s="4" t="s">
        <v>26</v>
      </c>
      <c r="H1519" s="4" t="s">
        <v>27</v>
      </c>
      <c r="I1519" s="4" t="s">
        <v>715</v>
      </c>
      <c r="J1519" s="4" t="s">
        <v>715</v>
      </c>
      <c r="K1519" s="5">
        <v>6058550</v>
      </c>
      <c r="L1519" s="5">
        <v>240564</v>
      </c>
      <c r="M1519" s="5">
        <v>19</v>
      </c>
      <c r="N1519" s="5">
        <v>2</v>
      </c>
      <c r="O1519" s="5">
        <v>58.5</v>
      </c>
      <c r="P1519" s="5"/>
    </row>
    <row r="1520" spans="1:16" x14ac:dyDescent="0.25">
      <c r="A1520" s="4" t="s">
        <v>21</v>
      </c>
      <c r="B1520" s="4" t="s">
        <v>423</v>
      </c>
      <c r="C1520" s="5">
        <v>37420</v>
      </c>
      <c r="D1520" s="4" t="s">
        <v>23</v>
      </c>
      <c r="E1520" s="4" t="s">
        <v>357</v>
      </c>
      <c r="F1520" s="4" t="s">
        <v>459</v>
      </c>
      <c r="G1520" s="4" t="s">
        <v>26</v>
      </c>
      <c r="H1520" s="4" t="s">
        <v>18</v>
      </c>
      <c r="I1520" s="4" t="s">
        <v>715</v>
      </c>
      <c r="J1520" s="4" t="s">
        <v>715</v>
      </c>
      <c r="K1520" s="5">
        <v>6278836</v>
      </c>
      <c r="L1520" s="5">
        <v>339378</v>
      </c>
      <c r="M1520" s="5">
        <v>19</v>
      </c>
      <c r="N1520" s="5">
        <v>1</v>
      </c>
      <c r="O1520" s="5">
        <v>0.08</v>
      </c>
      <c r="P1520" s="5"/>
    </row>
    <row r="1521" spans="1:16" x14ac:dyDescent="0.25">
      <c r="A1521" s="4" t="s">
        <v>21</v>
      </c>
      <c r="B1521" s="4" t="s">
        <v>423</v>
      </c>
      <c r="C1521" s="5">
        <v>37421</v>
      </c>
      <c r="D1521" s="4" t="s">
        <v>23</v>
      </c>
      <c r="E1521" s="4" t="s">
        <v>357</v>
      </c>
      <c r="F1521" s="4" t="s">
        <v>459</v>
      </c>
      <c r="G1521" s="4" t="s">
        <v>26</v>
      </c>
      <c r="H1521" s="4" t="s">
        <v>18</v>
      </c>
      <c r="I1521" s="4" t="s">
        <v>715</v>
      </c>
      <c r="J1521" s="4" t="s">
        <v>715</v>
      </c>
      <c r="K1521" s="5">
        <v>6278890</v>
      </c>
      <c r="L1521" s="5">
        <v>339645</v>
      </c>
      <c r="M1521" s="5">
        <v>19</v>
      </c>
      <c r="N1521" s="5">
        <v>1</v>
      </c>
      <c r="O1521" s="5">
        <v>0.13</v>
      </c>
      <c r="P1521" s="5"/>
    </row>
    <row r="1522" spans="1:16" x14ac:dyDescent="0.25">
      <c r="A1522" s="4" t="s">
        <v>21</v>
      </c>
      <c r="B1522" s="4" t="s">
        <v>423</v>
      </c>
      <c r="C1522" s="5">
        <v>37422</v>
      </c>
      <c r="D1522" s="4" t="s">
        <v>23</v>
      </c>
      <c r="E1522" s="4" t="s">
        <v>42</v>
      </c>
      <c r="F1522" s="4" t="s">
        <v>481</v>
      </c>
      <c r="G1522" s="4" t="s">
        <v>26</v>
      </c>
      <c r="H1522" s="4" t="s">
        <v>18</v>
      </c>
      <c r="I1522" s="4" t="s">
        <v>715</v>
      </c>
      <c r="J1522" s="4" t="s">
        <v>715</v>
      </c>
      <c r="K1522" s="5">
        <v>6302866</v>
      </c>
      <c r="L1522" s="5">
        <v>326767</v>
      </c>
      <c r="M1522" s="5">
        <v>19</v>
      </c>
      <c r="N1522" s="5">
        <v>1</v>
      </c>
      <c r="O1522" s="5">
        <v>0.14000000000000001</v>
      </c>
      <c r="P1522" s="5"/>
    </row>
    <row r="1523" spans="1:16" x14ac:dyDescent="0.25">
      <c r="A1523" s="4" t="s">
        <v>21</v>
      </c>
      <c r="B1523" s="4" t="s">
        <v>423</v>
      </c>
      <c r="C1523" s="5">
        <v>37423</v>
      </c>
      <c r="D1523" s="4" t="s">
        <v>23</v>
      </c>
      <c r="E1523" s="4" t="s">
        <v>42</v>
      </c>
      <c r="F1523" s="4" t="s">
        <v>481</v>
      </c>
      <c r="G1523" s="4" t="s">
        <v>26</v>
      </c>
      <c r="H1523" s="4" t="s">
        <v>18</v>
      </c>
      <c r="I1523" s="4" t="s">
        <v>715</v>
      </c>
      <c r="J1523" s="4" t="s">
        <v>715</v>
      </c>
      <c r="K1523" s="5">
        <v>6303077</v>
      </c>
      <c r="L1523" s="5">
        <v>326899</v>
      </c>
      <c r="M1523" s="5">
        <v>19</v>
      </c>
      <c r="N1523" s="5">
        <v>1</v>
      </c>
      <c r="O1523" s="5">
        <v>0.08</v>
      </c>
      <c r="P1523" s="5"/>
    </row>
    <row r="1524" spans="1:16" x14ac:dyDescent="0.25">
      <c r="A1524" s="4" t="s">
        <v>21</v>
      </c>
      <c r="B1524" s="4" t="s">
        <v>423</v>
      </c>
      <c r="C1524" s="5">
        <v>37424</v>
      </c>
      <c r="D1524" s="4" t="s">
        <v>23</v>
      </c>
      <c r="E1524" s="4" t="s">
        <v>445</v>
      </c>
      <c r="F1524" s="4" t="s">
        <v>462</v>
      </c>
      <c r="G1524" s="4" t="s">
        <v>26</v>
      </c>
      <c r="H1524" s="4" t="s">
        <v>18</v>
      </c>
      <c r="I1524" s="4" t="s">
        <v>715</v>
      </c>
      <c r="J1524" s="4" t="s">
        <v>715</v>
      </c>
      <c r="K1524" s="5">
        <v>6305891</v>
      </c>
      <c r="L1524" s="5">
        <v>329605</v>
      </c>
      <c r="M1524" s="5">
        <v>19</v>
      </c>
      <c r="N1524" s="5">
        <v>1</v>
      </c>
      <c r="O1524" s="5">
        <v>0.16</v>
      </c>
      <c r="P1524" s="5"/>
    </row>
    <row r="1525" spans="1:16" x14ac:dyDescent="0.25">
      <c r="A1525" s="4" t="s">
        <v>21</v>
      </c>
      <c r="B1525" s="4" t="s">
        <v>423</v>
      </c>
      <c r="C1525" s="5">
        <v>37437</v>
      </c>
      <c r="D1525" s="4" t="s">
        <v>23</v>
      </c>
      <c r="E1525" s="4" t="s">
        <v>445</v>
      </c>
      <c r="F1525" s="4" t="s">
        <v>462</v>
      </c>
      <c r="G1525" s="4" t="s">
        <v>26</v>
      </c>
      <c r="H1525" s="4" t="s">
        <v>18</v>
      </c>
      <c r="I1525" s="4" t="s">
        <v>715</v>
      </c>
      <c r="J1525" s="4" t="s">
        <v>715</v>
      </c>
      <c r="K1525" s="5">
        <v>6305366</v>
      </c>
      <c r="L1525" s="5">
        <v>329470</v>
      </c>
      <c r="M1525" s="5">
        <v>19</v>
      </c>
      <c r="N1525" s="5">
        <v>1</v>
      </c>
      <c r="O1525" s="5">
        <v>0.12</v>
      </c>
      <c r="P1525" s="5"/>
    </row>
    <row r="1526" spans="1:16" x14ac:dyDescent="0.25">
      <c r="A1526" s="4" t="s">
        <v>21</v>
      </c>
      <c r="B1526" s="4" t="s">
        <v>423</v>
      </c>
      <c r="C1526" s="5">
        <v>37439</v>
      </c>
      <c r="D1526" s="4" t="s">
        <v>23</v>
      </c>
      <c r="E1526" s="4" t="s">
        <v>357</v>
      </c>
      <c r="F1526" s="4" t="s">
        <v>369</v>
      </c>
      <c r="G1526" s="4" t="s">
        <v>26</v>
      </c>
      <c r="H1526" s="4" t="s">
        <v>128</v>
      </c>
      <c r="I1526" s="4" t="s">
        <v>715</v>
      </c>
      <c r="J1526" s="4" t="s">
        <v>638</v>
      </c>
      <c r="K1526" s="5">
        <v>6276722</v>
      </c>
      <c r="L1526" s="5">
        <v>345889</v>
      </c>
      <c r="M1526" s="5">
        <v>19</v>
      </c>
      <c r="N1526" s="5">
        <v>1</v>
      </c>
      <c r="O1526" s="5">
        <v>0.95</v>
      </c>
      <c r="P1526" s="5"/>
    </row>
    <row r="1527" spans="1:16" x14ac:dyDescent="0.25">
      <c r="A1527" s="4" t="s">
        <v>21</v>
      </c>
      <c r="B1527" s="4" t="s">
        <v>423</v>
      </c>
      <c r="C1527" s="5">
        <v>37440</v>
      </c>
      <c r="D1527" s="4" t="s">
        <v>23</v>
      </c>
      <c r="E1527" s="4" t="s">
        <v>367</v>
      </c>
      <c r="F1527" s="4" t="s">
        <v>456</v>
      </c>
      <c r="G1527" s="4" t="s">
        <v>26</v>
      </c>
      <c r="H1527" s="4" t="s">
        <v>18</v>
      </c>
      <c r="I1527" s="4" t="s">
        <v>715</v>
      </c>
      <c r="J1527" s="4" t="s">
        <v>715</v>
      </c>
      <c r="K1527" s="5">
        <v>6277046</v>
      </c>
      <c r="L1527" s="5">
        <v>331670</v>
      </c>
      <c r="M1527" s="5">
        <v>19</v>
      </c>
      <c r="N1527" s="5">
        <v>1</v>
      </c>
      <c r="O1527" s="5">
        <v>1.65</v>
      </c>
      <c r="P1527" s="5"/>
    </row>
    <row r="1528" spans="1:16" x14ac:dyDescent="0.25">
      <c r="A1528" s="4" t="s">
        <v>21</v>
      </c>
      <c r="B1528" s="4" t="s">
        <v>423</v>
      </c>
      <c r="C1528" s="5">
        <v>37441</v>
      </c>
      <c r="D1528" s="4" t="s">
        <v>23</v>
      </c>
      <c r="E1528" s="4" t="s">
        <v>76</v>
      </c>
      <c r="F1528" s="4" t="s">
        <v>518</v>
      </c>
      <c r="G1528" s="4" t="s">
        <v>26</v>
      </c>
      <c r="H1528" s="4" t="s">
        <v>18</v>
      </c>
      <c r="I1528" s="4" t="s">
        <v>715</v>
      </c>
      <c r="J1528" s="4" t="s">
        <v>715</v>
      </c>
      <c r="K1528" s="5">
        <v>6275228</v>
      </c>
      <c r="L1528" s="5">
        <v>322362</v>
      </c>
      <c r="M1528" s="5">
        <v>19</v>
      </c>
      <c r="N1528" s="5">
        <v>1</v>
      </c>
      <c r="O1528" s="5">
        <v>1.6</v>
      </c>
      <c r="P1528" s="5"/>
    </row>
    <row r="1529" spans="1:16" x14ac:dyDescent="0.25">
      <c r="A1529" s="4" t="s">
        <v>21</v>
      </c>
      <c r="B1529" s="4" t="s">
        <v>423</v>
      </c>
      <c r="C1529" s="5">
        <v>37450</v>
      </c>
      <c r="D1529" s="4" t="s">
        <v>23</v>
      </c>
      <c r="E1529" s="4" t="s">
        <v>401</v>
      </c>
      <c r="F1529" s="4" t="s">
        <v>479</v>
      </c>
      <c r="G1529" s="4" t="s">
        <v>26</v>
      </c>
      <c r="H1529" s="4" t="s">
        <v>18</v>
      </c>
      <c r="I1529" s="4" t="s">
        <v>715</v>
      </c>
      <c r="J1529" s="4" t="s">
        <v>715</v>
      </c>
      <c r="K1529" s="5">
        <v>6316287</v>
      </c>
      <c r="L1529" s="5">
        <v>344848</v>
      </c>
      <c r="M1529" s="5">
        <v>19</v>
      </c>
      <c r="N1529" s="5">
        <v>1</v>
      </c>
      <c r="O1529" s="5">
        <v>1.68</v>
      </c>
      <c r="P1529" s="5"/>
    </row>
    <row r="1530" spans="1:16" x14ac:dyDescent="0.25">
      <c r="A1530" s="4" t="s">
        <v>21</v>
      </c>
      <c r="B1530" s="4" t="s">
        <v>423</v>
      </c>
      <c r="C1530" s="5">
        <v>37453</v>
      </c>
      <c r="D1530" s="4" t="s">
        <v>23</v>
      </c>
      <c r="E1530" s="4" t="s">
        <v>25</v>
      </c>
      <c r="F1530" s="4" t="s">
        <v>345</v>
      </c>
      <c r="G1530" s="4" t="s">
        <v>26</v>
      </c>
      <c r="H1530" s="4" t="s">
        <v>18</v>
      </c>
      <c r="I1530" s="4" t="s">
        <v>715</v>
      </c>
      <c r="J1530" s="4" t="s">
        <v>715</v>
      </c>
      <c r="K1530" s="5">
        <v>6273143</v>
      </c>
      <c r="L1530" s="5">
        <v>300035</v>
      </c>
      <c r="M1530" s="5">
        <v>19</v>
      </c>
      <c r="N1530" s="5">
        <v>1</v>
      </c>
      <c r="O1530" s="5">
        <v>2.2999999999999998</v>
      </c>
      <c r="P1530" s="5"/>
    </row>
    <row r="1531" spans="1:16" x14ac:dyDescent="0.25">
      <c r="A1531" s="4" t="s">
        <v>21</v>
      </c>
      <c r="B1531" s="4" t="s">
        <v>423</v>
      </c>
      <c r="C1531" s="5">
        <v>37454</v>
      </c>
      <c r="D1531" s="4" t="s">
        <v>23</v>
      </c>
      <c r="E1531" s="4" t="s">
        <v>262</v>
      </c>
      <c r="F1531" s="4" t="s">
        <v>433</v>
      </c>
      <c r="G1531" s="4" t="s">
        <v>26</v>
      </c>
      <c r="H1531" s="4" t="s">
        <v>18</v>
      </c>
      <c r="I1531" s="4" t="s">
        <v>715</v>
      </c>
      <c r="J1531" s="4" t="s">
        <v>715</v>
      </c>
      <c r="K1531" s="5">
        <v>6281662</v>
      </c>
      <c r="L1531" s="5">
        <v>327960</v>
      </c>
      <c r="M1531" s="5">
        <v>19</v>
      </c>
      <c r="N1531" s="5">
        <v>1</v>
      </c>
      <c r="O1531" s="5">
        <v>1</v>
      </c>
      <c r="P1531" s="5"/>
    </row>
    <row r="1532" spans="1:16" x14ac:dyDescent="0.25">
      <c r="A1532" s="4" t="s">
        <v>21</v>
      </c>
      <c r="B1532" s="4" t="s">
        <v>423</v>
      </c>
      <c r="C1532" s="5">
        <v>37455</v>
      </c>
      <c r="D1532" s="4" t="s">
        <v>23</v>
      </c>
      <c r="E1532" s="4" t="s">
        <v>357</v>
      </c>
      <c r="F1532" s="4" t="s">
        <v>358</v>
      </c>
      <c r="G1532" s="4" t="s">
        <v>26</v>
      </c>
      <c r="H1532" s="4" t="s">
        <v>18</v>
      </c>
      <c r="I1532" s="4" t="s">
        <v>715</v>
      </c>
      <c r="J1532" s="4" t="s">
        <v>715</v>
      </c>
      <c r="K1532" s="5">
        <v>6275645</v>
      </c>
      <c r="L1532" s="5">
        <v>340401</v>
      </c>
      <c r="M1532" s="5">
        <v>19</v>
      </c>
      <c r="N1532" s="5">
        <v>1</v>
      </c>
      <c r="O1532" s="5">
        <v>3.36</v>
      </c>
      <c r="P1532" s="5"/>
    </row>
    <row r="1533" spans="1:16" x14ac:dyDescent="0.25">
      <c r="A1533" s="4" t="s">
        <v>21</v>
      </c>
      <c r="B1533" s="4" t="s">
        <v>423</v>
      </c>
      <c r="C1533" s="5">
        <v>37457</v>
      </c>
      <c r="D1533" s="4" t="s">
        <v>23</v>
      </c>
      <c r="E1533" s="4" t="s">
        <v>262</v>
      </c>
      <c r="F1533" s="4" t="s">
        <v>362</v>
      </c>
      <c r="G1533" s="4" t="s">
        <v>26</v>
      </c>
      <c r="H1533" s="4" t="s">
        <v>18</v>
      </c>
      <c r="I1533" s="4" t="s">
        <v>715</v>
      </c>
      <c r="J1533" s="4" t="s">
        <v>715</v>
      </c>
      <c r="K1533" s="5">
        <v>6281082</v>
      </c>
      <c r="L1533" s="5">
        <v>327708</v>
      </c>
      <c r="M1533" s="5">
        <v>19</v>
      </c>
      <c r="N1533" s="5">
        <v>1</v>
      </c>
      <c r="O1533" s="5">
        <v>1</v>
      </c>
      <c r="P1533" s="5"/>
    </row>
    <row r="1534" spans="1:16" x14ac:dyDescent="0.25">
      <c r="A1534" s="4" t="s">
        <v>21</v>
      </c>
      <c r="B1534" s="4" t="s">
        <v>423</v>
      </c>
      <c r="C1534" s="5">
        <v>37458</v>
      </c>
      <c r="D1534" s="4" t="s">
        <v>23</v>
      </c>
      <c r="E1534" s="4" t="s">
        <v>457</v>
      </c>
      <c r="F1534" s="4" t="s">
        <v>32</v>
      </c>
      <c r="G1534" s="4" t="s">
        <v>26</v>
      </c>
      <c r="H1534" s="4" t="s">
        <v>18</v>
      </c>
      <c r="I1534" s="4" t="s">
        <v>715</v>
      </c>
      <c r="J1534" s="4" t="s">
        <v>715</v>
      </c>
      <c r="K1534" s="5">
        <v>6306753</v>
      </c>
      <c r="L1534" s="5">
        <v>345997</v>
      </c>
      <c r="M1534" s="5">
        <v>19</v>
      </c>
      <c r="N1534" s="5">
        <v>1</v>
      </c>
      <c r="O1534" s="5">
        <v>1.05</v>
      </c>
      <c r="P1534" s="5"/>
    </row>
    <row r="1535" spans="1:16" x14ac:dyDescent="0.25">
      <c r="A1535" s="4" t="s">
        <v>21</v>
      </c>
      <c r="B1535" s="4" t="s">
        <v>423</v>
      </c>
      <c r="C1535" s="5">
        <v>37459</v>
      </c>
      <c r="D1535" s="4" t="s">
        <v>23</v>
      </c>
      <c r="E1535" s="4" t="s">
        <v>457</v>
      </c>
      <c r="F1535" s="4" t="s">
        <v>32</v>
      </c>
      <c r="G1535" s="4" t="s">
        <v>26</v>
      </c>
      <c r="H1535" s="4" t="s">
        <v>18</v>
      </c>
      <c r="I1535" s="4" t="s">
        <v>715</v>
      </c>
      <c r="J1535" s="4" t="s">
        <v>715</v>
      </c>
      <c r="K1535" s="5">
        <v>6307094</v>
      </c>
      <c r="L1535" s="5">
        <v>345746</v>
      </c>
      <c r="M1535" s="5">
        <v>19</v>
      </c>
      <c r="N1535" s="5">
        <v>1</v>
      </c>
      <c r="O1535" s="5">
        <v>0.95</v>
      </c>
      <c r="P1535" s="5"/>
    </row>
    <row r="1536" spans="1:16" x14ac:dyDescent="0.25">
      <c r="A1536" s="4" t="s">
        <v>13</v>
      </c>
      <c r="B1536" s="4" t="s">
        <v>423</v>
      </c>
      <c r="C1536" s="5">
        <v>37482</v>
      </c>
      <c r="D1536" s="4" t="s">
        <v>23</v>
      </c>
      <c r="E1536" s="4" t="s">
        <v>519</v>
      </c>
      <c r="F1536" s="4" t="s">
        <v>519</v>
      </c>
      <c r="G1536" s="4" t="s">
        <v>26</v>
      </c>
      <c r="H1536" s="4" t="s">
        <v>27</v>
      </c>
      <c r="I1536" s="4" t="s">
        <v>715</v>
      </c>
      <c r="J1536" s="4" t="s">
        <v>638</v>
      </c>
      <c r="K1536" s="5">
        <v>6277754</v>
      </c>
      <c r="L1536" s="5">
        <v>354524</v>
      </c>
      <c r="M1536" s="5">
        <v>19</v>
      </c>
      <c r="N1536" s="5">
        <v>1</v>
      </c>
      <c r="O1536" s="5">
        <v>10</v>
      </c>
      <c r="P1536" s="5"/>
    </row>
    <row r="1537" spans="1:16" x14ac:dyDescent="0.25">
      <c r="A1537" s="4" t="s">
        <v>13</v>
      </c>
      <c r="B1537" s="4" t="s">
        <v>423</v>
      </c>
      <c r="C1537" s="5">
        <v>37488</v>
      </c>
      <c r="D1537" s="4" t="s">
        <v>58</v>
      </c>
      <c r="E1537" s="4" t="s">
        <v>200</v>
      </c>
      <c r="F1537" s="4" t="s">
        <v>200</v>
      </c>
      <c r="G1537" s="4" t="s">
        <v>57</v>
      </c>
      <c r="H1537" s="4" t="s">
        <v>173</v>
      </c>
      <c r="I1537" s="4" t="s">
        <v>715</v>
      </c>
      <c r="J1537" s="4" t="s">
        <v>638</v>
      </c>
      <c r="K1537" s="5">
        <v>5829128</v>
      </c>
      <c r="L1537" s="5">
        <v>751835</v>
      </c>
      <c r="M1537" s="5">
        <v>18</v>
      </c>
      <c r="N1537" s="5">
        <v>1</v>
      </c>
      <c r="O1537" s="5">
        <v>1.2</v>
      </c>
      <c r="P1537" s="5"/>
    </row>
    <row r="1538" spans="1:16" x14ac:dyDescent="0.25">
      <c r="A1538" s="4" t="s">
        <v>21</v>
      </c>
      <c r="B1538" s="4" t="s">
        <v>423</v>
      </c>
      <c r="C1538" s="5">
        <v>37490</v>
      </c>
      <c r="D1538" s="4" t="s">
        <v>58</v>
      </c>
      <c r="E1538" s="4" t="s">
        <v>200</v>
      </c>
      <c r="F1538" s="4" t="s">
        <v>200</v>
      </c>
      <c r="G1538" s="4" t="s">
        <v>57</v>
      </c>
      <c r="H1538" s="4" t="s">
        <v>173</v>
      </c>
      <c r="I1538" s="4" t="s">
        <v>715</v>
      </c>
      <c r="J1538" s="4" t="s">
        <v>638</v>
      </c>
      <c r="K1538" s="5">
        <v>5830942</v>
      </c>
      <c r="L1538" s="5">
        <v>749774</v>
      </c>
      <c r="M1538" s="5">
        <v>18</v>
      </c>
      <c r="N1538" s="5">
        <v>1</v>
      </c>
      <c r="O1538" s="5">
        <v>2</v>
      </c>
      <c r="P1538" s="5"/>
    </row>
    <row r="1539" spans="1:16" x14ac:dyDescent="0.25">
      <c r="A1539" s="4" t="s">
        <v>21</v>
      </c>
      <c r="B1539" s="4" t="s">
        <v>423</v>
      </c>
      <c r="C1539" s="5">
        <v>37492</v>
      </c>
      <c r="D1539" s="4" t="s">
        <v>23</v>
      </c>
      <c r="E1539" s="4" t="s">
        <v>381</v>
      </c>
      <c r="F1539" s="4" t="s">
        <v>382</v>
      </c>
      <c r="G1539" s="4" t="s">
        <v>26</v>
      </c>
      <c r="H1539" s="4" t="s">
        <v>128</v>
      </c>
      <c r="I1539" s="4" t="s">
        <v>715</v>
      </c>
      <c r="J1539" s="4" t="s">
        <v>638</v>
      </c>
      <c r="K1539" s="5">
        <v>6266305</v>
      </c>
      <c r="L1539" s="5">
        <v>325302</v>
      </c>
      <c r="M1539" s="5">
        <v>19</v>
      </c>
      <c r="N1539" s="5">
        <v>1</v>
      </c>
      <c r="O1539" s="5">
        <v>0.95</v>
      </c>
      <c r="P1539" s="5"/>
    </row>
    <row r="1540" spans="1:16" x14ac:dyDescent="0.25">
      <c r="A1540" s="4" t="s">
        <v>13</v>
      </c>
      <c r="B1540" s="4" t="s">
        <v>423</v>
      </c>
      <c r="C1540" s="5">
        <v>37495</v>
      </c>
      <c r="D1540" s="4" t="s">
        <v>23</v>
      </c>
      <c r="E1540" s="4" t="s">
        <v>42</v>
      </c>
      <c r="F1540" s="4" t="s">
        <v>481</v>
      </c>
      <c r="G1540" s="4" t="s">
        <v>26</v>
      </c>
      <c r="H1540" s="4" t="s">
        <v>27</v>
      </c>
      <c r="I1540" s="4" t="s">
        <v>715</v>
      </c>
      <c r="J1540" s="4" t="s">
        <v>638</v>
      </c>
      <c r="K1540" s="5">
        <v>6301942</v>
      </c>
      <c r="L1540" s="5">
        <v>326857</v>
      </c>
      <c r="M1540" s="5">
        <v>19</v>
      </c>
      <c r="N1540" s="5">
        <v>1</v>
      </c>
      <c r="O1540" s="5">
        <v>0.41</v>
      </c>
      <c r="P1540" s="5"/>
    </row>
    <row r="1541" spans="1:16" x14ac:dyDescent="0.25">
      <c r="A1541" s="4" t="s">
        <v>21</v>
      </c>
      <c r="B1541" s="4" t="s">
        <v>423</v>
      </c>
      <c r="C1541" s="5">
        <v>37497</v>
      </c>
      <c r="D1541" s="4" t="s">
        <v>23</v>
      </c>
      <c r="E1541" s="4" t="s">
        <v>76</v>
      </c>
      <c r="F1541" s="4" t="s">
        <v>518</v>
      </c>
      <c r="G1541" s="4" t="s">
        <v>26</v>
      </c>
      <c r="H1541" s="4" t="s">
        <v>18</v>
      </c>
      <c r="I1541" s="4" t="s">
        <v>715</v>
      </c>
      <c r="J1541" s="4" t="s">
        <v>715</v>
      </c>
      <c r="K1541" s="5">
        <v>6275902</v>
      </c>
      <c r="L1541" s="5">
        <v>322064</v>
      </c>
      <c r="M1541" s="5">
        <v>19</v>
      </c>
      <c r="N1541" s="5">
        <v>1</v>
      </c>
      <c r="O1541" s="5">
        <v>1.62</v>
      </c>
      <c r="P1541" s="5"/>
    </row>
    <row r="1542" spans="1:16" x14ac:dyDescent="0.25">
      <c r="A1542" s="4" t="s">
        <v>13</v>
      </c>
      <c r="B1542" s="4" t="s">
        <v>423</v>
      </c>
      <c r="C1542" s="5">
        <v>37498</v>
      </c>
      <c r="D1542" s="4" t="s">
        <v>23</v>
      </c>
      <c r="E1542" s="4" t="s">
        <v>42</v>
      </c>
      <c r="F1542" s="4" t="s">
        <v>481</v>
      </c>
      <c r="G1542" s="4" t="s">
        <v>26</v>
      </c>
      <c r="H1542" s="4" t="s">
        <v>27</v>
      </c>
      <c r="I1542" s="4" t="s">
        <v>715</v>
      </c>
      <c r="J1542" s="4" t="s">
        <v>715</v>
      </c>
      <c r="K1542" s="5">
        <v>6301700</v>
      </c>
      <c r="L1542" s="5">
        <v>326783</v>
      </c>
      <c r="M1542" s="5">
        <v>19</v>
      </c>
      <c r="N1542" s="5">
        <v>1</v>
      </c>
      <c r="O1542" s="5">
        <v>0.42</v>
      </c>
      <c r="P1542" s="5"/>
    </row>
    <row r="1543" spans="1:16" x14ac:dyDescent="0.25">
      <c r="A1543" s="4" t="s">
        <v>21</v>
      </c>
      <c r="B1543" s="4" t="s">
        <v>423</v>
      </c>
      <c r="C1543" s="5">
        <v>37499</v>
      </c>
      <c r="D1543" s="4" t="s">
        <v>23</v>
      </c>
      <c r="E1543" s="4" t="s">
        <v>357</v>
      </c>
      <c r="F1543" s="4" t="s">
        <v>520</v>
      </c>
      <c r="G1543" s="4" t="s">
        <v>26</v>
      </c>
      <c r="H1543" s="4" t="s">
        <v>128</v>
      </c>
      <c r="I1543" s="4" t="s">
        <v>715</v>
      </c>
      <c r="J1543" s="4" t="s">
        <v>638</v>
      </c>
      <c r="K1543" s="5">
        <v>6279338</v>
      </c>
      <c r="L1543" s="5">
        <v>339414</v>
      </c>
      <c r="M1543" s="5">
        <v>19</v>
      </c>
      <c r="N1543" s="5">
        <v>1</v>
      </c>
      <c r="O1543" s="5">
        <v>0.4</v>
      </c>
      <c r="P1543" s="5"/>
    </row>
    <row r="1544" spans="1:16" x14ac:dyDescent="0.25">
      <c r="A1544" s="4" t="s">
        <v>21</v>
      </c>
      <c r="B1544" s="4" t="s">
        <v>423</v>
      </c>
      <c r="C1544" s="5">
        <v>37501</v>
      </c>
      <c r="D1544" s="4" t="s">
        <v>23</v>
      </c>
      <c r="E1544" s="4" t="s">
        <v>76</v>
      </c>
      <c r="F1544" s="4" t="s">
        <v>76</v>
      </c>
      <c r="G1544" s="4" t="s">
        <v>26</v>
      </c>
      <c r="H1544" s="4" t="s">
        <v>18</v>
      </c>
      <c r="I1544" s="4" t="s">
        <v>715</v>
      </c>
      <c r="J1544" s="4" t="s">
        <v>715</v>
      </c>
      <c r="K1544" s="5">
        <v>6271278</v>
      </c>
      <c r="L1544" s="5">
        <v>318058</v>
      </c>
      <c r="M1544" s="5">
        <v>19</v>
      </c>
      <c r="N1544" s="5">
        <v>1</v>
      </c>
      <c r="O1544" s="5">
        <v>2.4900000000000002</v>
      </c>
      <c r="P1544" s="5"/>
    </row>
    <row r="1545" spans="1:16" x14ac:dyDescent="0.25">
      <c r="A1545" s="4" t="s">
        <v>21</v>
      </c>
      <c r="B1545" s="4" t="s">
        <v>423</v>
      </c>
      <c r="C1545" s="5">
        <v>37505</v>
      </c>
      <c r="D1545" s="4" t="s">
        <v>23</v>
      </c>
      <c r="E1545" s="4" t="s">
        <v>25</v>
      </c>
      <c r="F1545" s="4" t="s">
        <v>521</v>
      </c>
      <c r="G1545" s="4" t="s">
        <v>26</v>
      </c>
      <c r="H1545" s="4" t="s">
        <v>18</v>
      </c>
      <c r="I1545" s="4" t="s">
        <v>715</v>
      </c>
      <c r="J1545" s="4" t="s">
        <v>715</v>
      </c>
      <c r="K1545" s="5">
        <v>6276599</v>
      </c>
      <c r="L1545" s="5">
        <v>297471</v>
      </c>
      <c r="M1545" s="5">
        <v>19</v>
      </c>
      <c r="N1545" s="5">
        <v>1</v>
      </c>
      <c r="O1545" s="5">
        <v>1.2</v>
      </c>
      <c r="P1545" s="5"/>
    </row>
    <row r="1546" spans="1:16" x14ac:dyDescent="0.25">
      <c r="A1546" s="4" t="s">
        <v>21</v>
      </c>
      <c r="B1546" s="4" t="s">
        <v>423</v>
      </c>
      <c r="C1546" s="5">
        <v>37507</v>
      </c>
      <c r="D1546" s="4" t="s">
        <v>37</v>
      </c>
      <c r="E1546" s="4" t="s">
        <v>151</v>
      </c>
      <c r="F1546" s="4" t="s">
        <v>503</v>
      </c>
      <c r="G1546" s="4" t="s">
        <v>26</v>
      </c>
      <c r="H1546" s="4" t="s">
        <v>128</v>
      </c>
      <c r="I1546" s="4" t="s">
        <v>715</v>
      </c>
      <c r="J1546" s="4" t="s">
        <v>638</v>
      </c>
      <c r="K1546" s="5">
        <v>6237224</v>
      </c>
      <c r="L1546" s="5">
        <v>349295</v>
      </c>
      <c r="M1546" s="5">
        <v>19</v>
      </c>
      <c r="N1546" s="5">
        <v>1</v>
      </c>
      <c r="O1546" s="5">
        <v>8.1</v>
      </c>
      <c r="P1546" s="5"/>
    </row>
    <row r="1547" spans="1:16" x14ac:dyDescent="0.25">
      <c r="A1547" s="4" t="s">
        <v>21</v>
      </c>
      <c r="B1547" s="4" t="s">
        <v>423</v>
      </c>
      <c r="C1547" s="5">
        <v>37511</v>
      </c>
      <c r="D1547" s="4" t="s">
        <v>58</v>
      </c>
      <c r="E1547" s="4" t="s">
        <v>59</v>
      </c>
      <c r="F1547" s="4" t="s">
        <v>59</v>
      </c>
      <c r="G1547" s="4" t="s">
        <v>57</v>
      </c>
      <c r="H1547" s="4" t="s">
        <v>173</v>
      </c>
      <c r="I1547" s="4" t="s">
        <v>715</v>
      </c>
      <c r="J1547" s="4" t="s">
        <v>638</v>
      </c>
      <c r="K1547" s="5">
        <v>5851697</v>
      </c>
      <c r="L1547" s="5">
        <v>726277</v>
      </c>
      <c r="M1547" s="5">
        <v>18</v>
      </c>
      <c r="N1547" s="5">
        <v>1</v>
      </c>
      <c r="O1547" s="5">
        <v>3.5</v>
      </c>
      <c r="P1547" s="5"/>
    </row>
    <row r="1548" spans="1:16" x14ac:dyDescent="0.25">
      <c r="A1548" s="4" t="s">
        <v>21</v>
      </c>
      <c r="B1548" s="4" t="s">
        <v>423</v>
      </c>
      <c r="C1548" s="5">
        <v>37512</v>
      </c>
      <c r="D1548" s="4" t="s">
        <v>23</v>
      </c>
      <c r="E1548" s="4" t="s">
        <v>76</v>
      </c>
      <c r="F1548" s="4" t="s">
        <v>518</v>
      </c>
      <c r="G1548" s="4" t="s">
        <v>26</v>
      </c>
      <c r="H1548" s="4" t="s">
        <v>128</v>
      </c>
      <c r="I1548" s="4" t="s">
        <v>715</v>
      </c>
      <c r="J1548" s="4" t="s">
        <v>638</v>
      </c>
      <c r="K1548" s="5">
        <v>6276467</v>
      </c>
      <c r="L1548" s="5">
        <v>322375</v>
      </c>
      <c r="M1548" s="5">
        <v>19</v>
      </c>
      <c r="N1548" s="5">
        <v>1</v>
      </c>
      <c r="O1548" s="5">
        <v>1.53</v>
      </c>
      <c r="P1548" s="5"/>
    </row>
    <row r="1549" spans="1:16" x14ac:dyDescent="0.25">
      <c r="A1549" s="4" t="s">
        <v>21</v>
      </c>
      <c r="B1549" s="4" t="s">
        <v>423</v>
      </c>
      <c r="C1549" s="5">
        <v>37516</v>
      </c>
      <c r="D1549" s="4" t="s">
        <v>58</v>
      </c>
      <c r="E1549" s="4" t="s">
        <v>59</v>
      </c>
      <c r="F1549" s="4" t="s">
        <v>522</v>
      </c>
      <c r="G1549" s="4" t="s">
        <v>57</v>
      </c>
      <c r="H1549" s="4" t="s">
        <v>173</v>
      </c>
      <c r="I1549" s="4" t="s">
        <v>715</v>
      </c>
      <c r="J1549" s="4" t="s">
        <v>638</v>
      </c>
      <c r="K1549" s="5">
        <v>5850903</v>
      </c>
      <c r="L1549" s="5">
        <v>725156</v>
      </c>
      <c r="M1549" s="5">
        <v>18</v>
      </c>
      <c r="N1549" s="5">
        <v>1</v>
      </c>
      <c r="O1549" s="5">
        <v>5</v>
      </c>
      <c r="P1549" s="5"/>
    </row>
    <row r="1550" spans="1:16" x14ac:dyDescent="0.25">
      <c r="A1550" s="4" t="s">
        <v>54</v>
      </c>
      <c r="B1550" s="4" t="s">
        <v>423</v>
      </c>
      <c r="C1550" s="5">
        <v>37519</v>
      </c>
      <c r="D1550" s="4" t="s">
        <v>23</v>
      </c>
      <c r="E1550" s="4" t="s">
        <v>28</v>
      </c>
      <c r="F1550" s="4" t="s">
        <v>380</v>
      </c>
      <c r="G1550" s="4" t="s">
        <v>26</v>
      </c>
      <c r="H1550" s="4" t="s">
        <v>641</v>
      </c>
      <c r="I1550" s="4" t="s">
        <v>715</v>
      </c>
      <c r="J1550" s="4" t="s">
        <v>715</v>
      </c>
      <c r="K1550" s="5">
        <v>6259582</v>
      </c>
      <c r="L1550" s="5">
        <v>332595</v>
      </c>
      <c r="M1550" s="5">
        <v>19</v>
      </c>
      <c r="N1550" s="5">
        <v>2</v>
      </c>
      <c r="O1550" s="5">
        <v>1.67</v>
      </c>
      <c r="P1550" s="5"/>
    </row>
    <row r="1551" spans="1:16" x14ac:dyDescent="0.25">
      <c r="A1551" s="4" t="s">
        <v>54</v>
      </c>
      <c r="B1551" s="4" t="s">
        <v>423</v>
      </c>
      <c r="C1551" s="5">
        <v>37524</v>
      </c>
      <c r="D1551" s="4" t="s">
        <v>23</v>
      </c>
      <c r="E1551" s="4" t="s">
        <v>28</v>
      </c>
      <c r="F1551" s="4" t="s">
        <v>380</v>
      </c>
      <c r="G1551" s="4" t="s">
        <v>26</v>
      </c>
      <c r="H1551" s="4" t="s">
        <v>641</v>
      </c>
      <c r="I1551" s="4" t="s">
        <v>715</v>
      </c>
      <c r="J1551" s="4" t="s">
        <v>715</v>
      </c>
      <c r="K1551" s="5">
        <v>6259483</v>
      </c>
      <c r="L1551" s="5">
        <v>332948</v>
      </c>
      <c r="M1551" s="5">
        <v>19</v>
      </c>
      <c r="N1551" s="5">
        <v>2</v>
      </c>
      <c r="O1551" s="5">
        <v>1.78</v>
      </c>
      <c r="P1551" s="5"/>
    </row>
    <row r="1552" spans="1:16" x14ac:dyDescent="0.25">
      <c r="A1552" s="4" t="s">
        <v>13</v>
      </c>
      <c r="B1552" s="4" t="s">
        <v>423</v>
      </c>
      <c r="C1552" s="5">
        <v>37525</v>
      </c>
      <c r="D1552" s="4" t="s">
        <v>37</v>
      </c>
      <c r="E1552" s="4" t="s">
        <v>370</v>
      </c>
      <c r="F1552" s="4" t="s">
        <v>523</v>
      </c>
      <c r="G1552" s="4" t="s">
        <v>26</v>
      </c>
      <c r="H1552" s="4" t="s">
        <v>27</v>
      </c>
      <c r="I1552" s="4" t="s">
        <v>715</v>
      </c>
      <c r="J1552" s="4" t="s">
        <v>638</v>
      </c>
      <c r="K1552" s="5">
        <v>6194298</v>
      </c>
      <c r="L1552" s="5">
        <v>335126</v>
      </c>
      <c r="M1552" s="5">
        <v>19</v>
      </c>
      <c r="N1552" s="5">
        <v>1</v>
      </c>
      <c r="O1552" s="5">
        <v>3.5</v>
      </c>
      <c r="P1552" s="5"/>
    </row>
    <row r="1553" spans="1:16" x14ac:dyDescent="0.25">
      <c r="A1553" s="4" t="s">
        <v>13</v>
      </c>
      <c r="B1553" s="4" t="s">
        <v>423</v>
      </c>
      <c r="C1553" s="5">
        <v>37527</v>
      </c>
      <c r="D1553" s="4" t="s">
        <v>37</v>
      </c>
      <c r="E1553" s="4" t="s">
        <v>370</v>
      </c>
      <c r="F1553" s="4" t="s">
        <v>524</v>
      </c>
      <c r="G1553" s="4" t="s">
        <v>26</v>
      </c>
      <c r="H1553" s="4" t="s">
        <v>27</v>
      </c>
      <c r="I1553" s="4" t="s">
        <v>715</v>
      </c>
      <c r="J1553" s="4" t="s">
        <v>715</v>
      </c>
      <c r="K1553" s="5">
        <v>6195518</v>
      </c>
      <c r="L1553" s="5">
        <v>335243</v>
      </c>
      <c r="M1553" s="5">
        <v>19</v>
      </c>
      <c r="N1553" s="5">
        <v>1</v>
      </c>
      <c r="O1553" s="5">
        <v>2.2999999999999998</v>
      </c>
      <c r="P1553" s="5"/>
    </row>
    <row r="1554" spans="1:16" x14ac:dyDescent="0.25">
      <c r="A1554" s="4" t="s">
        <v>13</v>
      </c>
      <c r="B1554" s="4" t="s">
        <v>423</v>
      </c>
      <c r="C1554" s="5">
        <v>37534</v>
      </c>
      <c r="D1554" s="4" t="s">
        <v>37</v>
      </c>
      <c r="E1554" s="4" t="s">
        <v>370</v>
      </c>
      <c r="F1554" s="4" t="s">
        <v>525</v>
      </c>
      <c r="G1554" s="4" t="s">
        <v>26</v>
      </c>
      <c r="H1554" s="4" t="s">
        <v>27</v>
      </c>
      <c r="I1554" s="4" t="s">
        <v>715</v>
      </c>
      <c r="J1554" s="4" t="s">
        <v>715</v>
      </c>
      <c r="K1554" s="5">
        <v>6195610</v>
      </c>
      <c r="L1554" s="5">
        <v>335286</v>
      </c>
      <c r="M1554" s="5">
        <v>19</v>
      </c>
      <c r="N1554" s="5">
        <v>1</v>
      </c>
      <c r="O1554" s="5">
        <v>2.38</v>
      </c>
      <c r="P1554" s="5"/>
    </row>
    <row r="1555" spans="1:16" x14ac:dyDescent="0.25">
      <c r="A1555" s="4" t="s">
        <v>13</v>
      </c>
      <c r="B1555" s="4" t="s">
        <v>423</v>
      </c>
      <c r="C1555" s="5">
        <v>37536</v>
      </c>
      <c r="D1555" s="4" t="s">
        <v>37</v>
      </c>
      <c r="E1555" s="4" t="s">
        <v>370</v>
      </c>
      <c r="F1555" s="4" t="s">
        <v>525</v>
      </c>
      <c r="G1555" s="4" t="s">
        <v>26</v>
      </c>
      <c r="H1555" s="4" t="s">
        <v>27</v>
      </c>
      <c r="I1555" s="4" t="s">
        <v>715</v>
      </c>
      <c r="J1555" s="4" t="s">
        <v>638</v>
      </c>
      <c r="K1555" s="5">
        <v>6194577</v>
      </c>
      <c r="L1555" s="5">
        <v>335153</v>
      </c>
      <c r="M1555" s="5">
        <v>19</v>
      </c>
      <c r="N1555" s="5">
        <v>1</v>
      </c>
      <c r="O1555" s="5">
        <v>5.5</v>
      </c>
      <c r="P1555" s="5"/>
    </row>
    <row r="1556" spans="1:16" x14ac:dyDescent="0.25">
      <c r="A1556" s="4" t="s">
        <v>54</v>
      </c>
      <c r="B1556" s="4" t="s">
        <v>423</v>
      </c>
      <c r="C1556" s="5">
        <v>37619</v>
      </c>
      <c r="D1556" s="4" t="s">
        <v>23</v>
      </c>
      <c r="E1556" s="4" t="s">
        <v>356</v>
      </c>
      <c r="F1556" s="4" t="s">
        <v>526</v>
      </c>
      <c r="G1556" s="4" t="s">
        <v>26</v>
      </c>
      <c r="H1556" s="4" t="s">
        <v>641</v>
      </c>
      <c r="I1556" s="4" t="s">
        <v>715</v>
      </c>
      <c r="J1556" s="4" t="s">
        <v>715</v>
      </c>
      <c r="K1556" s="5">
        <v>6254912</v>
      </c>
      <c r="L1556" s="5">
        <v>334147</v>
      </c>
      <c r="M1556" s="5">
        <v>19</v>
      </c>
      <c r="N1556" s="5">
        <v>1</v>
      </c>
      <c r="O1556" s="5">
        <v>0.1</v>
      </c>
      <c r="P1556" s="5"/>
    </row>
    <row r="1557" spans="1:16" x14ac:dyDescent="0.25">
      <c r="A1557" s="4" t="s">
        <v>54</v>
      </c>
      <c r="B1557" s="4" t="s">
        <v>423</v>
      </c>
      <c r="C1557" s="5">
        <v>37622</v>
      </c>
      <c r="D1557" s="4" t="s">
        <v>37</v>
      </c>
      <c r="E1557" s="4" t="s">
        <v>295</v>
      </c>
      <c r="F1557" s="4" t="s">
        <v>295</v>
      </c>
      <c r="G1557" s="4" t="s">
        <v>26</v>
      </c>
      <c r="H1557" s="4" t="s">
        <v>641</v>
      </c>
      <c r="I1557" s="4" t="s">
        <v>715</v>
      </c>
      <c r="J1557" s="4" t="s">
        <v>715</v>
      </c>
      <c r="K1557" s="5">
        <v>6236060</v>
      </c>
      <c r="L1557" s="5">
        <v>342620</v>
      </c>
      <c r="M1557" s="5">
        <v>19</v>
      </c>
      <c r="N1557" s="5">
        <v>1</v>
      </c>
      <c r="O1557" s="5">
        <v>0.1</v>
      </c>
      <c r="P1557" s="5"/>
    </row>
    <row r="1558" spans="1:16" x14ac:dyDescent="0.25">
      <c r="A1558" s="4" t="s">
        <v>54</v>
      </c>
      <c r="B1558" s="4" t="s">
        <v>423</v>
      </c>
      <c r="C1558" s="5">
        <v>37630</v>
      </c>
      <c r="D1558" s="4" t="s">
        <v>23</v>
      </c>
      <c r="E1558" s="4" t="s">
        <v>28</v>
      </c>
      <c r="F1558" s="4" t="s">
        <v>380</v>
      </c>
      <c r="G1558" s="4" t="s">
        <v>420</v>
      </c>
      <c r="H1558" s="4" t="s">
        <v>641</v>
      </c>
      <c r="I1558" s="4" t="s">
        <v>715</v>
      </c>
      <c r="J1558" s="4" t="s">
        <v>715</v>
      </c>
      <c r="K1558" s="5">
        <v>6258841</v>
      </c>
      <c r="L1558" s="5">
        <v>332556</v>
      </c>
      <c r="M1558" s="5">
        <v>19</v>
      </c>
      <c r="N1558" s="5">
        <v>1</v>
      </c>
      <c r="O1558" s="5">
        <v>0.01</v>
      </c>
      <c r="P1558" s="5"/>
    </row>
    <row r="1559" spans="1:16" x14ac:dyDescent="0.25">
      <c r="A1559" s="4" t="s">
        <v>21</v>
      </c>
      <c r="B1559" s="4" t="s">
        <v>423</v>
      </c>
      <c r="C1559" s="5">
        <v>37653</v>
      </c>
      <c r="D1559" s="4" t="s">
        <v>37</v>
      </c>
      <c r="E1559" s="4" t="s">
        <v>169</v>
      </c>
      <c r="F1559" s="4" t="s">
        <v>169</v>
      </c>
      <c r="G1559" s="4" t="s">
        <v>26</v>
      </c>
      <c r="H1559" s="4" t="s">
        <v>27</v>
      </c>
      <c r="I1559" s="4" t="s">
        <v>715</v>
      </c>
      <c r="J1559" s="4" t="s">
        <v>638</v>
      </c>
      <c r="K1559" s="5">
        <v>6219935</v>
      </c>
      <c r="L1559" s="5">
        <v>342722</v>
      </c>
      <c r="M1559" s="5">
        <v>19</v>
      </c>
      <c r="N1559" s="5">
        <v>3</v>
      </c>
      <c r="O1559" s="5">
        <v>22</v>
      </c>
      <c r="P1559" s="5"/>
    </row>
    <row r="1560" spans="1:16" x14ac:dyDescent="0.25">
      <c r="A1560" s="4" t="s">
        <v>13</v>
      </c>
      <c r="B1560" s="4" t="s">
        <v>423</v>
      </c>
      <c r="C1560" s="5">
        <v>37655</v>
      </c>
      <c r="D1560" s="4" t="s">
        <v>33</v>
      </c>
      <c r="E1560" s="4" t="s">
        <v>35</v>
      </c>
      <c r="F1560" s="4" t="s">
        <v>35</v>
      </c>
      <c r="G1560" s="4" t="s">
        <v>26</v>
      </c>
      <c r="H1560" s="4" t="s">
        <v>27</v>
      </c>
      <c r="I1560" s="4" t="s">
        <v>715</v>
      </c>
      <c r="J1560" s="4" t="s">
        <v>715</v>
      </c>
      <c r="K1560" s="5">
        <v>6137134</v>
      </c>
      <c r="L1560" s="5">
        <v>311883</v>
      </c>
      <c r="M1560" s="5">
        <v>19</v>
      </c>
      <c r="N1560" s="5">
        <v>1</v>
      </c>
      <c r="O1560" s="5">
        <v>7</v>
      </c>
      <c r="P1560" s="5"/>
    </row>
    <row r="1561" spans="1:16" x14ac:dyDescent="0.25">
      <c r="A1561" s="4" t="s">
        <v>54</v>
      </c>
      <c r="B1561" s="4" t="s">
        <v>423</v>
      </c>
      <c r="C1561" s="5">
        <v>37717</v>
      </c>
      <c r="D1561" s="4" t="s">
        <v>23</v>
      </c>
      <c r="E1561" s="4" t="s">
        <v>356</v>
      </c>
      <c r="F1561" s="4" t="s">
        <v>356</v>
      </c>
      <c r="G1561" s="4" t="s">
        <v>26</v>
      </c>
      <c r="H1561" s="4" t="s">
        <v>641</v>
      </c>
      <c r="I1561" s="4" t="s">
        <v>715</v>
      </c>
      <c r="J1561" s="4" t="s">
        <v>715</v>
      </c>
      <c r="K1561" s="5">
        <v>6254911</v>
      </c>
      <c r="L1561" s="5">
        <v>339719</v>
      </c>
      <c r="M1561" s="5">
        <v>19</v>
      </c>
      <c r="N1561" s="5">
        <v>1</v>
      </c>
      <c r="O1561" s="5">
        <v>0.5</v>
      </c>
      <c r="P1561" s="5"/>
    </row>
    <row r="1562" spans="1:16" x14ac:dyDescent="0.25">
      <c r="A1562" s="4" t="s">
        <v>13</v>
      </c>
      <c r="B1562" s="4" t="s">
        <v>423</v>
      </c>
      <c r="C1562" s="5">
        <v>37743</v>
      </c>
      <c r="D1562" s="4" t="s">
        <v>23</v>
      </c>
      <c r="E1562" s="4" t="s">
        <v>357</v>
      </c>
      <c r="F1562" s="4" t="s">
        <v>361</v>
      </c>
      <c r="G1562" s="4" t="s">
        <v>26</v>
      </c>
      <c r="H1562" s="4" t="s">
        <v>27</v>
      </c>
      <c r="I1562" s="4" t="s">
        <v>715</v>
      </c>
      <c r="J1562" s="4" t="s">
        <v>638</v>
      </c>
      <c r="K1562" s="5">
        <v>6274892</v>
      </c>
      <c r="L1562" s="5">
        <v>339366</v>
      </c>
      <c r="M1562" s="5">
        <v>19</v>
      </c>
      <c r="N1562" s="5">
        <v>1</v>
      </c>
      <c r="O1562" s="5">
        <v>9</v>
      </c>
      <c r="P1562" s="5"/>
    </row>
    <row r="1563" spans="1:16" x14ac:dyDescent="0.25">
      <c r="A1563" s="4" t="s">
        <v>13</v>
      </c>
      <c r="B1563" s="4" t="s">
        <v>423</v>
      </c>
      <c r="C1563" s="5">
        <v>37748</v>
      </c>
      <c r="D1563" s="4" t="s">
        <v>33</v>
      </c>
      <c r="E1563" s="4" t="s">
        <v>137</v>
      </c>
      <c r="F1563" s="4" t="s">
        <v>137</v>
      </c>
      <c r="G1563" s="4" t="s">
        <v>26</v>
      </c>
      <c r="H1563" s="4" t="s">
        <v>27</v>
      </c>
      <c r="I1563" s="4" t="s">
        <v>715</v>
      </c>
      <c r="J1563" s="4" t="s">
        <v>638</v>
      </c>
      <c r="K1563" s="5">
        <v>6049919</v>
      </c>
      <c r="L1563" s="5">
        <v>279856</v>
      </c>
      <c r="M1563" s="5">
        <v>19</v>
      </c>
      <c r="N1563" s="5">
        <v>2</v>
      </c>
      <c r="O1563" s="5">
        <v>5.9</v>
      </c>
      <c r="P1563" s="5"/>
    </row>
    <row r="1564" spans="1:16" x14ac:dyDescent="0.25">
      <c r="A1564" s="4" t="s">
        <v>13</v>
      </c>
      <c r="B1564" s="4" t="s">
        <v>423</v>
      </c>
      <c r="C1564" s="5">
        <v>37766</v>
      </c>
      <c r="D1564" s="4" t="s">
        <v>23</v>
      </c>
      <c r="E1564" s="4" t="s">
        <v>357</v>
      </c>
      <c r="F1564" s="4" t="s">
        <v>361</v>
      </c>
      <c r="G1564" s="4" t="s">
        <v>26</v>
      </c>
      <c r="H1564" s="4" t="s">
        <v>27</v>
      </c>
      <c r="I1564" s="4" t="s">
        <v>715</v>
      </c>
      <c r="J1564" s="4" t="s">
        <v>638</v>
      </c>
      <c r="K1564" s="5">
        <v>6274922</v>
      </c>
      <c r="L1564" s="5">
        <v>339207</v>
      </c>
      <c r="M1564" s="5">
        <v>19</v>
      </c>
      <c r="N1564" s="5">
        <v>2</v>
      </c>
      <c r="O1564" s="5">
        <v>4.47</v>
      </c>
      <c r="P1564" s="5"/>
    </row>
    <row r="1565" spans="1:16" x14ac:dyDescent="0.25">
      <c r="A1565" s="4" t="s">
        <v>13</v>
      </c>
      <c r="B1565" s="4" t="s">
        <v>423</v>
      </c>
      <c r="C1565" s="5">
        <v>37779</v>
      </c>
      <c r="D1565" s="4" t="s">
        <v>33</v>
      </c>
      <c r="E1565" s="4" t="s">
        <v>137</v>
      </c>
      <c r="F1565" s="4" t="s">
        <v>137</v>
      </c>
      <c r="G1565" s="4" t="s">
        <v>26</v>
      </c>
      <c r="H1565" s="4" t="s">
        <v>27</v>
      </c>
      <c r="I1565" s="4" t="s">
        <v>715</v>
      </c>
      <c r="J1565" s="4" t="s">
        <v>638</v>
      </c>
      <c r="K1565" s="5">
        <v>6050247</v>
      </c>
      <c r="L1565" s="5">
        <v>280230</v>
      </c>
      <c r="M1565" s="5">
        <v>19</v>
      </c>
      <c r="N1565" s="5">
        <v>2</v>
      </c>
      <c r="O1565" s="5">
        <v>5.5</v>
      </c>
      <c r="P1565" s="5"/>
    </row>
    <row r="1566" spans="1:16" x14ac:dyDescent="0.25">
      <c r="A1566" s="4" t="s">
        <v>13</v>
      </c>
      <c r="B1566" s="4" t="s">
        <v>423</v>
      </c>
      <c r="C1566" s="5">
        <v>37781</v>
      </c>
      <c r="D1566" s="4" t="s">
        <v>33</v>
      </c>
      <c r="E1566" s="4" t="s">
        <v>137</v>
      </c>
      <c r="F1566" s="4" t="s">
        <v>137</v>
      </c>
      <c r="G1566" s="4" t="s">
        <v>26</v>
      </c>
      <c r="H1566" s="4" t="s">
        <v>27</v>
      </c>
      <c r="I1566" s="4" t="s">
        <v>715</v>
      </c>
      <c r="J1566" s="4" t="s">
        <v>638</v>
      </c>
      <c r="K1566" s="5">
        <v>6049311</v>
      </c>
      <c r="L1566" s="5">
        <v>280754</v>
      </c>
      <c r="M1566" s="5">
        <v>19</v>
      </c>
      <c r="N1566" s="5">
        <v>1</v>
      </c>
      <c r="O1566" s="5">
        <v>9.5</v>
      </c>
      <c r="P1566" s="5"/>
    </row>
    <row r="1567" spans="1:16" x14ac:dyDescent="0.25">
      <c r="A1567" s="4" t="s">
        <v>21</v>
      </c>
      <c r="B1567" s="4" t="s">
        <v>423</v>
      </c>
      <c r="C1567" s="5">
        <v>37878</v>
      </c>
      <c r="D1567" s="4" t="s">
        <v>23</v>
      </c>
      <c r="E1567" s="4" t="s">
        <v>446</v>
      </c>
      <c r="F1567" s="4" t="s">
        <v>446</v>
      </c>
      <c r="G1567" s="4" t="s">
        <v>26</v>
      </c>
      <c r="H1567" s="4" t="s">
        <v>18</v>
      </c>
      <c r="I1567" s="4" t="s">
        <v>715</v>
      </c>
      <c r="J1567" s="4" t="s">
        <v>715</v>
      </c>
      <c r="K1567" s="5">
        <v>6285612</v>
      </c>
      <c r="L1567" s="5">
        <v>342955</v>
      </c>
      <c r="M1567" s="5">
        <v>19</v>
      </c>
      <c r="N1567" s="5">
        <v>1</v>
      </c>
      <c r="O1567" s="5">
        <v>0.11</v>
      </c>
      <c r="P1567" s="5"/>
    </row>
    <row r="1568" spans="1:16" x14ac:dyDescent="0.25">
      <c r="A1568" s="4" t="s">
        <v>13</v>
      </c>
      <c r="B1568" s="4" t="s">
        <v>423</v>
      </c>
      <c r="C1568" s="5">
        <v>37879</v>
      </c>
      <c r="D1568" s="4" t="s">
        <v>23</v>
      </c>
      <c r="E1568" s="4" t="s">
        <v>42</v>
      </c>
      <c r="F1568" s="4" t="s">
        <v>481</v>
      </c>
      <c r="G1568" s="4" t="s">
        <v>26</v>
      </c>
      <c r="H1568" s="4" t="s">
        <v>27</v>
      </c>
      <c r="I1568" s="4" t="s">
        <v>715</v>
      </c>
      <c r="J1568" s="4" t="s">
        <v>715</v>
      </c>
      <c r="K1568" s="5">
        <v>6301456</v>
      </c>
      <c r="L1568" s="5">
        <v>326706</v>
      </c>
      <c r="M1568" s="5">
        <v>19</v>
      </c>
      <c r="N1568" s="5">
        <v>1</v>
      </c>
      <c r="O1568" s="5">
        <v>0.41</v>
      </c>
      <c r="P1568" s="5"/>
    </row>
    <row r="1569" spans="1:16" x14ac:dyDescent="0.25">
      <c r="A1569" s="4" t="s">
        <v>13</v>
      </c>
      <c r="B1569" s="4" t="s">
        <v>423</v>
      </c>
      <c r="C1569" s="5">
        <v>37882</v>
      </c>
      <c r="D1569" s="4" t="s">
        <v>23</v>
      </c>
      <c r="E1569" s="4" t="s">
        <v>381</v>
      </c>
      <c r="F1569" s="4" t="s">
        <v>382</v>
      </c>
      <c r="G1569" s="4" t="s">
        <v>26</v>
      </c>
      <c r="H1569" s="4" t="s">
        <v>27</v>
      </c>
      <c r="I1569" s="4" t="s">
        <v>715</v>
      </c>
      <c r="J1569" s="4" t="s">
        <v>715</v>
      </c>
      <c r="K1569" s="5">
        <v>6261689</v>
      </c>
      <c r="L1569" s="5">
        <v>326556</v>
      </c>
      <c r="M1569" s="5">
        <v>19</v>
      </c>
      <c r="N1569" s="5">
        <v>1</v>
      </c>
      <c r="O1569" s="5">
        <v>0.41</v>
      </c>
      <c r="P1569" s="5"/>
    </row>
    <row r="1570" spans="1:16" x14ac:dyDescent="0.25">
      <c r="A1570" s="4" t="s">
        <v>21</v>
      </c>
      <c r="B1570" s="4" t="s">
        <v>423</v>
      </c>
      <c r="C1570" s="5">
        <v>37884</v>
      </c>
      <c r="D1570" s="4" t="s">
        <v>23</v>
      </c>
      <c r="E1570" s="4" t="s">
        <v>446</v>
      </c>
      <c r="F1570" s="4" t="s">
        <v>446</v>
      </c>
      <c r="G1570" s="4" t="s">
        <v>26</v>
      </c>
      <c r="H1570" s="4" t="s">
        <v>18</v>
      </c>
      <c r="I1570" s="4" t="s">
        <v>715</v>
      </c>
      <c r="J1570" s="4" t="s">
        <v>715</v>
      </c>
      <c r="K1570" s="5">
        <v>6285359</v>
      </c>
      <c r="L1570" s="5">
        <v>342860</v>
      </c>
      <c r="M1570" s="5">
        <v>19</v>
      </c>
      <c r="N1570" s="5">
        <v>1</v>
      </c>
      <c r="O1570" s="5">
        <v>0.11</v>
      </c>
      <c r="P1570" s="5"/>
    </row>
    <row r="1571" spans="1:16" x14ac:dyDescent="0.25">
      <c r="A1571" s="4" t="s">
        <v>21</v>
      </c>
      <c r="B1571" s="4" t="s">
        <v>423</v>
      </c>
      <c r="C1571" s="5">
        <v>37885</v>
      </c>
      <c r="D1571" s="4" t="s">
        <v>23</v>
      </c>
      <c r="E1571" s="4" t="s">
        <v>446</v>
      </c>
      <c r="F1571" s="4" t="s">
        <v>446</v>
      </c>
      <c r="G1571" s="4" t="s">
        <v>26</v>
      </c>
      <c r="H1571" s="4" t="s">
        <v>18</v>
      </c>
      <c r="I1571" s="4" t="s">
        <v>715</v>
      </c>
      <c r="J1571" s="4" t="s">
        <v>715</v>
      </c>
      <c r="K1571" s="5">
        <v>6284877</v>
      </c>
      <c r="L1571" s="5">
        <v>342719</v>
      </c>
      <c r="M1571" s="5">
        <v>19</v>
      </c>
      <c r="N1571" s="5">
        <v>1</v>
      </c>
      <c r="O1571" s="5">
        <v>0.1</v>
      </c>
      <c r="P1571" s="5"/>
    </row>
    <row r="1572" spans="1:16" x14ac:dyDescent="0.25">
      <c r="A1572" s="4" t="s">
        <v>21</v>
      </c>
      <c r="B1572" s="4" t="s">
        <v>423</v>
      </c>
      <c r="C1572" s="5">
        <v>37886</v>
      </c>
      <c r="D1572" s="4" t="s">
        <v>23</v>
      </c>
      <c r="E1572" s="4" t="s">
        <v>28</v>
      </c>
      <c r="F1572" s="4" t="s">
        <v>29</v>
      </c>
      <c r="G1572" s="4" t="s">
        <v>26</v>
      </c>
      <c r="H1572" s="4" t="s">
        <v>18</v>
      </c>
      <c r="I1572" s="4" t="s">
        <v>715</v>
      </c>
      <c r="J1572" s="4" t="s">
        <v>715</v>
      </c>
      <c r="K1572" s="5">
        <v>6264352</v>
      </c>
      <c r="L1572" s="5">
        <v>342535</v>
      </c>
      <c r="M1572" s="5">
        <v>19</v>
      </c>
      <c r="N1572" s="5">
        <v>1</v>
      </c>
      <c r="O1572" s="5">
        <v>3.6</v>
      </c>
      <c r="P1572" s="5"/>
    </row>
    <row r="1573" spans="1:16" x14ac:dyDescent="0.25">
      <c r="A1573" s="4" t="s">
        <v>21</v>
      </c>
      <c r="B1573" s="4" t="s">
        <v>423</v>
      </c>
      <c r="C1573" s="5">
        <v>37888</v>
      </c>
      <c r="D1573" s="4" t="s">
        <v>23</v>
      </c>
      <c r="E1573" s="4" t="s">
        <v>356</v>
      </c>
      <c r="F1573" s="4" t="s">
        <v>365</v>
      </c>
      <c r="G1573" s="4" t="s">
        <v>26</v>
      </c>
      <c r="H1573" s="4" t="s">
        <v>128</v>
      </c>
      <c r="I1573" s="4" t="s">
        <v>715</v>
      </c>
      <c r="J1573" s="4" t="s">
        <v>638</v>
      </c>
      <c r="K1573" s="5">
        <v>6253052</v>
      </c>
      <c r="L1573" s="5">
        <v>344884</v>
      </c>
      <c r="M1573" s="5">
        <v>19</v>
      </c>
      <c r="N1573" s="5">
        <v>1</v>
      </c>
      <c r="O1573" s="5">
        <v>2.4</v>
      </c>
      <c r="P1573" s="5"/>
    </row>
    <row r="1574" spans="1:16" x14ac:dyDescent="0.25">
      <c r="A1574" s="4" t="s">
        <v>21</v>
      </c>
      <c r="B1574" s="4" t="s">
        <v>423</v>
      </c>
      <c r="C1574" s="5">
        <v>37889</v>
      </c>
      <c r="D1574" s="4" t="s">
        <v>23</v>
      </c>
      <c r="E1574" s="4" t="s">
        <v>401</v>
      </c>
      <c r="F1574" s="4" t="s">
        <v>428</v>
      </c>
      <c r="G1574" s="4" t="s">
        <v>26</v>
      </c>
      <c r="H1574" s="4" t="s">
        <v>18</v>
      </c>
      <c r="I1574" s="4" t="s">
        <v>715</v>
      </c>
      <c r="J1574" s="4" t="s">
        <v>715</v>
      </c>
      <c r="K1574" s="5">
        <v>6314820</v>
      </c>
      <c r="L1574" s="5">
        <v>344588</v>
      </c>
      <c r="M1574" s="5">
        <v>19</v>
      </c>
      <c r="N1574" s="5">
        <v>1</v>
      </c>
      <c r="O1574" s="5">
        <v>1.6</v>
      </c>
      <c r="P1574" s="5"/>
    </row>
    <row r="1575" spans="1:16" x14ac:dyDescent="0.25">
      <c r="A1575" s="4" t="s">
        <v>21</v>
      </c>
      <c r="B1575" s="4" t="s">
        <v>423</v>
      </c>
      <c r="C1575" s="5">
        <v>37892</v>
      </c>
      <c r="D1575" s="4" t="s">
        <v>23</v>
      </c>
      <c r="E1575" s="4" t="s">
        <v>527</v>
      </c>
      <c r="F1575" s="4" t="s">
        <v>528</v>
      </c>
      <c r="G1575" s="4" t="s">
        <v>26</v>
      </c>
      <c r="H1575" s="4" t="s">
        <v>18</v>
      </c>
      <c r="I1575" s="4" t="s">
        <v>715</v>
      </c>
      <c r="J1575" s="4" t="s">
        <v>715</v>
      </c>
      <c r="K1575" s="5">
        <v>6289688</v>
      </c>
      <c r="L1575" s="5">
        <v>305205</v>
      </c>
      <c r="M1575" s="5">
        <v>19</v>
      </c>
      <c r="N1575" s="5">
        <v>1</v>
      </c>
      <c r="O1575" s="5">
        <v>0.11</v>
      </c>
      <c r="P1575" s="5"/>
    </row>
    <row r="1576" spans="1:16" x14ac:dyDescent="0.25">
      <c r="A1576" s="4" t="s">
        <v>21</v>
      </c>
      <c r="B1576" s="4" t="s">
        <v>423</v>
      </c>
      <c r="C1576" s="5">
        <v>37893</v>
      </c>
      <c r="D1576" s="4" t="s">
        <v>23</v>
      </c>
      <c r="E1576" s="4" t="s">
        <v>527</v>
      </c>
      <c r="F1576" s="4" t="s">
        <v>528</v>
      </c>
      <c r="G1576" s="4" t="s">
        <v>26</v>
      </c>
      <c r="H1576" s="4" t="s">
        <v>18</v>
      </c>
      <c r="I1576" s="4" t="s">
        <v>715</v>
      </c>
      <c r="J1576" s="4" t="s">
        <v>715</v>
      </c>
      <c r="K1576" s="5">
        <v>6289809</v>
      </c>
      <c r="L1576" s="5">
        <v>305532</v>
      </c>
      <c r="M1576" s="5">
        <v>19</v>
      </c>
      <c r="N1576" s="5">
        <v>1</v>
      </c>
      <c r="O1576" s="5">
        <v>0.12</v>
      </c>
      <c r="P1576" s="5"/>
    </row>
    <row r="1577" spans="1:16" x14ac:dyDescent="0.25">
      <c r="A1577" s="4" t="s">
        <v>21</v>
      </c>
      <c r="B1577" s="4" t="s">
        <v>423</v>
      </c>
      <c r="C1577" s="5">
        <v>37894</v>
      </c>
      <c r="D1577" s="4" t="s">
        <v>23</v>
      </c>
      <c r="E1577" s="4" t="s">
        <v>357</v>
      </c>
      <c r="F1577" s="4" t="s">
        <v>459</v>
      </c>
      <c r="G1577" s="4" t="s">
        <v>26</v>
      </c>
      <c r="H1577" s="4" t="s">
        <v>18</v>
      </c>
      <c r="I1577" s="4" t="s">
        <v>715</v>
      </c>
      <c r="J1577" s="4" t="s">
        <v>715</v>
      </c>
      <c r="K1577" s="5">
        <v>6278638</v>
      </c>
      <c r="L1577" s="5">
        <v>339570</v>
      </c>
      <c r="M1577" s="5">
        <v>19</v>
      </c>
      <c r="N1577" s="5">
        <v>1</v>
      </c>
      <c r="O1577" s="5">
        <v>7.0000000000000007E-2</v>
      </c>
      <c r="P1577" s="5"/>
    </row>
    <row r="1578" spans="1:16" x14ac:dyDescent="0.25">
      <c r="A1578" s="4" t="s">
        <v>21</v>
      </c>
      <c r="B1578" s="4" t="s">
        <v>423</v>
      </c>
      <c r="C1578" s="5">
        <v>37895</v>
      </c>
      <c r="D1578" s="4" t="s">
        <v>23</v>
      </c>
      <c r="E1578" s="4" t="s">
        <v>356</v>
      </c>
      <c r="F1578" s="4" t="s">
        <v>380</v>
      </c>
      <c r="G1578" s="4" t="s">
        <v>26</v>
      </c>
      <c r="H1578" s="4" t="s">
        <v>18</v>
      </c>
      <c r="I1578" s="4" t="s">
        <v>715</v>
      </c>
      <c r="J1578" s="4" t="s">
        <v>715</v>
      </c>
      <c r="K1578" s="5">
        <v>6261620</v>
      </c>
      <c r="L1578" s="5">
        <v>337274</v>
      </c>
      <c r="M1578" s="5">
        <v>19</v>
      </c>
      <c r="N1578" s="5">
        <v>1</v>
      </c>
      <c r="O1578" s="5">
        <v>0.93</v>
      </c>
      <c r="P1578" s="5"/>
    </row>
    <row r="1579" spans="1:16" x14ac:dyDescent="0.25">
      <c r="A1579" s="4" t="s">
        <v>21</v>
      </c>
      <c r="B1579" s="4" t="s">
        <v>423</v>
      </c>
      <c r="C1579" s="5">
        <v>37898</v>
      </c>
      <c r="D1579" s="4" t="s">
        <v>23</v>
      </c>
      <c r="E1579" s="4" t="s">
        <v>409</v>
      </c>
      <c r="F1579" s="4" t="s">
        <v>529</v>
      </c>
      <c r="G1579" s="4" t="s">
        <v>26</v>
      </c>
      <c r="H1579" s="4" t="s">
        <v>18</v>
      </c>
      <c r="I1579" s="4" t="s">
        <v>715</v>
      </c>
      <c r="J1579" s="4" t="s">
        <v>715</v>
      </c>
      <c r="K1579" s="5">
        <v>6268253</v>
      </c>
      <c r="L1579" s="5">
        <v>317647</v>
      </c>
      <c r="M1579" s="5">
        <v>19</v>
      </c>
      <c r="N1579" s="5">
        <v>1</v>
      </c>
      <c r="O1579" s="5">
        <v>6.2</v>
      </c>
      <c r="P1579" s="5"/>
    </row>
    <row r="1580" spans="1:16" x14ac:dyDescent="0.25">
      <c r="A1580" s="4" t="s">
        <v>21</v>
      </c>
      <c r="B1580" s="4" t="s">
        <v>423</v>
      </c>
      <c r="C1580" s="5">
        <v>37900</v>
      </c>
      <c r="D1580" s="4" t="s">
        <v>23</v>
      </c>
      <c r="E1580" s="4" t="s">
        <v>357</v>
      </c>
      <c r="F1580" s="4" t="s">
        <v>357</v>
      </c>
      <c r="G1580" s="4" t="s">
        <v>26</v>
      </c>
      <c r="H1580" s="4" t="s">
        <v>128</v>
      </c>
      <c r="I1580" s="4" t="s">
        <v>715</v>
      </c>
      <c r="J1580" s="4" t="s">
        <v>638</v>
      </c>
      <c r="K1580" s="5">
        <v>6285089</v>
      </c>
      <c r="L1580" s="5">
        <v>337013</v>
      </c>
      <c r="M1580" s="5">
        <v>19</v>
      </c>
      <c r="N1580" s="5">
        <v>1</v>
      </c>
      <c r="O1580" s="5">
        <v>8.1</v>
      </c>
      <c r="P1580" s="5"/>
    </row>
    <row r="1581" spans="1:16" x14ac:dyDescent="0.25">
      <c r="A1581" s="4" t="s">
        <v>21</v>
      </c>
      <c r="B1581" s="4" t="s">
        <v>423</v>
      </c>
      <c r="C1581" s="5">
        <v>37902</v>
      </c>
      <c r="D1581" s="4" t="s">
        <v>23</v>
      </c>
      <c r="E1581" s="4" t="s">
        <v>356</v>
      </c>
      <c r="F1581" s="4" t="s">
        <v>485</v>
      </c>
      <c r="G1581" s="4" t="s">
        <v>26</v>
      </c>
      <c r="H1581" s="4" t="s">
        <v>18</v>
      </c>
      <c r="I1581" s="4" t="s">
        <v>715</v>
      </c>
      <c r="J1581" s="4" t="s">
        <v>715</v>
      </c>
      <c r="K1581" s="5">
        <v>6255513</v>
      </c>
      <c r="L1581" s="5">
        <v>321304</v>
      </c>
      <c r="M1581" s="5">
        <v>19</v>
      </c>
      <c r="N1581" s="5">
        <v>1</v>
      </c>
      <c r="O1581" s="5">
        <v>0.35</v>
      </c>
      <c r="P1581" s="5"/>
    </row>
    <row r="1582" spans="1:16" x14ac:dyDescent="0.25">
      <c r="A1582" s="4" t="s">
        <v>21</v>
      </c>
      <c r="B1582" s="4" t="s">
        <v>423</v>
      </c>
      <c r="C1582" s="5">
        <v>37903</v>
      </c>
      <c r="D1582" s="4" t="s">
        <v>23</v>
      </c>
      <c r="E1582" s="4" t="s">
        <v>401</v>
      </c>
      <c r="F1582" s="4" t="s">
        <v>428</v>
      </c>
      <c r="G1582" s="4" t="s">
        <v>26</v>
      </c>
      <c r="H1582" s="4" t="s">
        <v>18</v>
      </c>
      <c r="I1582" s="4" t="s">
        <v>715</v>
      </c>
      <c r="J1582" s="4" t="s">
        <v>715</v>
      </c>
      <c r="K1582" s="5">
        <v>6344863</v>
      </c>
      <c r="L1582" s="5">
        <v>340814</v>
      </c>
      <c r="M1582" s="5">
        <v>19</v>
      </c>
      <c r="N1582" s="5">
        <v>1</v>
      </c>
      <c r="O1582" s="5">
        <v>0.8</v>
      </c>
      <c r="P1582" s="5"/>
    </row>
    <row r="1583" spans="1:16" x14ac:dyDescent="0.25">
      <c r="A1583" s="4" t="s">
        <v>21</v>
      </c>
      <c r="B1583" s="4" t="s">
        <v>423</v>
      </c>
      <c r="C1583" s="5">
        <v>37904</v>
      </c>
      <c r="D1583" s="4" t="s">
        <v>23</v>
      </c>
      <c r="E1583" s="4" t="s">
        <v>356</v>
      </c>
      <c r="F1583" s="4" t="s">
        <v>380</v>
      </c>
      <c r="G1583" s="4" t="s">
        <v>26</v>
      </c>
      <c r="H1583" s="4" t="s">
        <v>18</v>
      </c>
      <c r="I1583" s="4" t="s">
        <v>715</v>
      </c>
      <c r="J1583" s="4" t="s">
        <v>715</v>
      </c>
      <c r="K1583" s="5">
        <v>6261329</v>
      </c>
      <c r="L1583" s="5">
        <v>337749</v>
      </c>
      <c r="M1583" s="5">
        <v>19</v>
      </c>
      <c r="N1583" s="5">
        <v>1</v>
      </c>
      <c r="O1583" s="5">
        <v>1</v>
      </c>
      <c r="P1583" s="5"/>
    </row>
    <row r="1584" spans="1:16" x14ac:dyDescent="0.25">
      <c r="A1584" s="4" t="s">
        <v>54</v>
      </c>
      <c r="B1584" s="4" t="s">
        <v>423</v>
      </c>
      <c r="C1584" s="5">
        <v>37918</v>
      </c>
      <c r="D1584" s="4" t="s">
        <v>23</v>
      </c>
      <c r="E1584" s="4" t="s">
        <v>28</v>
      </c>
      <c r="F1584" s="4" t="s">
        <v>383</v>
      </c>
      <c r="G1584" s="4" t="s">
        <v>26</v>
      </c>
      <c r="H1584" s="4" t="s">
        <v>641</v>
      </c>
      <c r="I1584" s="4" t="s">
        <v>715</v>
      </c>
      <c r="J1584" s="4" t="s">
        <v>715</v>
      </c>
      <c r="K1584" s="5">
        <v>6259552</v>
      </c>
      <c r="L1584" s="5">
        <v>330916</v>
      </c>
      <c r="M1584" s="5">
        <v>19</v>
      </c>
      <c r="N1584" s="5">
        <v>1</v>
      </c>
      <c r="O1584" s="5">
        <v>0.97</v>
      </c>
      <c r="P1584" s="5"/>
    </row>
    <row r="1585" spans="1:16" x14ac:dyDescent="0.25">
      <c r="A1585" s="4" t="s">
        <v>54</v>
      </c>
      <c r="B1585" s="4" t="s">
        <v>423</v>
      </c>
      <c r="C1585" s="5">
        <v>37921</v>
      </c>
      <c r="D1585" s="4" t="s">
        <v>23</v>
      </c>
      <c r="E1585" s="4" t="s">
        <v>28</v>
      </c>
      <c r="F1585" s="4" t="s">
        <v>383</v>
      </c>
      <c r="G1585" s="4" t="s">
        <v>26</v>
      </c>
      <c r="H1585" s="4" t="s">
        <v>641</v>
      </c>
      <c r="I1585" s="4" t="s">
        <v>715</v>
      </c>
      <c r="J1585" s="4" t="s">
        <v>715</v>
      </c>
      <c r="K1585" s="5">
        <v>6259508</v>
      </c>
      <c r="L1585" s="5">
        <v>331010</v>
      </c>
      <c r="M1585" s="5">
        <v>19</v>
      </c>
      <c r="N1585" s="5">
        <v>1</v>
      </c>
      <c r="O1585" s="5">
        <v>1.03</v>
      </c>
      <c r="P1585" s="5"/>
    </row>
    <row r="1586" spans="1:16" x14ac:dyDescent="0.25">
      <c r="A1586" s="4" t="s">
        <v>54</v>
      </c>
      <c r="B1586" s="4" t="s">
        <v>423</v>
      </c>
      <c r="C1586" s="5">
        <v>37933</v>
      </c>
      <c r="D1586" s="4" t="s">
        <v>15</v>
      </c>
      <c r="E1586" s="4" t="s">
        <v>468</v>
      </c>
      <c r="F1586" s="4" t="s">
        <v>375</v>
      </c>
      <c r="G1586" s="4" t="s">
        <v>26</v>
      </c>
      <c r="H1586" s="4" t="s">
        <v>641</v>
      </c>
      <c r="I1586" s="4" t="s">
        <v>715</v>
      </c>
      <c r="J1586" s="4" t="s">
        <v>715</v>
      </c>
      <c r="K1586" s="5">
        <v>6362994</v>
      </c>
      <c r="L1586" s="5">
        <v>351110</v>
      </c>
      <c r="M1586" s="5">
        <v>19</v>
      </c>
      <c r="N1586" s="5">
        <v>1</v>
      </c>
      <c r="O1586" s="5">
        <v>0.22</v>
      </c>
      <c r="P1586" s="5"/>
    </row>
    <row r="1587" spans="1:16" x14ac:dyDescent="0.25">
      <c r="A1587" s="4" t="s">
        <v>54</v>
      </c>
      <c r="B1587" s="4" t="s">
        <v>423</v>
      </c>
      <c r="C1587" s="5">
        <v>37934</v>
      </c>
      <c r="D1587" s="4" t="s">
        <v>15</v>
      </c>
      <c r="E1587" s="4" t="s">
        <v>468</v>
      </c>
      <c r="F1587" s="4" t="s">
        <v>375</v>
      </c>
      <c r="G1587" s="4" t="s">
        <v>26</v>
      </c>
      <c r="H1587" s="4" t="s">
        <v>641</v>
      </c>
      <c r="I1587" s="4" t="s">
        <v>715</v>
      </c>
      <c r="J1587" s="4" t="s">
        <v>715</v>
      </c>
      <c r="K1587" s="5">
        <v>6363047</v>
      </c>
      <c r="L1587" s="5">
        <v>351189</v>
      </c>
      <c r="M1587" s="5">
        <v>19</v>
      </c>
      <c r="N1587" s="5">
        <v>1</v>
      </c>
      <c r="O1587" s="5">
        <v>0.17</v>
      </c>
      <c r="P1587" s="5"/>
    </row>
    <row r="1588" spans="1:16" x14ac:dyDescent="0.25">
      <c r="A1588" s="4" t="s">
        <v>13</v>
      </c>
      <c r="B1588" s="4" t="s">
        <v>423</v>
      </c>
      <c r="C1588" s="5">
        <v>37947</v>
      </c>
      <c r="D1588" s="4" t="s">
        <v>23</v>
      </c>
      <c r="E1588" s="4" t="s">
        <v>76</v>
      </c>
      <c r="F1588" s="4" t="s">
        <v>76</v>
      </c>
      <c r="G1588" s="4" t="s">
        <v>26</v>
      </c>
      <c r="H1588" s="4" t="s">
        <v>27</v>
      </c>
      <c r="I1588" s="4" t="s">
        <v>715</v>
      </c>
      <c r="J1588" s="4" t="s">
        <v>638</v>
      </c>
      <c r="K1588" s="5">
        <v>6273425</v>
      </c>
      <c r="L1588" s="5">
        <v>323041</v>
      </c>
      <c r="M1588" s="5">
        <v>19</v>
      </c>
      <c r="N1588" s="5">
        <v>1</v>
      </c>
      <c r="O1588" s="5">
        <v>10</v>
      </c>
      <c r="P1588" s="5"/>
    </row>
    <row r="1589" spans="1:16" x14ac:dyDescent="0.25">
      <c r="A1589" s="4" t="s">
        <v>54</v>
      </c>
      <c r="B1589" s="4" t="s">
        <v>423</v>
      </c>
      <c r="C1589" s="5">
        <v>38007</v>
      </c>
      <c r="D1589" s="4" t="s">
        <v>474</v>
      </c>
      <c r="E1589" s="4" t="s">
        <v>475</v>
      </c>
      <c r="F1589" s="4" t="s">
        <v>476</v>
      </c>
      <c r="G1589" s="4" t="s">
        <v>26</v>
      </c>
      <c r="H1589" s="4" t="s">
        <v>641</v>
      </c>
      <c r="I1589" s="4" t="s">
        <v>715</v>
      </c>
      <c r="J1589" s="4" t="s">
        <v>715</v>
      </c>
      <c r="K1589" s="5">
        <v>7952817</v>
      </c>
      <c r="L1589" s="5">
        <v>371056</v>
      </c>
      <c r="M1589" s="5">
        <v>19</v>
      </c>
      <c r="N1589" s="5">
        <v>1</v>
      </c>
      <c r="O1589" s="5">
        <v>0.05</v>
      </c>
      <c r="P1589" s="5"/>
    </row>
    <row r="1590" spans="1:16" x14ac:dyDescent="0.25">
      <c r="A1590" s="4" t="s">
        <v>54</v>
      </c>
      <c r="B1590" s="4" t="s">
        <v>423</v>
      </c>
      <c r="C1590" s="5">
        <v>38044</v>
      </c>
      <c r="D1590" s="4" t="s">
        <v>23</v>
      </c>
      <c r="E1590" s="4" t="s">
        <v>28</v>
      </c>
      <c r="F1590" s="4" t="s">
        <v>380</v>
      </c>
      <c r="G1590" s="4" t="s">
        <v>420</v>
      </c>
      <c r="H1590" s="4" t="s">
        <v>641</v>
      </c>
      <c r="I1590" s="4" t="s">
        <v>715</v>
      </c>
      <c r="J1590" s="4" t="s">
        <v>715</v>
      </c>
      <c r="K1590" s="5">
        <v>6258734</v>
      </c>
      <c r="L1590" s="5">
        <v>332393</v>
      </c>
      <c r="M1590" s="5">
        <v>19</v>
      </c>
      <c r="N1590" s="5">
        <v>1</v>
      </c>
      <c r="O1590" s="5">
        <v>0.9</v>
      </c>
      <c r="P1590" s="5"/>
    </row>
    <row r="1591" spans="1:16" x14ac:dyDescent="0.25">
      <c r="A1591" s="4" t="s">
        <v>13</v>
      </c>
      <c r="B1591" s="4" t="s">
        <v>423</v>
      </c>
      <c r="C1591" s="5">
        <v>38059</v>
      </c>
      <c r="D1591" s="4" t="s">
        <v>23</v>
      </c>
      <c r="E1591" s="4" t="s">
        <v>25</v>
      </c>
      <c r="F1591" s="4" t="s">
        <v>25</v>
      </c>
      <c r="G1591" s="4" t="s">
        <v>26</v>
      </c>
      <c r="H1591" s="4" t="s">
        <v>27</v>
      </c>
      <c r="I1591" s="4" t="s">
        <v>715</v>
      </c>
      <c r="J1591" s="4" t="s">
        <v>715</v>
      </c>
      <c r="K1591" s="5">
        <v>6263956</v>
      </c>
      <c r="L1591" s="5">
        <v>294874</v>
      </c>
      <c r="M1591" s="5">
        <v>19</v>
      </c>
      <c r="N1591" s="5">
        <v>1</v>
      </c>
      <c r="O1591" s="5">
        <v>10</v>
      </c>
      <c r="P1591" s="5"/>
    </row>
    <row r="1592" spans="1:16" x14ac:dyDescent="0.25">
      <c r="A1592" s="4" t="s">
        <v>13</v>
      </c>
      <c r="B1592" s="4" t="s">
        <v>423</v>
      </c>
      <c r="C1592" s="5">
        <v>38066</v>
      </c>
      <c r="D1592" s="4" t="s">
        <v>33</v>
      </c>
      <c r="E1592" s="4" t="s">
        <v>133</v>
      </c>
      <c r="F1592" s="4" t="s">
        <v>133</v>
      </c>
      <c r="G1592" s="4" t="s">
        <v>26</v>
      </c>
      <c r="H1592" s="4" t="s">
        <v>27</v>
      </c>
      <c r="I1592" s="4" t="s">
        <v>715</v>
      </c>
      <c r="J1592" s="4" t="s">
        <v>715</v>
      </c>
      <c r="K1592" s="5">
        <v>6067353</v>
      </c>
      <c r="L1592" s="5">
        <v>255863</v>
      </c>
      <c r="M1592" s="5">
        <v>19</v>
      </c>
      <c r="N1592" s="5">
        <v>5</v>
      </c>
      <c r="O1592" s="5">
        <v>48.85</v>
      </c>
      <c r="P1592" s="5"/>
    </row>
    <row r="1593" spans="1:16" x14ac:dyDescent="0.25">
      <c r="A1593" s="4" t="s">
        <v>21</v>
      </c>
      <c r="B1593" s="4" t="s">
        <v>423</v>
      </c>
      <c r="C1593" s="5">
        <v>38084</v>
      </c>
      <c r="D1593" s="4" t="s">
        <v>23</v>
      </c>
      <c r="E1593" s="4" t="s">
        <v>25</v>
      </c>
      <c r="F1593" s="4" t="s">
        <v>147</v>
      </c>
      <c r="G1593" s="4" t="s">
        <v>26</v>
      </c>
      <c r="H1593" s="4" t="s">
        <v>18</v>
      </c>
      <c r="I1593" s="4" t="s">
        <v>715</v>
      </c>
      <c r="J1593" s="4" t="s">
        <v>715</v>
      </c>
      <c r="K1593" s="5">
        <v>6277776</v>
      </c>
      <c r="L1593" s="5">
        <v>289674</v>
      </c>
      <c r="M1593" s="5">
        <v>19</v>
      </c>
      <c r="N1593" s="5">
        <v>1</v>
      </c>
      <c r="O1593" s="5">
        <v>1</v>
      </c>
      <c r="P1593" s="5"/>
    </row>
    <row r="1594" spans="1:16" x14ac:dyDescent="0.25">
      <c r="A1594" s="4" t="s">
        <v>21</v>
      </c>
      <c r="B1594" s="4" t="s">
        <v>423</v>
      </c>
      <c r="C1594" s="5">
        <v>38085</v>
      </c>
      <c r="D1594" s="4" t="s">
        <v>23</v>
      </c>
      <c r="E1594" s="4" t="s">
        <v>25</v>
      </c>
      <c r="F1594" s="4" t="s">
        <v>530</v>
      </c>
      <c r="G1594" s="4" t="s">
        <v>26</v>
      </c>
      <c r="H1594" s="4" t="s">
        <v>18</v>
      </c>
      <c r="I1594" s="4" t="s">
        <v>715</v>
      </c>
      <c r="J1594" s="4" t="s">
        <v>715</v>
      </c>
      <c r="K1594" s="5">
        <v>6270449</v>
      </c>
      <c r="L1594" s="5">
        <v>292242</v>
      </c>
      <c r="M1594" s="5">
        <v>19</v>
      </c>
      <c r="N1594" s="5">
        <v>1</v>
      </c>
      <c r="O1594" s="5">
        <v>4.95</v>
      </c>
      <c r="P1594" s="5"/>
    </row>
    <row r="1595" spans="1:16" x14ac:dyDescent="0.25">
      <c r="A1595" s="4" t="s">
        <v>13</v>
      </c>
      <c r="B1595" s="4" t="s">
        <v>423</v>
      </c>
      <c r="C1595" s="5">
        <v>38086</v>
      </c>
      <c r="D1595" s="4" t="s">
        <v>23</v>
      </c>
      <c r="E1595" s="4" t="s">
        <v>25</v>
      </c>
      <c r="F1595" s="4" t="s">
        <v>497</v>
      </c>
      <c r="G1595" s="4" t="s">
        <v>26</v>
      </c>
      <c r="H1595" s="4" t="s">
        <v>27</v>
      </c>
      <c r="I1595" s="4" t="s">
        <v>715</v>
      </c>
      <c r="J1595" s="4" t="s">
        <v>715</v>
      </c>
      <c r="K1595" s="5">
        <v>6273939</v>
      </c>
      <c r="L1595" s="5">
        <v>291153</v>
      </c>
      <c r="M1595" s="5">
        <v>19</v>
      </c>
      <c r="N1595" s="5">
        <v>1</v>
      </c>
      <c r="O1595" s="5">
        <v>0.57999999999999996</v>
      </c>
      <c r="P1595" s="5"/>
    </row>
    <row r="1596" spans="1:16" x14ac:dyDescent="0.25">
      <c r="A1596" s="4" t="s">
        <v>21</v>
      </c>
      <c r="B1596" s="4" t="s">
        <v>423</v>
      </c>
      <c r="C1596" s="5">
        <v>38087</v>
      </c>
      <c r="D1596" s="4" t="s">
        <v>23</v>
      </c>
      <c r="E1596" s="4" t="s">
        <v>356</v>
      </c>
      <c r="F1596" s="4" t="s">
        <v>494</v>
      </c>
      <c r="G1596" s="4" t="s">
        <v>26</v>
      </c>
      <c r="H1596" s="4" t="s">
        <v>18</v>
      </c>
      <c r="I1596" s="4" t="s">
        <v>715</v>
      </c>
      <c r="J1596" s="4" t="s">
        <v>715</v>
      </c>
      <c r="K1596" s="5">
        <v>6261157</v>
      </c>
      <c r="L1596" s="5">
        <v>344634</v>
      </c>
      <c r="M1596" s="5">
        <v>19</v>
      </c>
      <c r="N1596" s="5">
        <v>1</v>
      </c>
      <c r="O1596" s="5">
        <v>4.8600000000000003</v>
      </c>
      <c r="P1596" s="5"/>
    </row>
    <row r="1597" spans="1:16" x14ac:dyDescent="0.25">
      <c r="A1597" s="4" t="s">
        <v>21</v>
      </c>
      <c r="B1597" s="4" t="s">
        <v>423</v>
      </c>
      <c r="C1597" s="5">
        <v>38089</v>
      </c>
      <c r="D1597" s="4" t="s">
        <v>23</v>
      </c>
      <c r="E1597" s="4" t="s">
        <v>356</v>
      </c>
      <c r="F1597" s="4" t="s">
        <v>380</v>
      </c>
      <c r="G1597" s="4" t="s">
        <v>26</v>
      </c>
      <c r="H1597" s="4" t="s">
        <v>18</v>
      </c>
      <c r="I1597" s="4" t="s">
        <v>715</v>
      </c>
      <c r="J1597" s="4" t="s">
        <v>715</v>
      </c>
      <c r="K1597" s="5">
        <v>6261921</v>
      </c>
      <c r="L1597" s="5">
        <v>337091</v>
      </c>
      <c r="M1597" s="5">
        <v>19</v>
      </c>
      <c r="N1597" s="5">
        <v>1</v>
      </c>
      <c r="O1597" s="5">
        <v>0.13</v>
      </c>
      <c r="P1597" s="5"/>
    </row>
    <row r="1598" spans="1:16" x14ac:dyDescent="0.25">
      <c r="A1598" s="4" t="s">
        <v>21</v>
      </c>
      <c r="B1598" s="4" t="s">
        <v>423</v>
      </c>
      <c r="C1598" s="5">
        <v>38093</v>
      </c>
      <c r="D1598" s="4" t="s">
        <v>23</v>
      </c>
      <c r="E1598" s="4" t="s">
        <v>25</v>
      </c>
      <c r="F1598" s="4" t="s">
        <v>507</v>
      </c>
      <c r="G1598" s="4" t="s">
        <v>26</v>
      </c>
      <c r="H1598" s="4" t="s">
        <v>18</v>
      </c>
      <c r="I1598" s="4" t="s">
        <v>715</v>
      </c>
      <c r="J1598" s="4" t="s">
        <v>715</v>
      </c>
      <c r="K1598" s="5">
        <v>6273481</v>
      </c>
      <c r="L1598" s="5">
        <v>291097</v>
      </c>
      <c r="M1598" s="5">
        <v>19</v>
      </c>
      <c r="N1598" s="5">
        <v>1</v>
      </c>
      <c r="O1598" s="5">
        <v>1.05</v>
      </c>
      <c r="P1598" s="5"/>
    </row>
    <row r="1599" spans="1:16" x14ac:dyDescent="0.25">
      <c r="A1599" s="4" t="s">
        <v>21</v>
      </c>
      <c r="B1599" s="4" t="s">
        <v>423</v>
      </c>
      <c r="C1599" s="5">
        <v>38094</v>
      </c>
      <c r="D1599" s="4" t="s">
        <v>23</v>
      </c>
      <c r="E1599" s="4" t="s">
        <v>76</v>
      </c>
      <c r="F1599" s="4" t="s">
        <v>351</v>
      </c>
      <c r="G1599" s="4" t="s">
        <v>26</v>
      </c>
      <c r="H1599" s="4" t="s">
        <v>18</v>
      </c>
      <c r="I1599" s="4" t="s">
        <v>715</v>
      </c>
      <c r="J1599" s="4" t="s">
        <v>715</v>
      </c>
      <c r="K1599" s="5">
        <v>6270444</v>
      </c>
      <c r="L1599" s="5">
        <v>318457</v>
      </c>
      <c r="M1599" s="5">
        <v>19</v>
      </c>
      <c r="N1599" s="5">
        <v>1</v>
      </c>
      <c r="O1599" s="5">
        <v>1.08</v>
      </c>
      <c r="P1599" s="5"/>
    </row>
    <row r="1600" spans="1:16" x14ac:dyDescent="0.25">
      <c r="A1600" s="4" t="s">
        <v>21</v>
      </c>
      <c r="B1600" s="4" t="s">
        <v>423</v>
      </c>
      <c r="C1600" s="5">
        <v>38095</v>
      </c>
      <c r="D1600" s="4" t="s">
        <v>23</v>
      </c>
      <c r="E1600" s="4" t="s">
        <v>356</v>
      </c>
      <c r="F1600" s="4" t="s">
        <v>531</v>
      </c>
      <c r="G1600" s="4" t="s">
        <v>26</v>
      </c>
      <c r="H1600" s="4" t="s">
        <v>18</v>
      </c>
      <c r="I1600" s="4" t="s">
        <v>715</v>
      </c>
      <c r="J1600" s="4" t="s">
        <v>715</v>
      </c>
      <c r="K1600" s="5">
        <v>6255770</v>
      </c>
      <c r="L1600" s="5">
        <v>346288</v>
      </c>
      <c r="M1600" s="5">
        <v>19</v>
      </c>
      <c r="N1600" s="5">
        <v>1</v>
      </c>
      <c r="O1600" s="5">
        <v>8.3000000000000007</v>
      </c>
      <c r="P1600" s="5"/>
    </row>
    <row r="1601" spans="1:16" x14ac:dyDescent="0.25">
      <c r="A1601" s="4" t="s">
        <v>54</v>
      </c>
      <c r="B1601" s="4" t="s">
        <v>423</v>
      </c>
      <c r="C1601" s="5">
        <v>38135</v>
      </c>
      <c r="D1601" s="4" t="s">
        <v>23</v>
      </c>
      <c r="E1601" s="4" t="s">
        <v>28</v>
      </c>
      <c r="F1601" s="4" t="s">
        <v>380</v>
      </c>
      <c r="G1601" s="4" t="s">
        <v>26</v>
      </c>
      <c r="H1601" s="4" t="s">
        <v>641</v>
      </c>
      <c r="I1601" s="4" t="s">
        <v>715</v>
      </c>
      <c r="J1601" s="4" t="s">
        <v>715</v>
      </c>
      <c r="K1601" s="5">
        <v>6260660</v>
      </c>
      <c r="L1601" s="5">
        <v>332862</v>
      </c>
      <c r="M1601" s="5">
        <v>19</v>
      </c>
      <c r="N1601" s="5">
        <v>2</v>
      </c>
      <c r="O1601" s="5">
        <v>1.56</v>
      </c>
      <c r="P1601" s="5"/>
    </row>
    <row r="1602" spans="1:16" x14ac:dyDescent="0.25">
      <c r="A1602" s="4" t="s">
        <v>54</v>
      </c>
      <c r="B1602" s="4" t="s">
        <v>423</v>
      </c>
      <c r="C1602" s="5">
        <v>38137</v>
      </c>
      <c r="D1602" s="4" t="s">
        <v>23</v>
      </c>
      <c r="E1602" s="4" t="s">
        <v>28</v>
      </c>
      <c r="F1602" s="4" t="s">
        <v>380</v>
      </c>
      <c r="G1602" s="4" t="s">
        <v>26</v>
      </c>
      <c r="H1602" s="4" t="s">
        <v>641</v>
      </c>
      <c r="I1602" s="4" t="s">
        <v>715</v>
      </c>
      <c r="J1602" s="4" t="s">
        <v>715</v>
      </c>
      <c r="K1602" s="5">
        <v>6260575</v>
      </c>
      <c r="L1602" s="5">
        <v>332933</v>
      </c>
      <c r="M1602" s="5">
        <v>19</v>
      </c>
      <c r="N1602" s="5">
        <v>2</v>
      </c>
      <c r="O1602" s="5">
        <v>1.25</v>
      </c>
      <c r="P1602" s="5"/>
    </row>
    <row r="1603" spans="1:16" x14ac:dyDescent="0.25">
      <c r="A1603" s="4" t="s">
        <v>54</v>
      </c>
      <c r="B1603" s="4" t="s">
        <v>423</v>
      </c>
      <c r="C1603" s="5">
        <v>38138</v>
      </c>
      <c r="D1603" s="4" t="s">
        <v>23</v>
      </c>
      <c r="E1603" s="4" t="s">
        <v>28</v>
      </c>
      <c r="F1603" s="4" t="s">
        <v>380</v>
      </c>
      <c r="G1603" s="4" t="s">
        <v>26</v>
      </c>
      <c r="H1603" s="4" t="s">
        <v>641</v>
      </c>
      <c r="I1603" s="4" t="s">
        <v>715</v>
      </c>
      <c r="J1603" s="4" t="s">
        <v>715</v>
      </c>
      <c r="K1603" s="5">
        <v>6260749</v>
      </c>
      <c r="L1603" s="5">
        <v>333150</v>
      </c>
      <c r="M1603" s="5">
        <v>19</v>
      </c>
      <c r="N1603" s="5">
        <v>2</v>
      </c>
      <c r="O1603" s="5">
        <v>1.65</v>
      </c>
      <c r="P1603" s="5"/>
    </row>
    <row r="1604" spans="1:16" x14ac:dyDescent="0.25">
      <c r="A1604" s="4" t="s">
        <v>54</v>
      </c>
      <c r="B1604" s="4" t="s">
        <v>423</v>
      </c>
      <c r="C1604" s="5">
        <v>38140</v>
      </c>
      <c r="D1604" s="4" t="s">
        <v>23</v>
      </c>
      <c r="E1604" s="4" t="s">
        <v>28</v>
      </c>
      <c r="F1604" s="4" t="s">
        <v>380</v>
      </c>
      <c r="G1604" s="4" t="s">
        <v>26</v>
      </c>
      <c r="H1604" s="4" t="s">
        <v>641</v>
      </c>
      <c r="I1604" s="4" t="s">
        <v>715</v>
      </c>
      <c r="J1604" s="4" t="s">
        <v>715</v>
      </c>
      <c r="K1604" s="5">
        <v>6260835</v>
      </c>
      <c r="L1604" s="5">
        <v>333068</v>
      </c>
      <c r="M1604" s="5">
        <v>19</v>
      </c>
      <c r="N1604" s="5">
        <v>2</v>
      </c>
      <c r="O1604" s="5">
        <v>1.39</v>
      </c>
      <c r="P1604" s="5"/>
    </row>
    <row r="1605" spans="1:16" x14ac:dyDescent="0.25">
      <c r="A1605" s="4" t="s">
        <v>21</v>
      </c>
      <c r="B1605" s="4" t="s">
        <v>423</v>
      </c>
      <c r="C1605" s="5">
        <v>38148</v>
      </c>
      <c r="D1605" s="4" t="s">
        <v>23</v>
      </c>
      <c r="E1605" s="4" t="s">
        <v>457</v>
      </c>
      <c r="F1605" s="4" t="s">
        <v>532</v>
      </c>
      <c r="G1605" s="4" t="s">
        <v>26</v>
      </c>
      <c r="H1605" s="4" t="s">
        <v>18</v>
      </c>
      <c r="I1605" s="4" t="s">
        <v>715</v>
      </c>
      <c r="J1605" s="4" t="s">
        <v>715</v>
      </c>
      <c r="K1605" s="5">
        <v>6307910</v>
      </c>
      <c r="L1605" s="5">
        <v>345864</v>
      </c>
      <c r="M1605" s="5">
        <v>19</v>
      </c>
      <c r="N1605" s="5">
        <v>1</v>
      </c>
      <c r="O1605" s="5">
        <v>0.17</v>
      </c>
      <c r="P1605" s="5"/>
    </row>
    <row r="1606" spans="1:16" x14ac:dyDescent="0.25">
      <c r="A1606" s="4" t="s">
        <v>21</v>
      </c>
      <c r="B1606" s="4" t="s">
        <v>423</v>
      </c>
      <c r="C1606" s="5">
        <v>38149</v>
      </c>
      <c r="D1606" s="4" t="s">
        <v>23</v>
      </c>
      <c r="E1606" s="4" t="s">
        <v>401</v>
      </c>
      <c r="F1606" s="4" t="s">
        <v>479</v>
      </c>
      <c r="G1606" s="4" t="s">
        <v>26</v>
      </c>
      <c r="H1606" s="4" t="s">
        <v>18</v>
      </c>
      <c r="I1606" s="4" t="s">
        <v>715</v>
      </c>
      <c r="J1606" s="4" t="s">
        <v>715</v>
      </c>
      <c r="K1606" s="5">
        <v>6315971</v>
      </c>
      <c r="L1606" s="5">
        <v>345585</v>
      </c>
      <c r="M1606" s="5">
        <v>19</v>
      </c>
      <c r="N1606" s="5">
        <v>1</v>
      </c>
      <c r="O1606" s="5">
        <v>3.6</v>
      </c>
      <c r="P1606" s="5"/>
    </row>
    <row r="1607" spans="1:16" x14ac:dyDescent="0.25">
      <c r="A1607" s="4" t="s">
        <v>21</v>
      </c>
      <c r="B1607" s="4" t="s">
        <v>423</v>
      </c>
      <c r="C1607" s="5">
        <v>38151</v>
      </c>
      <c r="D1607" s="4" t="s">
        <v>23</v>
      </c>
      <c r="E1607" s="4" t="s">
        <v>357</v>
      </c>
      <c r="F1607" s="4" t="s">
        <v>369</v>
      </c>
      <c r="G1607" s="4" t="s">
        <v>26</v>
      </c>
      <c r="H1607" s="4" t="s">
        <v>128</v>
      </c>
      <c r="I1607" s="4" t="s">
        <v>715</v>
      </c>
      <c r="J1607" s="4" t="s">
        <v>638</v>
      </c>
      <c r="K1607" s="5">
        <v>6277149</v>
      </c>
      <c r="L1607" s="5">
        <v>345569</v>
      </c>
      <c r="M1607" s="5">
        <v>19</v>
      </c>
      <c r="N1607" s="5">
        <v>1</v>
      </c>
      <c r="O1607" s="5">
        <v>1.45</v>
      </c>
      <c r="P1607" s="5"/>
    </row>
    <row r="1608" spans="1:16" x14ac:dyDescent="0.25">
      <c r="A1608" s="4" t="s">
        <v>21</v>
      </c>
      <c r="B1608" s="4" t="s">
        <v>423</v>
      </c>
      <c r="C1608" s="5">
        <v>38152</v>
      </c>
      <c r="D1608" s="4" t="s">
        <v>23</v>
      </c>
      <c r="E1608" s="4" t="s">
        <v>357</v>
      </c>
      <c r="F1608" s="4" t="s">
        <v>369</v>
      </c>
      <c r="G1608" s="4" t="s">
        <v>26</v>
      </c>
      <c r="H1608" s="4" t="s">
        <v>18</v>
      </c>
      <c r="I1608" s="4" t="s">
        <v>715</v>
      </c>
      <c r="J1608" s="4" t="s">
        <v>715</v>
      </c>
      <c r="K1608" s="5">
        <v>6277149</v>
      </c>
      <c r="L1608" s="5">
        <v>345569</v>
      </c>
      <c r="M1608" s="5">
        <v>19</v>
      </c>
      <c r="N1608" s="5">
        <v>1</v>
      </c>
      <c r="O1608" s="5">
        <v>0.98</v>
      </c>
      <c r="P1608" s="5"/>
    </row>
    <row r="1609" spans="1:16" x14ac:dyDescent="0.25">
      <c r="A1609" s="4" t="s">
        <v>21</v>
      </c>
      <c r="B1609" s="4" t="s">
        <v>423</v>
      </c>
      <c r="C1609" s="5">
        <v>38153</v>
      </c>
      <c r="D1609" s="4" t="s">
        <v>23</v>
      </c>
      <c r="E1609" s="4" t="s">
        <v>357</v>
      </c>
      <c r="F1609" s="4" t="s">
        <v>358</v>
      </c>
      <c r="G1609" s="4" t="s">
        <v>26</v>
      </c>
      <c r="H1609" s="4" t="s">
        <v>18</v>
      </c>
      <c r="I1609" s="4" t="s">
        <v>715</v>
      </c>
      <c r="J1609" s="4" t="s">
        <v>715</v>
      </c>
      <c r="K1609" s="5">
        <v>6276114</v>
      </c>
      <c r="L1609" s="5">
        <v>340907</v>
      </c>
      <c r="M1609" s="5">
        <v>19</v>
      </c>
      <c r="N1609" s="5">
        <v>1</v>
      </c>
      <c r="O1609" s="5">
        <v>7.93</v>
      </c>
      <c r="P1609" s="5"/>
    </row>
    <row r="1610" spans="1:16" x14ac:dyDescent="0.25">
      <c r="A1610" s="4" t="s">
        <v>21</v>
      </c>
      <c r="B1610" s="4" t="s">
        <v>423</v>
      </c>
      <c r="C1610" s="5">
        <v>38155</v>
      </c>
      <c r="D1610" s="4" t="s">
        <v>23</v>
      </c>
      <c r="E1610" s="4" t="s">
        <v>445</v>
      </c>
      <c r="F1610" s="4" t="s">
        <v>463</v>
      </c>
      <c r="G1610" s="4" t="s">
        <v>26</v>
      </c>
      <c r="H1610" s="4" t="s">
        <v>18</v>
      </c>
      <c r="I1610" s="4" t="s">
        <v>715</v>
      </c>
      <c r="J1610" s="4" t="s">
        <v>715</v>
      </c>
      <c r="K1610" s="5">
        <v>6307415</v>
      </c>
      <c r="L1610" s="5">
        <v>330451</v>
      </c>
      <c r="M1610" s="5">
        <v>19</v>
      </c>
      <c r="N1610" s="5">
        <v>1</v>
      </c>
      <c r="O1610" s="5">
        <v>0.12</v>
      </c>
      <c r="P1610" s="5"/>
    </row>
    <row r="1611" spans="1:16" x14ac:dyDescent="0.25">
      <c r="A1611" s="4" t="s">
        <v>21</v>
      </c>
      <c r="B1611" s="4" t="s">
        <v>423</v>
      </c>
      <c r="C1611" s="5">
        <v>38156</v>
      </c>
      <c r="D1611" s="4" t="s">
        <v>23</v>
      </c>
      <c r="E1611" s="4" t="s">
        <v>401</v>
      </c>
      <c r="F1611" s="4" t="s">
        <v>428</v>
      </c>
      <c r="G1611" s="4" t="s">
        <v>26</v>
      </c>
      <c r="H1611" s="4" t="s">
        <v>18</v>
      </c>
      <c r="I1611" s="4" t="s">
        <v>715</v>
      </c>
      <c r="J1611" s="4" t="s">
        <v>715</v>
      </c>
      <c r="K1611" s="5">
        <v>6318622</v>
      </c>
      <c r="L1611" s="5">
        <v>343100</v>
      </c>
      <c r="M1611" s="5">
        <v>19</v>
      </c>
      <c r="N1611" s="5">
        <v>1</v>
      </c>
      <c r="O1611" s="5">
        <v>0.08</v>
      </c>
      <c r="P1611" s="5"/>
    </row>
    <row r="1612" spans="1:16" x14ac:dyDescent="0.25">
      <c r="A1612" s="4" t="s">
        <v>21</v>
      </c>
      <c r="B1612" s="4" t="s">
        <v>423</v>
      </c>
      <c r="C1612" s="5">
        <v>38157</v>
      </c>
      <c r="D1612" s="4" t="s">
        <v>23</v>
      </c>
      <c r="E1612" s="4" t="s">
        <v>76</v>
      </c>
      <c r="F1612" s="4" t="s">
        <v>76</v>
      </c>
      <c r="G1612" s="4" t="s">
        <v>26</v>
      </c>
      <c r="H1612" s="4" t="s">
        <v>18</v>
      </c>
      <c r="I1612" s="4" t="s">
        <v>715</v>
      </c>
      <c r="J1612" s="4" t="s">
        <v>715</v>
      </c>
      <c r="K1612" s="5">
        <v>6270882</v>
      </c>
      <c r="L1612" s="5">
        <v>323674</v>
      </c>
      <c r="M1612" s="5">
        <v>19</v>
      </c>
      <c r="N1612" s="5">
        <v>1</v>
      </c>
      <c r="O1612" s="5">
        <v>1.62</v>
      </c>
      <c r="P1612" s="5"/>
    </row>
    <row r="1613" spans="1:16" x14ac:dyDescent="0.25">
      <c r="A1613" s="4" t="s">
        <v>21</v>
      </c>
      <c r="B1613" s="4" t="s">
        <v>423</v>
      </c>
      <c r="C1613" s="5">
        <v>38158</v>
      </c>
      <c r="D1613" s="4" t="s">
        <v>23</v>
      </c>
      <c r="E1613" s="4" t="s">
        <v>25</v>
      </c>
      <c r="F1613" s="4" t="s">
        <v>521</v>
      </c>
      <c r="G1613" s="4" t="s">
        <v>26</v>
      </c>
      <c r="H1613" s="4" t="s">
        <v>18</v>
      </c>
      <c r="I1613" s="4" t="s">
        <v>715</v>
      </c>
      <c r="J1613" s="4" t="s">
        <v>715</v>
      </c>
      <c r="K1613" s="5">
        <v>6266677</v>
      </c>
      <c r="L1613" s="5">
        <v>297170</v>
      </c>
      <c r="M1613" s="5">
        <v>19</v>
      </c>
      <c r="N1613" s="5">
        <v>1</v>
      </c>
      <c r="O1613" s="5">
        <v>1.1000000000000001</v>
      </c>
      <c r="P1613" s="5"/>
    </row>
    <row r="1614" spans="1:16" x14ac:dyDescent="0.25">
      <c r="A1614" s="4" t="s">
        <v>21</v>
      </c>
      <c r="B1614" s="4" t="s">
        <v>423</v>
      </c>
      <c r="C1614" s="5">
        <v>38159</v>
      </c>
      <c r="D1614" s="4" t="s">
        <v>23</v>
      </c>
      <c r="E1614" s="4" t="s">
        <v>76</v>
      </c>
      <c r="F1614" s="4" t="s">
        <v>488</v>
      </c>
      <c r="G1614" s="4" t="s">
        <v>26</v>
      </c>
      <c r="H1614" s="4" t="s">
        <v>18</v>
      </c>
      <c r="I1614" s="4" t="s">
        <v>715</v>
      </c>
      <c r="J1614" s="4" t="s">
        <v>715</v>
      </c>
      <c r="K1614" s="5">
        <v>6271862</v>
      </c>
      <c r="L1614" s="5">
        <v>320685</v>
      </c>
      <c r="M1614" s="5">
        <v>19</v>
      </c>
      <c r="N1614" s="5">
        <v>1</v>
      </c>
      <c r="O1614" s="5">
        <v>0.97</v>
      </c>
      <c r="P1614" s="5"/>
    </row>
    <row r="1615" spans="1:16" x14ac:dyDescent="0.25">
      <c r="A1615" s="4" t="s">
        <v>21</v>
      </c>
      <c r="B1615" s="4" t="s">
        <v>423</v>
      </c>
      <c r="C1615" s="5">
        <v>38160</v>
      </c>
      <c r="D1615" s="4" t="s">
        <v>23</v>
      </c>
      <c r="E1615" s="4" t="s">
        <v>427</v>
      </c>
      <c r="F1615" s="4" t="s">
        <v>428</v>
      </c>
      <c r="G1615" s="4" t="s">
        <v>26</v>
      </c>
      <c r="H1615" s="4" t="s">
        <v>18</v>
      </c>
      <c r="I1615" s="4" t="s">
        <v>715</v>
      </c>
      <c r="J1615" s="4" t="s">
        <v>715</v>
      </c>
      <c r="K1615" s="5">
        <v>6325852</v>
      </c>
      <c r="L1615" s="5">
        <v>326295</v>
      </c>
      <c r="M1615" s="5">
        <v>19</v>
      </c>
      <c r="N1615" s="5">
        <v>1</v>
      </c>
      <c r="O1615" s="5">
        <v>0.9</v>
      </c>
      <c r="P1615" s="5"/>
    </row>
    <row r="1616" spans="1:16" x14ac:dyDescent="0.25">
      <c r="A1616" s="4" t="s">
        <v>21</v>
      </c>
      <c r="B1616" s="4" t="s">
        <v>423</v>
      </c>
      <c r="C1616" s="5">
        <v>38161</v>
      </c>
      <c r="D1616" s="4" t="s">
        <v>23</v>
      </c>
      <c r="E1616" s="4" t="s">
        <v>401</v>
      </c>
      <c r="F1616" s="4" t="s">
        <v>428</v>
      </c>
      <c r="G1616" s="4" t="s">
        <v>26</v>
      </c>
      <c r="H1616" s="4" t="s">
        <v>18</v>
      </c>
      <c r="I1616" s="4" t="s">
        <v>715</v>
      </c>
      <c r="J1616" s="4" t="s">
        <v>715</v>
      </c>
      <c r="K1616" s="5">
        <v>6318325</v>
      </c>
      <c r="L1616" s="5">
        <v>343141</v>
      </c>
      <c r="M1616" s="5">
        <v>19</v>
      </c>
      <c r="N1616" s="5">
        <v>1</v>
      </c>
      <c r="O1616" s="5">
        <v>0.24</v>
      </c>
      <c r="P1616" s="5"/>
    </row>
    <row r="1617" spans="1:16" x14ac:dyDescent="0.25">
      <c r="A1617" s="4" t="s">
        <v>21</v>
      </c>
      <c r="B1617" s="4" t="s">
        <v>423</v>
      </c>
      <c r="C1617" s="5">
        <v>38162</v>
      </c>
      <c r="D1617" s="4" t="s">
        <v>23</v>
      </c>
      <c r="E1617" s="4" t="s">
        <v>427</v>
      </c>
      <c r="F1617" s="4" t="s">
        <v>428</v>
      </c>
      <c r="G1617" s="4" t="s">
        <v>26</v>
      </c>
      <c r="H1617" s="4" t="s">
        <v>18</v>
      </c>
      <c r="I1617" s="4" t="s">
        <v>715</v>
      </c>
      <c r="J1617" s="4" t="s">
        <v>715</v>
      </c>
      <c r="K1617" s="5">
        <v>6329887</v>
      </c>
      <c r="L1617" s="5">
        <v>326117</v>
      </c>
      <c r="M1617" s="5">
        <v>19</v>
      </c>
      <c r="N1617" s="5">
        <v>1</v>
      </c>
      <c r="O1617" s="5">
        <v>6.1</v>
      </c>
      <c r="P1617" s="5"/>
    </row>
    <row r="1618" spans="1:16" x14ac:dyDescent="0.25">
      <c r="A1618" s="4" t="s">
        <v>21</v>
      </c>
      <c r="B1618" s="4" t="s">
        <v>423</v>
      </c>
      <c r="C1618" s="5">
        <v>38163</v>
      </c>
      <c r="D1618" s="4" t="s">
        <v>23</v>
      </c>
      <c r="E1618" s="4" t="s">
        <v>28</v>
      </c>
      <c r="F1618" s="4" t="s">
        <v>533</v>
      </c>
      <c r="G1618" s="4" t="s">
        <v>26</v>
      </c>
      <c r="H1618" s="4" t="s">
        <v>18</v>
      </c>
      <c r="I1618" s="4" t="s">
        <v>715</v>
      </c>
      <c r="J1618" s="4" t="s">
        <v>715</v>
      </c>
      <c r="K1618" s="5">
        <v>6273818</v>
      </c>
      <c r="L1618" s="5">
        <v>345318</v>
      </c>
      <c r="M1618" s="5">
        <v>19</v>
      </c>
      <c r="N1618" s="5">
        <v>1</v>
      </c>
      <c r="O1618" s="5">
        <v>1.6</v>
      </c>
      <c r="P1618" s="5"/>
    </row>
    <row r="1619" spans="1:16" x14ac:dyDescent="0.25">
      <c r="A1619" s="4" t="s">
        <v>21</v>
      </c>
      <c r="B1619" s="4" t="s">
        <v>423</v>
      </c>
      <c r="C1619" s="5">
        <v>38164</v>
      </c>
      <c r="D1619" s="4" t="s">
        <v>23</v>
      </c>
      <c r="E1619" s="4" t="s">
        <v>25</v>
      </c>
      <c r="F1619" s="4" t="s">
        <v>494</v>
      </c>
      <c r="G1619" s="4" t="s">
        <v>26</v>
      </c>
      <c r="H1619" s="4" t="s">
        <v>18</v>
      </c>
      <c r="I1619" s="4" t="s">
        <v>715</v>
      </c>
      <c r="J1619" s="4" t="s">
        <v>715</v>
      </c>
      <c r="K1619" s="5">
        <v>6276296</v>
      </c>
      <c r="L1619" s="5">
        <v>296794</v>
      </c>
      <c r="M1619" s="5">
        <v>19</v>
      </c>
      <c r="N1619" s="5">
        <v>1</v>
      </c>
      <c r="O1619" s="5">
        <v>1.1499999999999999</v>
      </c>
      <c r="P1619" s="5"/>
    </row>
    <row r="1620" spans="1:16" x14ac:dyDescent="0.25">
      <c r="A1620" s="4" t="s">
        <v>21</v>
      </c>
      <c r="B1620" s="4" t="s">
        <v>423</v>
      </c>
      <c r="C1620" s="5">
        <v>38165</v>
      </c>
      <c r="D1620" s="4" t="s">
        <v>23</v>
      </c>
      <c r="E1620" s="4" t="s">
        <v>409</v>
      </c>
      <c r="F1620" s="4" t="s">
        <v>487</v>
      </c>
      <c r="G1620" s="4" t="s">
        <v>26</v>
      </c>
      <c r="H1620" s="4" t="s">
        <v>18</v>
      </c>
      <c r="I1620" s="4" t="s">
        <v>715</v>
      </c>
      <c r="J1620" s="4" t="s">
        <v>715</v>
      </c>
      <c r="K1620" s="5">
        <v>6267852</v>
      </c>
      <c r="L1620" s="5">
        <v>309942</v>
      </c>
      <c r="M1620" s="5">
        <v>19</v>
      </c>
      <c r="N1620" s="5">
        <v>1</v>
      </c>
      <c r="O1620" s="5">
        <v>1</v>
      </c>
      <c r="P1620" s="5"/>
    </row>
    <row r="1621" spans="1:16" x14ac:dyDescent="0.25">
      <c r="A1621" s="4" t="s">
        <v>21</v>
      </c>
      <c r="B1621" s="4" t="s">
        <v>423</v>
      </c>
      <c r="C1621" s="5">
        <v>38166</v>
      </c>
      <c r="D1621" s="4" t="s">
        <v>23</v>
      </c>
      <c r="E1621" s="4" t="s">
        <v>427</v>
      </c>
      <c r="F1621" s="4" t="s">
        <v>428</v>
      </c>
      <c r="G1621" s="4" t="s">
        <v>26</v>
      </c>
      <c r="H1621" s="4" t="s">
        <v>18</v>
      </c>
      <c r="I1621" s="4" t="s">
        <v>715</v>
      </c>
      <c r="J1621" s="4" t="s">
        <v>715</v>
      </c>
      <c r="K1621" s="5">
        <v>6326933</v>
      </c>
      <c r="L1621" s="5">
        <v>325359</v>
      </c>
      <c r="M1621" s="5">
        <v>19</v>
      </c>
      <c r="N1621" s="5">
        <v>1</v>
      </c>
      <c r="O1621" s="5">
        <v>1.4</v>
      </c>
      <c r="P1621" s="5"/>
    </row>
    <row r="1622" spans="1:16" x14ac:dyDescent="0.25">
      <c r="A1622" s="4" t="s">
        <v>21</v>
      </c>
      <c r="B1622" s="4" t="s">
        <v>423</v>
      </c>
      <c r="C1622" s="5">
        <v>38167</v>
      </c>
      <c r="D1622" s="4" t="s">
        <v>23</v>
      </c>
      <c r="E1622" s="4" t="s">
        <v>427</v>
      </c>
      <c r="F1622" s="4" t="s">
        <v>512</v>
      </c>
      <c r="G1622" s="4" t="s">
        <v>26</v>
      </c>
      <c r="H1622" s="4" t="s">
        <v>18</v>
      </c>
      <c r="I1622" s="4" t="s">
        <v>715</v>
      </c>
      <c r="J1622" s="4" t="s">
        <v>715</v>
      </c>
      <c r="K1622" s="5">
        <v>6328797</v>
      </c>
      <c r="L1622" s="5">
        <v>323336</v>
      </c>
      <c r="M1622" s="5">
        <v>19</v>
      </c>
      <c r="N1622" s="5">
        <v>1</v>
      </c>
      <c r="O1622" s="5">
        <v>1</v>
      </c>
      <c r="P1622" s="5"/>
    </row>
    <row r="1623" spans="1:16" x14ac:dyDescent="0.25">
      <c r="A1623" s="4" t="s">
        <v>21</v>
      </c>
      <c r="B1623" s="4" t="s">
        <v>423</v>
      </c>
      <c r="C1623" s="5">
        <v>38168</v>
      </c>
      <c r="D1623" s="4" t="s">
        <v>23</v>
      </c>
      <c r="E1623" s="4" t="s">
        <v>381</v>
      </c>
      <c r="F1623" s="4" t="s">
        <v>382</v>
      </c>
      <c r="G1623" s="4" t="s">
        <v>26</v>
      </c>
      <c r="H1623" s="4" t="s">
        <v>27</v>
      </c>
      <c r="I1623" s="4" t="s">
        <v>715</v>
      </c>
      <c r="J1623" s="4" t="s">
        <v>638</v>
      </c>
      <c r="K1623" s="5">
        <v>6262238</v>
      </c>
      <c r="L1623" s="5">
        <v>326449</v>
      </c>
      <c r="M1623" s="5">
        <v>19</v>
      </c>
      <c r="N1623" s="5">
        <v>1</v>
      </c>
      <c r="O1623" s="5">
        <v>2.4900000000000002</v>
      </c>
      <c r="P1623" s="5"/>
    </row>
    <row r="1624" spans="1:16" x14ac:dyDescent="0.25">
      <c r="A1624" s="4" t="s">
        <v>21</v>
      </c>
      <c r="B1624" s="4" t="s">
        <v>423</v>
      </c>
      <c r="C1624" s="5">
        <v>38169</v>
      </c>
      <c r="D1624" s="4" t="s">
        <v>23</v>
      </c>
      <c r="E1624" s="4" t="s">
        <v>427</v>
      </c>
      <c r="F1624" s="4" t="s">
        <v>534</v>
      </c>
      <c r="G1624" s="4" t="s">
        <v>26</v>
      </c>
      <c r="H1624" s="4" t="s">
        <v>18</v>
      </c>
      <c r="I1624" s="4" t="s">
        <v>715</v>
      </c>
      <c r="J1624" s="4" t="s">
        <v>715</v>
      </c>
      <c r="K1624" s="5">
        <v>6327902</v>
      </c>
      <c r="L1624" s="5">
        <v>325545</v>
      </c>
      <c r="M1624" s="5">
        <v>19</v>
      </c>
      <c r="N1624" s="5">
        <v>1</v>
      </c>
      <c r="O1624" s="5">
        <v>6.1</v>
      </c>
      <c r="P1624" s="5"/>
    </row>
    <row r="1625" spans="1:16" x14ac:dyDescent="0.25">
      <c r="A1625" s="4" t="s">
        <v>21</v>
      </c>
      <c r="B1625" s="4" t="s">
        <v>423</v>
      </c>
      <c r="C1625" s="5">
        <v>38170</v>
      </c>
      <c r="D1625" s="4" t="s">
        <v>23</v>
      </c>
      <c r="E1625" s="4" t="s">
        <v>356</v>
      </c>
      <c r="F1625" s="4" t="s">
        <v>535</v>
      </c>
      <c r="G1625" s="4" t="s">
        <v>26</v>
      </c>
      <c r="H1625" s="4" t="s">
        <v>18</v>
      </c>
      <c r="I1625" s="4" t="s">
        <v>715</v>
      </c>
      <c r="J1625" s="4" t="s">
        <v>715</v>
      </c>
      <c r="K1625" s="5">
        <v>6259824</v>
      </c>
      <c r="L1625" s="5">
        <v>344930</v>
      </c>
      <c r="M1625" s="5">
        <v>19</v>
      </c>
      <c r="N1625" s="5">
        <v>1</v>
      </c>
      <c r="O1625" s="5">
        <v>3.7</v>
      </c>
      <c r="P1625" s="5"/>
    </row>
    <row r="1626" spans="1:16" x14ac:dyDescent="0.25">
      <c r="A1626" s="4" t="s">
        <v>21</v>
      </c>
      <c r="B1626" s="4" t="s">
        <v>423</v>
      </c>
      <c r="C1626" s="5">
        <v>38171</v>
      </c>
      <c r="D1626" s="4" t="s">
        <v>23</v>
      </c>
      <c r="E1626" s="4" t="s">
        <v>445</v>
      </c>
      <c r="F1626" s="4" t="s">
        <v>536</v>
      </c>
      <c r="G1626" s="4" t="s">
        <v>26</v>
      </c>
      <c r="H1626" s="4" t="s">
        <v>18</v>
      </c>
      <c r="I1626" s="4" t="s">
        <v>715</v>
      </c>
      <c r="J1626" s="4" t="s">
        <v>715</v>
      </c>
      <c r="K1626" s="5">
        <v>6308265</v>
      </c>
      <c r="L1626" s="5">
        <v>330258</v>
      </c>
      <c r="M1626" s="5">
        <v>19</v>
      </c>
      <c r="N1626" s="5">
        <v>1</v>
      </c>
      <c r="O1626" s="5">
        <v>0.11</v>
      </c>
      <c r="P1626" s="5"/>
    </row>
    <row r="1627" spans="1:16" x14ac:dyDescent="0.25">
      <c r="A1627" s="4" t="s">
        <v>21</v>
      </c>
      <c r="B1627" s="4" t="s">
        <v>423</v>
      </c>
      <c r="C1627" s="5">
        <v>38172</v>
      </c>
      <c r="D1627" s="4" t="s">
        <v>23</v>
      </c>
      <c r="E1627" s="4" t="s">
        <v>356</v>
      </c>
      <c r="F1627" s="4" t="s">
        <v>380</v>
      </c>
      <c r="G1627" s="4" t="s">
        <v>26</v>
      </c>
      <c r="H1627" s="4" t="s">
        <v>18</v>
      </c>
      <c r="I1627" s="4" t="s">
        <v>715</v>
      </c>
      <c r="J1627" s="4" t="s">
        <v>715</v>
      </c>
      <c r="K1627" s="5">
        <v>6261896</v>
      </c>
      <c r="L1627" s="5">
        <v>337498</v>
      </c>
      <c r="M1627" s="5">
        <v>19</v>
      </c>
      <c r="N1627" s="5">
        <v>1</v>
      </c>
      <c r="O1627" s="5">
        <v>0.91</v>
      </c>
      <c r="P1627" s="5"/>
    </row>
    <row r="1628" spans="1:16" x14ac:dyDescent="0.25">
      <c r="A1628" s="4" t="s">
        <v>21</v>
      </c>
      <c r="B1628" s="4" t="s">
        <v>423</v>
      </c>
      <c r="C1628" s="5">
        <v>38173</v>
      </c>
      <c r="D1628" s="4" t="s">
        <v>23</v>
      </c>
      <c r="E1628" s="4" t="s">
        <v>42</v>
      </c>
      <c r="F1628" s="4" t="s">
        <v>42</v>
      </c>
      <c r="G1628" s="4" t="s">
        <v>26</v>
      </c>
      <c r="H1628" s="4" t="s">
        <v>18</v>
      </c>
      <c r="I1628" s="4" t="s">
        <v>715</v>
      </c>
      <c r="J1628" s="4" t="s">
        <v>715</v>
      </c>
      <c r="K1628" s="5">
        <v>6301011</v>
      </c>
      <c r="L1628" s="5">
        <v>334918</v>
      </c>
      <c r="M1628" s="5">
        <v>19</v>
      </c>
      <c r="N1628" s="5">
        <v>1</v>
      </c>
      <c r="O1628" s="5">
        <v>0.1</v>
      </c>
      <c r="P1628" s="5"/>
    </row>
    <row r="1629" spans="1:16" x14ac:dyDescent="0.25">
      <c r="A1629" s="4" t="s">
        <v>21</v>
      </c>
      <c r="B1629" s="4" t="s">
        <v>423</v>
      </c>
      <c r="C1629" s="5">
        <v>38174</v>
      </c>
      <c r="D1629" s="4" t="s">
        <v>23</v>
      </c>
      <c r="E1629" s="4" t="s">
        <v>381</v>
      </c>
      <c r="F1629" s="4" t="s">
        <v>382</v>
      </c>
      <c r="G1629" s="4" t="s">
        <v>26</v>
      </c>
      <c r="H1629" s="4" t="s">
        <v>18</v>
      </c>
      <c r="I1629" s="4" t="s">
        <v>715</v>
      </c>
      <c r="J1629" s="4" t="s">
        <v>715</v>
      </c>
      <c r="K1629" s="5">
        <v>6266665</v>
      </c>
      <c r="L1629" s="5">
        <v>324584</v>
      </c>
      <c r="M1629" s="5">
        <v>19</v>
      </c>
      <c r="N1629" s="5">
        <v>1</v>
      </c>
      <c r="O1629" s="5">
        <v>0.28000000000000003</v>
      </c>
      <c r="P1629" s="5"/>
    </row>
    <row r="1630" spans="1:16" x14ac:dyDescent="0.25">
      <c r="A1630" s="4" t="s">
        <v>21</v>
      </c>
      <c r="B1630" s="4" t="s">
        <v>423</v>
      </c>
      <c r="C1630" s="5">
        <v>38175</v>
      </c>
      <c r="D1630" s="4" t="s">
        <v>23</v>
      </c>
      <c r="E1630" s="4" t="s">
        <v>427</v>
      </c>
      <c r="F1630" s="4" t="s">
        <v>512</v>
      </c>
      <c r="G1630" s="4" t="s">
        <v>26</v>
      </c>
      <c r="H1630" s="4" t="s">
        <v>18</v>
      </c>
      <c r="I1630" s="4" t="s">
        <v>715</v>
      </c>
      <c r="J1630" s="4" t="s">
        <v>715</v>
      </c>
      <c r="K1630" s="5">
        <v>6328375</v>
      </c>
      <c r="L1630" s="5">
        <v>323286</v>
      </c>
      <c r="M1630" s="5">
        <v>19</v>
      </c>
      <c r="N1630" s="5">
        <v>1</v>
      </c>
      <c r="O1630" s="5">
        <v>0.9</v>
      </c>
      <c r="P1630" s="5"/>
    </row>
    <row r="1631" spans="1:16" x14ac:dyDescent="0.25">
      <c r="A1631" s="4" t="s">
        <v>21</v>
      </c>
      <c r="B1631" s="4" t="s">
        <v>423</v>
      </c>
      <c r="C1631" s="5">
        <v>38176</v>
      </c>
      <c r="D1631" s="4" t="s">
        <v>23</v>
      </c>
      <c r="E1631" s="4" t="s">
        <v>409</v>
      </c>
      <c r="F1631" s="4" t="s">
        <v>487</v>
      </c>
      <c r="G1631" s="4" t="s">
        <v>26</v>
      </c>
      <c r="H1631" s="4" t="s">
        <v>18</v>
      </c>
      <c r="I1631" s="4" t="s">
        <v>715</v>
      </c>
      <c r="J1631" s="4" t="s">
        <v>715</v>
      </c>
      <c r="K1631" s="5">
        <v>6268293</v>
      </c>
      <c r="L1631" s="5">
        <v>308801</v>
      </c>
      <c r="M1631" s="5">
        <v>19</v>
      </c>
      <c r="N1631" s="5">
        <v>1</v>
      </c>
      <c r="O1631" s="5">
        <v>1</v>
      </c>
      <c r="P1631" s="5"/>
    </row>
    <row r="1632" spans="1:16" x14ac:dyDescent="0.25">
      <c r="A1632" s="4" t="s">
        <v>21</v>
      </c>
      <c r="B1632" s="4" t="s">
        <v>423</v>
      </c>
      <c r="C1632" s="5">
        <v>38189</v>
      </c>
      <c r="D1632" s="4" t="s">
        <v>23</v>
      </c>
      <c r="E1632" s="4" t="s">
        <v>427</v>
      </c>
      <c r="F1632" s="4" t="s">
        <v>428</v>
      </c>
      <c r="G1632" s="4" t="s">
        <v>26</v>
      </c>
      <c r="H1632" s="4" t="s">
        <v>128</v>
      </c>
      <c r="I1632" s="4" t="s">
        <v>715</v>
      </c>
      <c r="J1632" s="4" t="s">
        <v>638</v>
      </c>
      <c r="K1632" s="5">
        <v>6326933</v>
      </c>
      <c r="L1632" s="5">
        <v>325359</v>
      </c>
      <c r="M1632" s="5">
        <v>19</v>
      </c>
      <c r="N1632" s="5">
        <v>1</v>
      </c>
      <c r="O1632" s="5">
        <v>1</v>
      </c>
      <c r="P1632" s="5"/>
    </row>
    <row r="1633" spans="1:16" x14ac:dyDescent="0.25">
      <c r="A1633" s="4" t="s">
        <v>21</v>
      </c>
      <c r="B1633" s="4" t="s">
        <v>423</v>
      </c>
      <c r="C1633" s="5">
        <v>38203</v>
      </c>
      <c r="D1633" s="4" t="s">
        <v>33</v>
      </c>
      <c r="E1633" s="4" t="s">
        <v>247</v>
      </c>
      <c r="F1633" s="4" t="s">
        <v>247</v>
      </c>
      <c r="G1633" s="4" t="s">
        <v>26</v>
      </c>
      <c r="H1633" s="4" t="s">
        <v>27</v>
      </c>
      <c r="I1633" s="4" t="s">
        <v>715</v>
      </c>
      <c r="J1633" s="4" t="s">
        <v>715</v>
      </c>
      <c r="K1633" s="5">
        <v>6123726</v>
      </c>
      <c r="L1633" s="5">
        <v>284087</v>
      </c>
      <c r="M1633" s="5">
        <v>19</v>
      </c>
      <c r="N1633" s="5">
        <v>1</v>
      </c>
      <c r="O1633" s="5">
        <v>12</v>
      </c>
      <c r="P1633" s="5"/>
    </row>
    <row r="1634" spans="1:16" x14ac:dyDescent="0.25">
      <c r="A1634" s="4" t="s">
        <v>21</v>
      </c>
      <c r="B1634" s="4" t="s">
        <v>423</v>
      </c>
      <c r="C1634" s="5">
        <v>38212</v>
      </c>
      <c r="D1634" s="4" t="s">
        <v>23</v>
      </c>
      <c r="E1634" s="4" t="s">
        <v>356</v>
      </c>
      <c r="F1634" s="4" t="s">
        <v>380</v>
      </c>
      <c r="G1634" s="4" t="s">
        <v>26</v>
      </c>
      <c r="H1634" s="4" t="s">
        <v>18</v>
      </c>
      <c r="I1634" s="4" t="s">
        <v>715</v>
      </c>
      <c r="J1634" s="4" t="s">
        <v>715</v>
      </c>
      <c r="K1634" s="5">
        <v>6256978</v>
      </c>
      <c r="L1634" s="5">
        <v>334079</v>
      </c>
      <c r="M1634" s="5">
        <v>19</v>
      </c>
      <c r="N1634" s="5">
        <v>1</v>
      </c>
      <c r="O1634" s="5">
        <v>0.15</v>
      </c>
      <c r="P1634" s="5"/>
    </row>
    <row r="1635" spans="1:16" x14ac:dyDescent="0.25">
      <c r="A1635" s="4" t="s">
        <v>21</v>
      </c>
      <c r="B1635" s="4" t="s">
        <v>423</v>
      </c>
      <c r="C1635" s="5">
        <v>38214</v>
      </c>
      <c r="D1635" s="4" t="s">
        <v>23</v>
      </c>
      <c r="E1635" s="4" t="s">
        <v>76</v>
      </c>
      <c r="F1635" s="4" t="s">
        <v>537</v>
      </c>
      <c r="G1635" s="4" t="s">
        <v>26</v>
      </c>
      <c r="H1635" s="4" t="s">
        <v>128</v>
      </c>
      <c r="I1635" s="4" t="s">
        <v>715</v>
      </c>
      <c r="J1635" s="4" t="s">
        <v>638</v>
      </c>
      <c r="K1635" s="5">
        <v>6268663</v>
      </c>
      <c r="L1635" s="5">
        <v>324338</v>
      </c>
      <c r="M1635" s="5">
        <v>19</v>
      </c>
      <c r="N1635" s="5">
        <v>1</v>
      </c>
      <c r="O1635" s="5">
        <v>6.2</v>
      </c>
      <c r="P1635" s="5"/>
    </row>
    <row r="1636" spans="1:16" x14ac:dyDescent="0.25">
      <c r="A1636" s="4" t="s">
        <v>21</v>
      </c>
      <c r="B1636" s="4" t="s">
        <v>423</v>
      </c>
      <c r="C1636" s="5">
        <v>38216</v>
      </c>
      <c r="D1636" s="4" t="s">
        <v>23</v>
      </c>
      <c r="E1636" s="4" t="s">
        <v>401</v>
      </c>
      <c r="F1636" s="4" t="s">
        <v>428</v>
      </c>
      <c r="G1636" s="4" t="s">
        <v>26</v>
      </c>
      <c r="H1636" s="4" t="s">
        <v>18</v>
      </c>
      <c r="I1636" s="4" t="s">
        <v>715</v>
      </c>
      <c r="J1636" s="4" t="s">
        <v>715</v>
      </c>
      <c r="K1636" s="5">
        <v>6319765</v>
      </c>
      <c r="L1636" s="5">
        <v>337182</v>
      </c>
      <c r="M1636" s="5">
        <v>19</v>
      </c>
      <c r="N1636" s="5">
        <v>1</v>
      </c>
      <c r="O1636" s="5">
        <v>1</v>
      </c>
      <c r="P1636" s="5"/>
    </row>
    <row r="1637" spans="1:16" x14ac:dyDescent="0.25">
      <c r="A1637" s="4" t="s">
        <v>21</v>
      </c>
      <c r="B1637" s="4" t="s">
        <v>423</v>
      </c>
      <c r="C1637" s="5">
        <v>38217</v>
      </c>
      <c r="D1637" s="4" t="s">
        <v>23</v>
      </c>
      <c r="E1637" s="4" t="s">
        <v>381</v>
      </c>
      <c r="F1637" s="4" t="s">
        <v>382</v>
      </c>
      <c r="G1637" s="4" t="s">
        <v>26</v>
      </c>
      <c r="H1637" s="4" t="s">
        <v>18</v>
      </c>
      <c r="I1637" s="4" t="s">
        <v>715</v>
      </c>
      <c r="J1637" s="4" t="s">
        <v>715</v>
      </c>
      <c r="K1637" s="5">
        <v>6266021</v>
      </c>
      <c r="L1637" s="5">
        <v>326184</v>
      </c>
      <c r="M1637" s="5">
        <v>19</v>
      </c>
      <c r="N1637" s="5">
        <v>1</v>
      </c>
      <c r="O1637" s="5">
        <v>2.5</v>
      </c>
      <c r="P1637" s="5"/>
    </row>
    <row r="1638" spans="1:16" x14ac:dyDescent="0.25">
      <c r="A1638" s="4" t="s">
        <v>21</v>
      </c>
      <c r="B1638" s="4" t="s">
        <v>423</v>
      </c>
      <c r="C1638" s="5">
        <v>38218</v>
      </c>
      <c r="D1638" s="4" t="s">
        <v>23</v>
      </c>
      <c r="E1638" s="4" t="s">
        <v>42</v>
      </c>
      <c r="F1638" s="4" t="s">
        <v>481</v>
      </c>
      <c r="G1638" s="4" t="s">
        <v>26</v>
      </c>
      <c r="H1638" s="4" t="s">
        <v>18</v>
      </c>
      <c r="I1638" s="4" t="s">
        <v>715</v>
      </c>
      <c r="J1638" s="4" t="s">
        <v>715</v>
      </c>
      <c r="K1638" s="5">
        <v>6302256</v>
      </c>
      <c r="L1638" s="5">
        <v>327262</v>
      </c>
      <c r="M1638" s="5">
        <v>19</v>
      </c>
      <c r="N1638" s="5">
        <v>1</v>
      </c>
      <c r="O1638" s="5">
        <v>0.22</v>
      </c>
      <c r="P1638" s="5"/>
    </row>
    <row r="1639" spans="1:16" x14ac:dyDescent="0.25">
      <c r="A1639" s="4" t="s">
        <v>21</v>
      </c>
      <c r="B1639" s="4" t="s">
        <v>423</v>
      </c>
      <c r="C1639" s="5">
        <v>38219</v>
      </c>
      <c r="D1639" s="4" t="s">
        <v>23</v>
      </c>
      <c r="E1639" s="4" t="s">
        <v>42</v>
      </c>
      <c r="F1639" s="4" t="s">
        <v>481</v>
      </c>
      <c r="G1639" s="4" t="s">
        <v>26</v>
      </c>
      <c r="H1639" s="4" t="s">
        <v>18</v>
      </c>
      <c r="I1639" s="4" t="s">
        <v>715</v>
      </c>
      <c r="J1639" s="4" t="s">
        <v>715</v>
      </c>
      <c r="K1639" s="5">
        <v>6301963</v>
      </c>
      <c r="L1639" s="5">
        <v>327145</v>
      </c>
      <c r="M1639" s="5">
        <v>19</v>
      </c>
      <c r="N1639" s="5">
        <v>1</v>
      </c>
      <c r="O1639" s="5">
        <v>0.3</v>
      </c>
      <c r="P1639" s="5"/>
    </row>
    <row r="1640" spans="1:16" x14ac:dyDescent="0.25">
      <c r="A1640" s="4" t="s">
        <v>21</v>
      </c>
      <c r="B1640" s="4" t="s">
        <v>423</v>
      </c>
      <c r="C1640" s="5">
        <v>38221</v>
      </c>
      <c r="D1640" s="4" t="s">
        <v>33</v>
      </c>
      <c r="E1640" s="4" t="s">
        <v>247</v>
      </c>
      <c r="F1640" s="4" t="s">
        <v>247</v>
      </c>
      <c r="G1640" s="4" t="s">
        <v>26</v>
      </c>
      <c r="H1640" s="4" t="s">
        <v>27</v>
      </c>
      <c r="I1640" s="4" t="s">
        <v>715</v>
      </c>
      <c r="J1640" s="4" t="s">
        <v>715</v>
      </c>
      <c r="K1640" s="5">
        <v>6114419</v>
      </c>
      <c r="L1640" s="5">
        <v>274887</v>
      </c>
      <c r="M1640" s="5">
        <v>19</v>
      </c>
      <c r="N1640" s="5">
        <v>1</v>
      </c>
      <c r="O1640" s="5">
        <v>66</v>
      </c>
      <c r="P1640" s="5"/>
    </row>
    <row r="1641" spans="1:16" x14ac:dyDescent="0.25">
      <c r="A1641" s="4" t="s">
        <v>21</v>
      </c>
      <c r="B1641" s="4" t="s">
        <v>423</v>
      </c>
      <c r="C1641" s="5">
        <v>38224</v>
      </c>
      <c r="D1641" s="4" t="s">
        <v>33</v>
      </c>
      <c r="E1641" s="4" t="s">
        <v>122</v>
      </c>
      <c r="F1641" s="4" t="s">
        <v>122</v>
      </c>
      <c r="G1641" s="4" t="s">
        <v>26</v>
      </c>
      <c r="H1641" s="4" t="s">
        <v>27</v>
      </c>
      <c r="I1641" s="4" t="s">
        <v>715</v>
      </c>
      <c r="J1641" s="4" t="s">
        <v>715</v>
      </c>
      <c r="K1641" s="5">
        <v>6111207</v>
      </c>
      <c r="L1641" s="5">
        <v>288959</v>
      </c>
      <c r="M1641" s="5">
        <v>19</v>
      </c>
      <c r="N1641" s="5">
        <v>4</v>
      </c>
      <c r="O1641" s="5">
        <v>42.5</v>
      </c>
      <c r="P1641" s="5"/>
    </row>
    <row r="1642" spans="1:16" x14ac:dyDescent="0.25">
      <c r="A1642" s="4" t="s">
        <v>21</v>
      </c>
      <c r="B1642" s="4" t="s">
        <v>423</v>
      </c>
      <c r="C1642" s="5">
        <v>38226</v>
      </c>
      <c r="D1642" s="4" t="s">
        <v>33</v>
      </c>
      <c r="E1642" s="4" t="s">
        <v>122</v>
      </c>
      <c r="F1642" s="4" t="s">
        <v>122</v>
      </c>
      <c r="G1642" s="4" t="s">
        <v>26</v>
      </c>
      <c r="H1642" s="4" t="s">
        <v>27</v>
      </c>
      <c r="I1642" s="4" t="s">
        <v>715</v>
      </c>
      <c r="J1642" s="4" t="s">
        <v>715</v>
      </c>
      <c r="K1642" s="5">
        <v>6111398</v>
      </c>
      <c r="L1642" s="5">
        <v>289334</v>
      </c>
      <c r="M1642" s="5">
        <v>19</v>
      </c>
      <c r="N1642" s="5">
        <v>1</v>
      </c>
      <c r="O1642" s="5">
        <v>26</v>
      </c>
      <c r="P1642" s="5"/>
    </row>
    <row r="1643" spans="1:16" x14ac:dyDescent="0.25">
      <c r="A1643" s="4" t="s">
        <v>13</v>
      </c>
      <c r="B1643" s="4" t="s">
        <v>423</v>
      </c>
      <c r="C1643" s="5">
        <v>38233</v>
      </c>
      <c r="D1643" s="4" t="s">
        <v>37</v>
      </c>
      <c r="E1643" s="4" t="s">
        <v>169</v>
      </c>
      <c r="F1643" s="4" t="s">
        <v>169</v>
      </c>
      <c r="G1643" s="4" t="s">
        <v>26</v>
      </c>
      <c r="H1643" s="4" t="s">
        <v>27</v>
      </c>
      <c r="I1643" s="4" t="s">
        <v>715</v>
      </c>
      <c r="J1643" s="4" t="s">
        <v>715</v>
      </c>
      <c r="K1643" s="5">
        <v>6215912</v>
      </c>
      <c r="L1643" s="5">
        <v>343682</v>
      </c>
      <c r="M1643" s="5">
        <v>19</v>
      </c>
      <c r="N1643" s="5">
        <v>1</v>
      </c>
      <c r="O1643" s="5">
        <v>7.44</v>
      </c>
      <c r="P1643" s="5"/>
    </row>
    <row r="1644" spans="1:16" x14ac:dyDescent="0.25">
      <c r="A1644" s="4" t="s">
        <v>21</v>
      </c>
      <c r="B1644" s="4" t="s">
        <v>423</v>
      </c>
      <c r="C1644" s="5">
        <v>38234</v>
      </c>
      <c r="D1644" s="4" t="s">
        <v>33</v>
      </c>
      <c r="E1644" s="4" t="s">
        <v>35</v>
      </c>
      <c r="F1644" s="4" t="s">
        <v>35</v>
      </c>
      <c r="G1644" s="4" t="s">
        <v>26</v>
      </c>
      <c r="H1644" s="4" t="s">
        <v>27</v>
      </c>
      <c r="I1644" s="4" t="s">
        <v>715</v>
      </c>
      <c r="J1644" s="4" t="s">
        <v>715</v>
      </c>
      <c r="K1644" s="5">
        <v>6138785</v>
      </c>
      <c r="L1644" s="5">
        <v>310808</v>
      </c>
      <c r="M1644" s="5">
        <v>19</v>
      </c>
      <c r="N1644" s="5">
        <v>3</v>
      </c>
      <c r="O1644" s="5">
        <v>5.5</v>
      </c>
      <c r="P1644" s="5"/>
    </row>
    <row r="1645" spans="1:16" x14ac:dyDescent="0.25">
      <c r="A1645" s="4" t="s">
        <v>21</v>
      </c>
      <c r="B1645" s="4" t="s">
        <v>423</v>
      </c>
      <c r="C1645" s="5">
        <v>38235</v>
      </c>
      <c r="D1645" s="4" t="s">
        <v>33</v>
      </c>
      <c r="E1645" s="4" t="s">
        <v>35</v>
      </c>
      <c r="F1645" s="4" t="s">
        <v>35</v>
      </c>
      <c r="G1645" s="4" t="s">
        <v>26</v>
      </c>
      <c r="H1645" s="4" t="s">
        <v>27</v>
      </c>
      <c r="I1645" s="4" t="s">
        <v>715</v>
      </c>
      <c r="J1645" s="4" t="s">
        <v>715</v>
      </c>
      <c r="K1645" s="5">
        <v>6138576</v>
      </c>
      <c r="L1645" s="5">
        <v>311033</v>
      </c>
      <c r="M1645" s="5">
        <v>19</v>
      </c>
      <c r="N1645" s="5">
        <v>2</v>
      </c>
      <c r="O1645" s="5">
        <v>15</v>
      </c>
      <c r="P1645" s="5"/>
    </row>
    <row r="1646" spans="1:16" x14ac:dyDescent="0.25">
      <c r="A1646" s="4" t="s">
        <v>13</v>
      </c>
      <c r="B1646" s="4" t="s">
        <v>423</v>
      </c>
      <c r="C1646" s="5">
        <v>38360</v>
      </c>
      <c r="D1646" s="4" t="s">
        <v>37</v>
      </c>
      <c r="E1646" s="4" t="s">
        <v>73</v>
      </c>
      <c r="F1646" s="4" t="s">
        <v>73</v>
      </c>
      <c r="G1646" s="4" t="s">
        <v>26</v>
      </c>
      <c r="H1646" s="4" t="s">
        <v>27</v>
      </c>
      <c r="I1646" s="4" t="s">
        <v>715</v>
      </c>
      <c r="J1646" s="4" t="s">
        <v>638</v>
      </c>
      <c r="K1646" s="5">
        <v>6158526</v>
      </c>
      <c r="L1646" s="5">
        <v>312680</v>
      </c>
      <c r="M1646" s="5">
        <v>19</v>
      </c>
      <c r="N1646" s="5">
        <v>2</v>
      </c>
      <c r="O1646" s="5">
        <v>36.4</v>
      </c>
      <c r="P1646" s="5"/>
    </row>
    <row r="1647" spans="1:16" x14ac:dyDescent="0.25">
      <c r="A1647" s="4" t="s">
        <v>13</v>
      </c>
      <c r="B1647" s="4" t="s">
        <v>423</v>
      </c>
      <c r="C1647" s="5">
        <v>38369</v>
      </c>
      <c r="D1647" s="4" t="s">
        <v>37</v>
      </c>
      <c r="E1647" s="4" t="s">
        <v>73</v>
      </c>
      <c r="F1647" s="4" t="s">
        <v>249</v>
      </c>
      <c r="G1647" s="4" t="s">
        <v>26</v>
      </c>
      <c r="H1647" s="4" t="s">
        <v>27</v>
      </c>
      <c r="I1647" s="4" t="s">
        <v>715</v>
      </c>
      <c r="J1647" s="4" t="s">
        <v>715</v>
      </c>
      <c r="K1647" s="5">
        <v>6155574</v>
      </c>
      <c r="L1647" s="5">
        <v>314900</v>
      </c>
      <c r="M1647" s="5">
        <v>19</v>
      </c>
      <c r="N1647" s="5">
        <v>2</v>
      </c>
      <c r="O1647" s="5">
        <v>15</v>
      </c>
      <c r="P1647" s="5"/>
    </row>
    <row r="1648" spans="1:16" x14ac:dyDescent="0.25">
      <c r="A1648" s="4" t="s">
        <v>13</v>
      </c>
      <c r="B1648" s="4" t="s">
        <v>423</v>
      </c>
      <c r="C1648" s="5">
        <v>38378</v>
      </c>
      <c r="D1648" s="4" t="s">
        <v>33</v>
      </c>
      <c r="E1648" s="4" t="s">
        <v>137</v>
      </c>
      <c r="F1648" s="4" t="s">
        <v>137</v>
      </c>
      <c r="G1648" s="4" t="s">
        <v>26</v>
      </c>
      <c r="H1648" s="4" t="s">
        <v>27</v>
      </c>
      <c r="I1648" s="4" t="s">
        <v>715</v>
      </c>
      <c r="J1648" s="4" t="s">
        <v>638</v>
      </c>
      <c r="K1648" s="5">
        <v>6049900</v>
      </c>
      <c r="L1648" s="5">
        <v>280057</v>
      </c>
      <c r="M1648" s="5">
        <v>19</v>
      </c>
      <c r="N1648" s="5">
        <v>2</v>
      </c>
      <c r="O1648" s="5">
        <v>4.9000000000000004</v>
      </c>
      <c r="P1648" s="5"/>
    </row>
    <row r="1649" spans="1:16" x14ac:dyDescent="0.25">
      <c r="A1649" s="4" t="s">
        <v>13</v>
      </c>
      <c r="B1649" s="4" t="s">
        <v>423</v>
      </c>
      <c r="C1649" s="5">
        <v>38384</v>
      </c>
      <c r="D1649" s="4" t="s">
        <v>37</v>
      </c>
      <c r="E1649" s="4" t="s">
        <v>73</v>
      </c>
      <c r="F1649" s="4" t="s">
        <v>162</v>
      </c>
      <c r="G1649" s="4" t="s">
        <v>26</v>
      </c>
      <c r="H1649" s="4" t="s">
        <v>27</v>
      </c>
      <c r="I1649" s="4" t="s">
        <v>715</v>
      </c>
      <c r="J1649" s="4" t="s">
        <v>715</v>
      </c>
      <c r="K1649" s="5">
        <v>6157982</v>
      </c>
      <c r="L1649" s="5">
        <v>316181</v>
      </c>
      <c r="M1649" s="5">
        <v>19</v>
      </c>
      <c r="N1649" s="5">
        <v>1</v>
      </c>
      <c r="O1649" s="5">
        <v>16</v>
      </c>
      <c r="P1649" s="5"/>
    </row>
    <row r="1650" spans="1:16" x14ac:dyDescent="0.25">
      <c r="A1650" s="4" t="s">
        <v>21</v>
      </c>
      <c r="B1650" s="4" t="s">
        <v>423</v>
      </c>
      <c r="C1650" s="5">
        <v>38396</v>
      </c>
      <c r="D1650" s="4" t="s">
        <v>23</v>
      </c>
      <c r="E1650" s="4" t="s">
        <v>367</v>
      </c>
      <c r="F1650" s="4" t="s">
        <v>367</v>
      </c>
      <c r="G1650" s="4" t="s">
        <v>26</v>
      </c>
      <c r="H1650" s="4" t="s">
        <v>128</v>
      </c>
      <c r="I1650" s="4" t="s">
        <v>715</v>
      </c>
      <c r="J1650" s="4" t="s">
        <v>638</v>
      </c>
      <c r="K1650" s="5">
        <v>6276396</v>
      </c>
      <c r="L1650" s="5">
        <v>330218</v>
      </c>
      <c r="M1650" s="5">
        <v>19</v>
      </c>
      <c r="N1650" s="5">
        <v>1</v>
      </c>
      <c r="O1650" s="5">
        <v>6.11</v>
      </c>
      <c r="P1650" s="5"/>
    </row>
    <row r="1651" spans="1:16" x14ac:dyDescent="0.25">
      <c r="A1651" s="4" t="s">
        <v>13</v>
      </c>
      <c r="B1651" s="4" t="s">
        <v>423</v>
      </c>
      <c r="C1651" s="5">
        <v>38397</v>
      </c>
      <c r="D1651" s="4" t="s">
        <v>37</v>
      </c>
      <c r="E1651" s="4" t="s">
        <v>73</v>
      </c>
      <c r="F1651" s="4" t="s">
        <v>538</v>
      </c>
      <c r="G1651" s="4" t="s">
        <v>26</v>
      </c>
      <c r="H1651" s="4" t="s">
        <v>27</v>
      </c>
      <c r="I1651" s="4" t="s">
        <v>715</v>
      </c>
      <c r="J1651" s="4" t="s">
        <v>715</v>
      </c>
      <c r="K1651" s="5">
        <v>6161535</v>
      </c>
      <c r="L1651" s="5">
        <v>319108</v>
      </c>
      <c r="M1651" s="5">
        <v>19</v>
      </c>
      <c r="N1651" s="5">
        <v>3</v>
      </c>
      <c r="O1651" s="5">
        <v>37</v>
      </c>
      <c r="P1651" s="5"/>
    </row>
    <row r="1652" spans="1:16" x14ac:dyDescent="0.25">
      <c r="A1652" s="4" t="s">
        <v>21</v>
      </c>
      <c r="B1652" s="4" t="s">
        <v>423</v>
      </c>
      <c r="C1652" s="5">
        <v>38398</v>
      </c>
      <c r="D1652" s="4" t="s">
        <v>23</v>
      </c>
      <c r="E1652" s="4" t="s">
        <v>401</v>
      </c>
      <c r="F1652" s="4" t="s">
        <v>428</v>
      </c>
      <c r="G1652" s="4" t="s">
        <v>26</v>
      </c>
      <c r="H1652" s="4" t="s">
        <v>18</v>
      </c>
      <c r="I1652" s="4" t="s">
        <v>715</v>
      </c>
      <c r="J1652" s="4" t="s">
        <v>715</v>
      </c>
      <c r="K1652" s="5">
        <v>6318401</v>
      </c>
      <c r="L1652" s="5">
        <v>342416</v>
      </c>
      <c r="M1652" s="5">
        <v>19</v>
      </c>
      <c r="N1652" s="5">
        <v>1</v>
      </c>
      <c r="O1652" s="5">
        <v>1.01</v>
      </c>
      <c r="P1652" s="5"/>
    </row>
    <row r="1653" spans="1:16" x14ac:dyDescent="0.25">
      <c r="A1653" s="4" t="s">
        <v>21</v>
      </c>
      <c r="B1653" s="4" t="s">
        <v>423</v>
      </c>
      <c r="C1653" s="5">
        <v>38400</v>
      </c>
      <c r="D1653" s="4" t="s">
        <v>23</v>
      </c>
      <c r="E1653" s="4" t="s">
        <v>401</v>
      </c>
      <c r="F1653" s="4" t="s">
        <v>428</v>
      </c>
      <c r="G1653" s="4" t="s">
        <v>26</v>
      </c>
      <c r="H1653" s="4" t="s">
        <v>18</v>
      </c>
      <c r="I1653" s="4" t="s">
        <v>715</v>
      </c>
      <c r="J1653" s="4" t="s">
        <v>715</v>
      </c>
      <c r="K1653" s="5">
        <v>6318722</v>
      </c>
      <c r="L1653" s="5">
        <v>341855</v>
      </c>
      <c r="M1653" s="5">
        <v>19</v>
      </c>
      <c r="N1653" s="5">
        <v>1</v>
      </c>
      <c r="O1653" s="5">
        <v>1.05</v>
      </c>
      <c r="P1653" s="5"/>
    </row>
    <row r="1654" spans="1:16" x14ac:dyDescent="0.25">
      <c r="A1654" s="4" t="s">
        <v>21</v>
      </c>
      <c r="B1654" s="4" t="s">
        <v>423</v>
      </c>
      <c r="C1654" s="5">
        <v>38401</v>
      </c>
      <c r="D1654" s="4" t="s">
        <v>23</v>
      </c>
      <c r="E1654" s="4" t="s">
        <v>445</v>
      </c>
      <c r="F1654" s="4" t="s">
        <v>445</v>
      </c>
      <c r="G1654" s="4" t="s">
        <v>26</v>
      </c>
      <c r="H1654" s="4" t="s">
        <v>18</v>
      </c>
      <c r="I1654" s="4" t="s">
        <v>715</v>
      </c>
      <c r="J1654" s="4" t="s">
        <v>715</v>
      </c>
      <c r="K1654" s="5">
        <v>6313064</v>
      </c>
      <c r="L1654" s="5">
        <v>329882</v>
      </c>
      <c r="M1654" s="5">
        <v>19</v>
      </c>
      <c r="N1654" s="5">
        <v>1</v>
      </c>
      <c r="O1654" s="5">
        <v>2.4</v>
      </c>
      <c r="P1654" s="5"/>
    </row>
    <row r="1655" spans="1:16" x14ac:dyDescent="0.25">
      <c r="A1655" s="4" t="s">
        <v>21</v>
      </c>
      <c r="B1655" s="4" t="s">
        <v>423</v>
      </c>
      <c r="C1655" s="5">
        <v>38434</v>
      </c>
      <c r="D1655" s="4" t="s">
        <v>23</v>
      </c>
      <c r="E1655" s="4" t="s">
        <v>367</v>
      </c>
      <c r="F1655" s="4" t="s">
        <v>504</v>
      </c>
      <c r="G1655" s="4" t="s">
        <v>26</v>
      </c>
      <c r="H1655" s="4" t="s">
        <v>128</v>
      </c>
      <c r="I1655" s="4" t="s">
        <v>715</v>
      </c>
      <c r="J1655" s="4" t="s">
        <v>638</v>
      </c>
      <c r="K1655" s="5">
        <v>6278578</v>
      </c>
      <c r="L1655" s="5">
        <v>331350</v>
      </c>
      <c r="M1655" s="5">
        <v>19</v>
      </c>
      <c r="N1655" s="5">
        <v>1</v>
      </c>
      <c r="O1655" s="5">
        <v>0.95</v>
      </c>
      <c r="P1655" s="5"/>
    </row>
    <row r="1656" spans="1:16" x14ac:dyDescent="0.25">
      <c r="A1656" s="4" t="s">
        <v>21</v>
      </c>
      <c r="B1656" s="4" t="s">
        <v>423</v>
      </c>
      <c r="C1656" s="5">
        <v>38435</v>
      </c>
      <c r="D1656" s="4" t="s">
        <v>23</v>
      </c>
      <c r="E1656" s="4" t="s">
        <v>457</v>
      </c>
      <c r="F1656" s="4" t="s">
        <v>532</v>
      </c>
      <c r="G1656" s="4" t="s">
        <v>26</v>
      </c>
      <c r="H1656" s="4" t="s">
        <v>18</v>
      </c>
      <c r="I1656" s="4" t="s">
        <v>715</v>
      </c>
      <c r="J1656" s="4" t="s">
        <v>715</v>
      </c>
      <c r="K1656" s="5">
        <v>6307973</v>
      </c>
      <c r="L1656" s="5">
        <v>346176</v>
      </c>
      <c r="M1656" s="5">
        <v>19</v>
      </c>
      <c r="N1656" s="5">
        <v>1</v>
      </c>
      <c r="O1656" s="5">
        <v>0.22</v>
      </c>
      <c r="P1656" s="5"/>
    </row>
    <row r="1657" spans="1:16" x14ac:dyDescent="0.25">
      <c r="A1657" s="4" t="s">
        <v>21</v>
      </c>
      <c r="B1657" s="4" t="s">
        <v>423</v>
      </c>
      <c r="C1657" s="5">
        <v>38436</v>
      </c>
      <c r="D1657" s="4" t="s">
        <v>23</v>
      </c>
      <c r="E1657" s="4" t="s">
        <v>42</v>
      </c>
      <c r="F1657" s="4" t="s">
        <v>481</v>
      </c>
      <c r="G1657" s="4" t="s">
        <v>26</v>
      </c>
      <c r="H1657" s="4" t="s">
        <v>18</v>
      </c>
      <c r="I1657" s="4" t="s">
        <v>715</v>
      </c>
      <c r="J1657" s="4" t="s">
        <v>715</v>
      </c>
      <c r="K1657" s="5">
        <v>6302489</v>
      </c>
      <c r="L1657" s="5">
        <v>327063</v>
      </c>
      <c r="M1657" s="5">
        <v>19</v>
      </c>
      <c r="N1657" s="5">
        <v>1</v>
      </c>
      <c r="O1657" s="5">
        <v>0.15</v>
      </c>
      <c r="P1657" s="5"/>
    </row>
    <row r="1658" spans="1:16" x14ac:dyDescent="0.25">
      <c r="A1658" s="4" t="s">
        <v>21</v>
      </c>
      <c r="B1658" s="4" t="s">
        <v>423</v>
      </c>
      <c r="C1658" s="5">
        <v>38437</v>
      </c>
      <c r="D1658" s="4" t="s">
        <v>23</v>
      </c>
      <c r="E1658" s="4" t="s">
        <v>42</v>
      </c>
      <c r="F1658" s="4" t="s">
        <v>489</v>
      </c>
      <c r="G1658" s="4" t="s">
        <v>26</v>
      </c>
      <c r="H1658" s="4" t="s">
        <v>18</v>
      </c>
      <c r="I1658" s="4" t="s">
        <v>715</v>
      </c>
      <c r="J1658" s="4" t="s">
        <v>715</v>
      </c>
      <c r="K1658" s="5">
        <v>6306020</v>
      </c>
      <c r="L1658" s="5">
        <v>332965</v>
      </c>
      <c r="M1658" s="5">
        <v>19</v>
      </c>
      <c r="N1658" s="5">
        <v>1</v>
      </c>
      <c r="O1658" s="5">
        <v>2.4</v>
      </c>
      <c r="P1658" s="5"/>
    </row>
    <row r="1659" spans="1:16" x14ac:dyDescent="0.25">
      <c r="A1659" s="4" t="s">
        <v>21</v>
      </c>
      <c r="B1659" s="4" t="s">
        <v>423</v>
      </c>
      <c r="C1659" s="5">
        <v>38438</v>
      </c>
      <c r="D1659" s="4" t="s">
        <v>23</v>
      </c>
      <c r="E1659" s="4" t="s">
        <v>401</v>
      </c>
      <c r="F1659" s="4" t="s">
        <v>428</v>
      </c>
      <c r="G1659" s="4" t="s">
        <v>26</v>
      </c>
      <c r="H1659" s="4" t="s">
        <v>18</v>
      </c>
      <c r="I1659" s="4" t="s">
        <v>715</v>
      </c>
      <c r="J1659" s="4" t="s">
        <v>715</v>
      </c>
      <c r="K1659" s="5">
        <v>6319706</v>
      </c>
      <c r="L1659" s="5">
        <v>337596</v>
      </c>
      <c r="M1659" s="5">
        <v>19</v>
      </c>
      <c r="N1659" s="5">
        <v>1</v>
      </c>
      <c r="O1659" s="5">
        <v>2.4</v>
      </c>
      <c r="P1659" s="5"/>
    </row>
    <row r="1660" spans="1:16" x14ac:dyDescent="0.25">
      <c r="A1660" s="4" t="s">
        <v>21</v>
      </c>
      <c r="B1660" s="4" t="s">
        <v>423</v>
      </c>
      <c r="C1660" s="5">
        <v>38439</v>
      </c>
      <c r="D1660" s="4" t="s">
        <v>23</v>
      </c>
      <c r="E1660" s="4" t="s">
        <v>381</v>
      </c>
      <c r="F1660" s="4" t="s">
        <v>382</v>
      </c>
      <c r="G1660" s="4" t="s">
        <v>26</v>
      </c>
      <c r="H1660" s="4" t="s">
        <v>18</v>
      </c>
      <c r="I1660" s="4" t="s">
        <v>715</v>
      </c>
      <c r="J1660" s="4" t="s">
        <v>715</v>
      </c>
      <c r="K1660" s="5">
        <v>6266289</v>
      </c>
      <c r="L1660" s="5">
        <v>325972</v>
      </c>
      <c r="M1660" s="5">
        <v>19</v>
      </c>
      <c r="N1660" s="5">
        <v>1</v>
      </c>
      <c r="O1660" s="5">
        <v>2.38</v>
      </c>
      <c r="P1660" s="5"/>
    </row>
    <row r="1661" spans="1:16" x14ac:dyDescent="0.25">
      <c r="A1661" s="4" t="s">
        <v>21</v>
      </c>
      <c r="B1661" s="4" t="s">
        <v>423</v>
      </c>
      <c r="C1661" s="5">
        <v>38443</v>
      </c>
      <c r="D1661" s="4" t="s">
        <v>23</v>
      </c>
      <c r="E1661" s="4" t="s">
        <v>262</v>
      </c>
      <c r="F1661" s="4" t="s">
        <v>362</v>
      </c>
      <c r="G1661" s="4" t="s">
        <v>26</v>
      </c>
      <c r="H1661" s="4" t="s">
        <v>18</v>
      </c>
      <c r="I1661" s="4" t="s">
        <v>715</v>
      </c>
      <c r="J1661" s="4" t="s">
        <v>715</v>
      </c>
      <c r="K1661" s="5">
        <v>6280942</v>
      </c>
      <c r="L1661" s="5">
        <v>327310</v>
      </c>
      <c r="M1661" s="5">
        <v>19</v>
      </c>
      <c r="N1661" s="5">
        <v>1</v>
      </c>
      <c r="O1661" s="5">
        <v>2.5</v>
      </c>
      <c r="P1661" s="5"/>
    </row>
    <row r="1662" spans="1:16" x14ac:dyDescent="0.25">
      <c r="A1662" s="4" t="s">
        <v>21</v>
      </c>
      <c r="B1662" s="4" t="s">
        <v>423</v>
      </c>
      <c r="C1662" s="5">
        <v>38444</v>
      </c>
      <c r="D1662" s="4" t="s">
        <v>23</v>
      </c>
      <c r="E1662" s="4" t="s">
        <v>25</v>
      </c>
      <c r="F1662" s="4" t="s">
        <v>345</v>
      </c>
      <c r="G1662" s="4" t="s">
        <v>26</v>
      </c>
      <c r="H1662" s="4" t="s">
        <v>18</v>
      </c>
      <c r="I1662" s="4" t="s">
        <v>715</v>
      </c>
      <c r="J1662" s="4" t="s">
        <v>715</v>
      </c>
      <c r="K1662" s="5">
        <v>6276938</v>
      </c>
      <c r="L1662" s="5">
        <v>298152</v>
      </c>
      <c r="M1662" s="5">
        <v>19</v>
      </c>
      <c r="N1662" s="5">
        <v>1</v>
      </c>
      <c r="O1662" s="5">
        <v>0.8</v>
      </c>
      <c r="P1662" s="5"/>
    </row>
    <row r="1663" spans="1:16" x14ac:dyDescent="0.25">
      <c r="A1663" s="4" t="s">
        <v>21</v>
      </c>
      <c r="B1663" s="4" t="s">
        <v>423</v>
      </c>
      <c r="C1663" s="5">
        <v>38445</v>
      </c>
      <c r="D1663" s="4" t="s">
        <v>23</v>
      </c>
      <c r="E1663" s="4" t="s">
        <v>381</v>
      </c>
      <c r="F1663" s="4" t="s">
        <v>382</v>
      </c>
      <c r="G1663" s="4" t="s">
        <v>26</v>
      </c>
      <c r="H1663" s="4" t="s">
        <v>18</v>
      </c>
      <c r="I1663" s="4" t="s">
        <v>715</v>
      </c>
      <c r="J1663" s="4" t="s">
        <v>715</v>
      </c>
      <c r="K1663" s="5">
        <v>6265741</v>
      </c>
      <c r="L1663" s="5">
        <v>324252</v>
      </c>
      <c r="M1663" s="5">
        <v>19</v>
      </c>
      <c r="N1663" s="5">
        <v>1</v>
      </c>
      <c r="O1663" s="5">
        <v>2.4300000000000002</v>
      </c>
      <c r="P1663" s="5"/>
    </row>
    <row r="1664" spans="1:16" x14ac:dyDescent="0.25">
      <c r="A1664" s="4" t="s">
        <v>21</v>
      </c>
      <c r="B1664" s="4" t="s">
        <v>423</v>
      </c>
      <c r="C1664" s="5">
        <v>38448</v>
      </c>
      <c r="D1664" s="4" t="s">
        <v>23</v>
      </c>
      <c r="E1664" s="4" t="s">
        <v>42</v>
      </c>
      <c r="F1664" s="4" t="s">
        <v>481</v>
      </c>
      <c r="G1664" s="4" t="s">
        <v>26</v>
      </c>
      <c r="H1664" s="4" t="s">
        <v>18</v>
      </c>
      <c r="I1664" s="4" t="s">
        <v>715</v>
      </c>
      <c r="J1664" s="4" t="s">
        <v>715</v>
      </c>
      <c r="K1664" s="5">
        <v>6303076</v>
      </c>
      <c r="L1664" s="5">
        <v>327819</v>
      </c>
      <c r="M1664" s="5">
        <v>19</v>
      </c>
      <c r="N1664" s="5">
        <v>1</v>
      </c>
      <c r="O1664" s="5">
        <v>0.14000000000000001</v>
      </c>
      <c r="P1664" s="5"/>
    </row>
    <row r="1665" spans="1:16" x14ac:dyDescent="0.25">
      <c r="A1665" s="4" t="s">
        <v>21</v>
      </c>
      <c r="B1665" s="4" t="s">
        <v>423</v>
      </c>
      <c r="C1665" s="5">
        <v>38515</v>
      </c>
      <c r="D1665" s="4" t="s">
        <v>23</v>
      </c>
      <c r="E1665" s="4" t="s">
        <v>356</v>
      </c>
      <c r="F1665" s="4" t="s">
        <v>539</v>
      </c>
      <c r="G1665" s="4" t="s">
        <v>26</v>
      </c>
      <c r="H1665" s="4" t="s">
        <v>18</v>
      </c>
      <c r="I1665" s="4" t="s">
        <v>715</v>
      </c>
      <c r="J1665" s="4" t="s">
        <v>715</v>
      </c>
      <c r="K1665" s="5">
        <v>6255082</v>
      </c>
      <c r="L1665" s="5">
        <v>338853</v>
      </c>
      <c r="M1665" s="5">
        <v>19</v>
      </c>
      <c r="N1665" s="5">
        <v>1</v>
      </c>
      <c r="O1665" s="5">
        <v>0.1</v>
      </c>
      <c r="P1665" s="5"/>
    </row>
    <row r="1666" spans="1:16" x14ac:dyDescent="0.25">
      <c r="A1666" s="4" t="s">
        <v>21</v>
      </c>
      <c r="B1666" s="4" t="s">
        <v>423</v>
      </c>
      <c r="C1666" s="5">
        <v>38516</v>
      </c>
      <c r="D1666" s="4" t="s">
        <v>23</v>
      </c>
      <c r="E1666" s="4" t="s">
        <v>42</v>
      </c>
      <c r="F1666" s="4" t="s">
        <v>481</v>
      </c>
      <c r="G1666" s="4" t="s">
        <v>26</v>
      </c>
      <c r="H1666" s="4" t="s">
        <v>128</v>
      </c>
      <c r="I1666" s="4" t="s">
        <v>715</v>
      </c>
      <c r="J1666" s="4" t="s">
        <v>638</v>
      </c>
      <c r="K1666" s="5">
        <v>6307038</v>
      </c>
      <c r="L1666" s="5">
        <v>331312</v>
      </c>
      <c r="M1666" s="5">
        <v>19</v>
      </c>
      <c r="N1666" s="5">
        <v>1</v>
      </c>
      <c r="O1666" s="5">
        <v>1.6</v>
      </c>
      <c r="P1666" s="5"/>
    </row>
    <row r="1667" spans="1:16" x14ac:dyDescent="0.25">
      <c r="A1667" s="4" t="s">
        <v>13</v>
      </c>
      <c r="B1667" s="4" t="s">
        <v>423</v>
      </c>
      <c r="C1667" s="5">
        <v>38517</v>
      </c>
      <c r="D1667" s="4" t="s">
        <v>23</v>
      </c>
      <c r="E1667" s="4" t="s">
        <v>42</v>
      </c>
      <c r="F1667" s="4" t="s">
        <v>481</v>
      </c>
      <c r="G1667" s="4" t="s">
        <v>26</v>
      </c>
      <c r="H1667" s="4" t="s">
        <v>27</v>
      </c>
      <c r="I1667" s="4" t="s">
        <v>715</v>
      </c>
      <c r="J1667" s="4" t="s">
        <v>715</v>
      </c>
      <c r="K1667" s="5">
        <v>6303348</v>
      </c>
      <c r="L1667" s="5">
        <v>324568</v>
      </c>
      <c r="M1667" s="5">
        <v>19</v>
      </c>
      <c r="N1667" s="5">
        <v>1</v>
      </c>
      <c r="O1667" s="5">
        <v>0.41</v>
      </c>
      <c r="P1667" s="5"/>
    </row>
    <row r="1668" spans="1:16" x14ac:dyDescent="0.25">
      <c r="A1668" s="4" t="s">
        <v>21</v>
      </c>
      <c r="B1668" s="4" t="s">
        <v>423</v>
      </c>
      <c r="C1668" s="5">
        <v>38518</v>
      </c>
      <c r="D1668" s="4" t="s">
        <v>23</v>
      </c>
      <c r="E1668" s="4" t="s">
        <v>356</v>
      </c>
      <c r="F1668" s="4" t="s">
        <v>365</v>
      </c>
      <c r="G1668" s="4" t="s">
        <v>26</v>
      </c>
      <c r="H1668" s="4" t="s">
        <v>18</v>
      </c>
      <c r="I1668" s="4" t="s">
        <v>715</v>
      </c>
      <c r="J1668" s="4" t="s">
        <v>715</v>
      </c>
      <c r="K1668" s="5">
        <v>6252654</v>
      </c>
      <c r="L1668" s="5">
        <v>345348</v>
      </c>
      <c r="M1668" s="5">
        <v>19</v>
      </c>
      <c r="N1668" s="5">
        <v>1</v>
      </c>
      <c r="O1668" s="5">
        <v>0.34</v>
      </c>
      <c r="P1668" s="5"/>
    </row>
    <row r="1669" spans="1:16" x14ac:dyDescent="0.25">
      <c r="A1669" s="4" t="s">
        <v>21</v>
      </c>
      <c r="B1669" s="4" t="s">
        <v>423</v>
      </c>
      <c r="C1669" s="5">
        <v>38519</v>
      </c>
      <c r="D1669" s="4" t="s">
        <v>23</v>
      </c>
      <c r="E1669" s="4" t="s">
        <v>356</v>
      </c>
      <c r="F1669" s="4" t="s">
        <v>540</v>
      </c>
      <c r="G1669" s="4" t="s">
        <v>26</v>
      </c>
      <c r="H1669" s="4" t="s">
        <v>18</v>
      </c>
      <c r="I1669" s="4" t="s">
        <v>715</v>
      </c>
      <c r="J1669" s="4" t="s">
        <v>715</v>
      </c>
      <c r="K1669" s="5">
        <v>6260077</v>
      </c>
      <c r="L1669" s="5">
        <v>347037</v>
      </c>
      <c r="M1669" s="5">
        <v>19</v>
      </c>
      <c r="N1669" s="5">
        <v>1</v>
      </c>
      <c r="O1669" s="5">
        <v>3.7</v>
      </c>
      <c r="P1669" s="5"/>
    </row>
    <row r="1670" spans="1:16" x14ac:dyDescent="0.25">
      <c r="A1670" s="4" t="s">
        <v>13</v>
      </c>
      <c r="B1670" s="4" t="s">
        <v>423</v>
      </c>
      <c r="C1670" s="5">
        <v>38553</v>
      </c>
      <c r="D1670" s="4" t="s">
        <v>37</v>
      </c>
      <c r="E1670" s="4" t="s">
        <v>73</v>
      </c>
      <c r="F1670" s="4" t="s">
        <v>249</v>
      </c>
      <c r="G1670" s="4" t="s">
        <v>26</v>
      </c>
      <c r="H1670" s="4" t="s">
        <v>27</v>
      </c>
      <c r="I1670" s="4" t="s">
        <v>715</v>
      </c>
      <c r="J1670" s="4" t="s">
        <v>715</v>
      </c>
      <c r="K1670" s="5">
        <v>6155751</v>
      </c>
      <c r="L1670" s="5">
        <v>314998</v>
      </c>
      <c r="M1670" s="5">
        <v>19</v>
      </c>
      <c r="N1670" s="5">
        <v>1</v>
      </c>
      <c r="O1670" s="5">
        <v>8</v>
      </c>
      <c r="P1670" s="5"/>
    </row>
    <row r="1671" spans="1:16" x14ac:dyDescent="0.25">
      <c r="A1671" s="4" t="s">
        <v>21</v>
      </c>
      <c r="B1671" s="4" t="s">
        <v>423</v>
      </c>
      <c r="C1671" s="5">
        <v>38561</v>
      </c>
      <c r="D1671" s="4" t="s">
        <v>37</v>
      </c>
      <c r="E1671" s="4" t="s">
        <v>73</v>
      </c>
      <c r="F1671" s="4" t="s">
        <v>73</v>
      </c>
      <c r="G1671" s="4" t="s">
        <v>26</v>
      </c>
      <c r="H1671" s="4" t="s">
        <v>27</v>
      </c>
      <c r="I1671" s="4" t="s">
        <v>638</v>
      </c>
      <c r="J1671" s="4" t="s">
        <v>715</v>
      </c>
      <c r="K1671" s="5">
        <v>6152824</v>
      </c>
      <c r="L1671" s="5">
        <v>314788</v>
      </c>
      <c r="M1671" s="5">
        <v>19</v>
      </c>
      <c r="N1671" s="5">
        <v>1</v>
      </c>
      <c r="O1671" s="5">
        <v>38</v>
      </c>
      <c r="P1671" s="5"/>
    </row>
    <row r="1672" spans="1:16" x14ac:dyDescent="0.25">
      <c r="A1672" s="4" t="s">
        <v>13</v>
      </c>
      <c r="B1672" s="4" t="s">
        <v>423</v>
      </c>
      <c r="C1672" s="5">
        <v>38568</v>
      </c>
      <c r="D1672" s="4" t="s">
        <v>37</v>
      </c>
      <c r="E1672" s="4" t="s">
        <v>73</v>
      </c>
      <c r="F1672" s="4" t="s">
        <v>73</v>
      </c>
      <c r="G1672" s="4" t="s">
        <v>26</v>
      </c>
      <c r="H1672" s="4" t="s">
        <v>27</v>
      </c>
      <c r="I1672" s="4" t="s">
        <v>715</v>
      </c>
      <c r="J1672" s="4" t="s">
        <v>715</v>
      </c>
      <c r="K1672" s="5">
        <v>6159540</v>
      </c>
      <c r="L1672" s="5">
        <v>312476</v>
      </c>
      <c r="M1672" s="5">
        <v>19</v>
      </c>
      <c r="N1672" s="5">
        <v>1</v>
      </c>
      <c r="O1672" s="5">
        <v>6</v>
      </c>
      <c r="P1672" s="5"/>
    </row>
    <row r="1673" spans="1:16" x14ac:dyDescent="0.25">
      <c r="A1673" s="4" t="s">
        <v>13</v>
      </c>
      <c r="B1673" s="4" t="s">
        <v>423</v>
      </c>
      <c r="C1673" s="5">
        <v>38569</v>
      </c>
      <c r="D1673" s="4" t="s">
        <v>37</v>
      </c>
      <c r="E1673" s="4" t="s">
        <v>73</v>
      </c>
      <c r="F1673" s="4" t="s">
        <v>73</v>
      </c>
      <c r="G1673" s="4" t="s">
        <v>26</v>
      </c>
      <c r="H1673" s="4" t="s">
        <v>27</v>
      </c>
      <c r="I1673" s="4" t="s">
        <v>715</v>
      </c>
      <c r="J1673" s="4" t="s">
        <v>715</v>
      </c>
      <c r="K1673" s="5">
        <v>6158827</v>
      </c>
      <c r="L1673" s="5">
        <v>312831</v>
      </c>
      <c r="M1673" s="5">
        <v>19</v>
      </c>
      <c r="N1673" s="5">
        <v>2</v>
      </c>
      <c r="O1673" s="5">
        <v>15</v>
      </c>
      <c r="P1673" s="5"/>
    </row>
    <row r="1674" spans="1:16" x14ac:dyDescent="0.25">
      <c r="A1674" s="4" t="s">
        <v>13</v>
      </c>
      <c r="B1674" s="4" t="s">
        <v>423</v>
      </c>
      <c r="C1674" s="5">
        <v>38572</v>
      </c>
      <c r="D1674" s="4" t="s">
        <v>33</v>
      </c>
      <c r="E1674" s="4" t="s">
        <v>35</v>
      </c>
      <c r="F1674" s="4" t="s">
        <v>35</v>
      </c>
      <c r="G1674" s="4" t="s">
        <v>26</v>
      </c>
      <c r="H1674" s="4" t="s">
        <v>27</v>
      </c>
      <c r="I1674" s="4" t="s">
        <v>715</v>
      </c>
      <c r="J1674" s="4" t="s">
        <v>715</v>
      </c>
      <c r="K1674" s="5">
        <v>6138186</v>
      </c>
      <c r="L1674" s="5">
        <v>312490</v>
      </c>
      <c r="M1674" s="5">
        <v>19</v>
      </c>
      <c r="N1674" s="5">
        <v>1</v>
      </c>
      <c r="O1674" s="5">
        <v>8</v>
      </c>
      <c r="P1674" s="5"/>
    </row>
    <row r="1675" spans="1:16" x14ac:dyDescent="0.25">
      <c r="A1675" s="4" t="s">
        <v>21</v>
      </c>
      <c r="B1675" s="4" t="s">
        <v>423</v>
      </c>
      <c r="C1675" s="5">
        <v>38576</v>
      </c>
      <c r="D1675" s="4" t="s">
        <v>37</v>
      </c>
      <c r="E1675" s="4" t="s">
        <v>73</v>
      </c>
      <c r="F1675" s="4" t="s">
        <v>73</v>
      </c>
      <c r="G1675" s="4" t="s">
        <v>26</v>
      </c>
      <c r="H1675" s="4" t="s">
        <v>27</v>
      </c>
      <c r="I1675" s="4" t="s">
        <v>715</v>
      </c>
      <c r="J1675" s="4" t="s">
        <v>715</v>
      </c>
      <c r="K1675" s="5">
        <v>6153913</v>
      </c>
      <c r="L1675" s="5">
        <v>316958</v>
      </c>
      <c r="M1675" s="5">
        <v>19</v>
      </c>
      <c r="N1675" s="5">
        <v>1</v>
      </c>
      <c r="O1675" s="5">
        <v>6.9</v>
      </c>
      <c r="P1675" s="5"/>
    </row>
    <row r="1676" spans="1:16" x14ac:dyDescent="0.25">
      <c r="A1676" s="4" t="s">
        <v>21</v>
      </c>
      <c r="B1676" s="4" t="s">
        <v>423</v>
      </c>
      <c r="C1676" s="5">
        <v>38619</v>
      </c>
      <c r="D1676" s="4" t="s">
        <v>37</v>
      </c>
      <c r="E1676" s="4" t="s">
        <v>73</v>
      </c>
      <c r="F1676" s="4" t="s">
        <v>541</v>
      </c>
      <c r="G1676" s="4" t="s">
        <v>26</v>
      </c>
      <c r="H1676" s="4" t="s">
        <v>27</v>
      </c>
      <c r="I1676" s="4" t="s">
        <v>715</v>
      </c>
      <c r="J1676" s="4" t="s">
        <v>638</v>
      </c>
      <c r="K1676" s="5">
        <v>6148823</v>
      </c>
      <c r="L1676" s="5">
        <v>316540</v>
      </c>
      <c r="M1676" s="5">
        <v>19</v>
      </c>
      <c r="N1676" s="5">
        <v>2</v>
      </c>
      <c r="O1676" s="5">
        <v>10</v>
      </c>
      <c r="P1676" s="5"/>
    </row>
    <row r="1677" spans="1:16" x14ac:dyDescent="0.25">
      <c r="A1677" s="4" t="s">
        <v>13</v>
      </c>
      <c r="B1677" s="4" t="s">
        <v>423</v>
      </c>
      <c r="C1677" s="5">
        <v>38622</v>
      </c>
      <c r="D1677" s="4" t="s">
        <v>33</v>
      </c>
      <c r="E1677" s="4" t="s">
        <v>35</v>
      </c>
      <c r="F1677" s="4" t="s">
        <v>35</v>
      </c>
      <c r="G1677" s="4" t="s">
        <v>26</v>
      </c>
      <c r="H1677" s="4" t="s">
        <v>27</v>
      </c>
      <c r="I1677" s="4" t="s">
        <v>715</v>
      </c>
      <c r="J1677" s="4" t="s">
        <v>715</v>
      </c>
      <c r="K1677" s="5">
        <v>6142111</v>
      </c>
      <c r="L1677" s="5">
        <v>305095</v>
      </c>
      <c r="M1677" s="5">
        <v>19</v>
      </c>
      <c r="N1677" s="5">
        <v>1</v>
      </c>
      <c r="O1677" s="5">
        <v>15</v>
      </c>
      <c r="P1677" s="5"/>
    </row>
    <row r="1678" spans="1:16" x14ac:dyDescent="0.25">
      <c r="A1678" s="4" t="s">
        <v>21</v>
      </c>
      <c r="B1678" s="4" t="s">
        <v>423</v>
      </c>
      <c r="C1678" s="5">
        <v>38636</v>
      </c>
      <c r="D1678" s="4" t="s">
        <v>37</v>
      </c>
      <c r="E1678" s="4" t="s">
        <v>73</v>
      </c>
      <c r="F1678" s="4" t="s">
        <v>470</v>
      </c>
      <c r="G1678" s="4" t="s">
        <v>26</v>
      </c>
      <c r="H1678" s="4" t="s">
        <v>27</v>
      </c>
      <c r="I1678" s="4" t="s">
        <v>715</v>
      </c>
      <c r="J1678" s="4" t="s">
        <v>638</v>
      </c>
      <c r="K1678" s="5">
        <v>6153732</v>
      </c>
      <c r="L1678" s="5">
        <v>320812</v>
      </c>
      <c r="M1678" s="5">
        <v>19</v>
      </c>
      <c r="N1678" s="5">
        <v>3</v>
      </c>
      <c r="O1678" s="5">
        <v>70</v>
      </c>
      <c r="P1678" s="5"/>
    </row>
    <row r="1679" spans="1:16" x14ac:dyDescent="0.25">
      <c r="A1679" s="4" t="s">
        <v>21</v>
      </c>
      <c r="B1679" s="4" t="s">
        <v>423</v>
      </c>
      <c r="C1679" s="5">
        <v>38641</v>
      </c>
      <c r="D1679" s="4" t="s">
        <v>37</v>
      </c>
      <c r="E1679" s="4" t="s">
        <v>73</v>
      </c>
      <c r="F1679" s="4" t="s">
        <v>541</v>
      </c>
      <c r="G1679" s="4" t="s">
        <v>26</v>
      </c>
      <c r="H1679" s="4" t="s">
        <v>27</v>
      </c>
      <c r="I1679" s="4" t="s">
        <v>715</v>
      </c>
      <c r="J1679" s="4" t="s">
        <v>638</v>
      </c>
      <c r="K1679" s="5">
        <v>6148373</v>
      </c>
      <c r="L1679" s="5">
        <v>316886</v>
      </c>
      <c r="M1679" s="5">
        <v>19</v>
      </c>
      <c r="N1679" s="5">
        <v>1</v>
      </c>
      <c r="O1679" s="5">
        <v>10.5</v>
      </c>
      <c r="P1679" s="5"/>
    </row>
    <row r="1680" spans="1:16" x14ac:dyDescent="0.25">
      <c r="A1680" s="4" t="s">
        <v>21</v>
      </c>
      <c r="B1680" s="4" t="s">
        <v>423</v>
      </c>
      <c r="C1680" s="5">
        <v>38699</v>
      </c>
      <c r="D1680" s="4" t="s">
        <v>23</v>
      </c>
      <c r="E1680" s="4" t="s">
        <v>357</v>
      </c>
      <c r="F1680" s="4" t="s">
        <v>50</v>
      </c>
      <c r="G1680" s="4" t="s">
        <v>26</v>
      </c>
      <c r="H1680" s="4" t="s">
        <v>18</v>
      </c>
      <c r="I1680" s="4" t="s">
        <v>715</v>
      </c>
      <c r="J1680" s="4" t="s">
        <v>715</v>
      </c>
      <c r="K1680" s="5">
        <v>6267278</v>
      </c>
      <c r="L1680" s="5">
        <v>334082</v>
      </c>
      <c r="M1680" s="5">
        <v>19</v>
      </c>
      <c r="N1680" s="5">
        <v>1</v>
      </c>
      <c r="O1680" s="5">
        <v>1.01</v>
      </c>
      <c r="P1680" s="5"/>
    </row>
    <row r="1681" spans="1:16" x14ac:dyDescent="0.25">
      <c r="A1681" s="4" t="s">
        <v>54</v>
      </c>
      <c r="B1681" s="4" t="s">
        <v>423</v>
      </c>
      <c r="C1681" s="5">
        <v>38711</v>
      </c>
      <c r="D1681" s="4" t="s">
        <v>15</v>
      </c>
      <c r="E1681" s="4" t="s">
        <v>468</v>
      </c>
      <c r="F1681" s="4" t="s">
        <v>375</v>
      </c>
      <c r="G1681" s="4" t="s">
        <v>26</v>
      </c>
      <c r="H1681" s="4" t="s">
        <v>641</v>
      </c>
      <c r="I1681" s="4" t="s">
        <v>715</v>
      </c>
      <c r="J1681" s="4" t="s">
        <v>715</v>
      </c>
      <c r="K1681" s="5">
        <v>6362637</v>
      </c>
      <c r="L1681" s="5">
        <v>350600</v>
      </c>
      <c r="M1681" s="5">
        <v>19</v>
      </c>
      <c r="N1681" s="5">
        <v>1</v>
      </c>
      <c r="O1681" s="5">
        <v>2.48</v>
      </c>
      <c r="P1681" s="5"/>
    </row>
    <row r="1682" spans="1:16" x14ac:dyDescent="0.25">
      <c r="A1682" s="4" t="s">
        <v>21</v>
      </c>
      <c r="B1682" s="4" t="s">
        <v>423</v>
      </c>
      <c r="C1682" s="5">
        <v>38713</v>
      </c>
      <c r="D1682" s="4" t="s">
        <v>23</v>
      </c>
      <c r="E1682" s="4" t="s">
        <v>515</v>
      </c>
      <c r="F1682" s="4" t="s">
        <v>515</v>
      </c>
      <c r="G1682" s="4" t="s">
        <v>26</v>
      </c>
      <c r="H1682" s="4" t="s">
        <v>128</v>
      </c>
      <c r="I1682" s="4" t="s">
        <v>715</v>
      </c>
      <c r="J1682" s="4" t="s">
        <v>638</v>
      </c>
      <c r="K1682" s="5">
        <v>6308082</v>
      </c>
      <c r="L1682" s="5">
        <v>340871</v>
      </c>
      <c r="M1682" s="5">
        <v>19</v>
      </c>
      <c r="N1682" s="5">
        <v>1</v>
      </c>
      <c r="O1682" s="5">
        <v>11</v>
      </c>
      <c r="P1682" s="5"/>
    </row>
    <row r="1683" spans="1:16" x14ac:dyDescent="0.25">
      <c r="A1683" s="4" t="s">
        <v>13</v>
      </c>
      <c r="B1683" s="4" t="s">
        <v>423</v>
      </c>
      <c r="C1683" s="5">
        <v>38717</v>
      </c>
      <c r="D1683" s="4" t="s">
        <v>23</v>
      </c>
      <c r="E1683" s="4" t="s">
        <v>76</v>
      </c>
      <c r="F1683" s="4" t="s">
        <v>76</v>
      </c>
      <c r="G1683" s="4" t="s">
        <v>26</v>
      </c>
      <c r="H1683" s="4" t="s">
        <v>27</v>
      </c>
      <c r="I1683" s="4" t="s">
        <v>715</v>
      </c>
      <c r="J1683" s="4" t="s">
        <v>715</v>
      </c>
      <c r="K1683" s="5">
        <v>6275165</v>
      </c>
      <c r="L1683" s="5">
        <v>324730</v>
      </c>
      <c r="M1683" s="5">
        <v>19</v>
      </c>
      <c r="N1683" s="5">
        <v>1</v>
      </c>
      <c r="O1683" s="5">
        <v>0.5</v>
      </c>
      <c r="P1683" s="5"/>
    </row>
    <row r="1684" spans="1:16" x14ac:dyDescent="0.25">
      <c r="A1684" s="4" t="s">
        <v>54</v>
      </c>
      <c r="B1684" s="4" t="s">
        <v>423</v>
      </c>
      <c r="C1684" s="5">
        <v>38744</v>
      </c>
      <c r="D1684" s="4" t="s">
        <v>15</v>
      </c>
      <c r="E1684" s="4" t="s">
        <v>468</v>
      </c>
      <c r="F1684" s="4" t="s">
        <v>375</v>
      </c>
      <c r="G1684" s="4" t="s">
        <v>26</v>
      </c>
      <c r="H1684" s="4" t="s">
        <v>641</v>
      </c>
      <c r="I1684" s="4" t="s">
        <v>715</v>
      </c>
      <c r="J1684" s="4" t="s">
        <v>715</v>
      </c>
      <c r="K1684" s="5">
        <v>6362500</v>
      </c>
      <c r="L1684" s="5">
        <v>350754</v>
      </c>
      <c r="M1684" s="5">
        <v>19</v>
      </c>
      <c r="N1684" s="5">
        <v>1</v>
      </c>
      <c r="O1684" s="5">
        <v>0.48</v>
      </c>
      <c r="P1684" s="5"/>
    </row>
    <row r="1685" spans="1:16" x14ac:dyDescent="0.25">
      <c r="A1685" s="4" t="s">
        <v>54</v>
      </c>
      <c r="B1685" s="4" t="s">
        <v>423</v>
      </c>
      <c r="C1685" s="5">
        <v>38747</v>
      </c>
      <c r="D1685" s="4" t="s">
        <v>23</v>
      </c>
      <c r="E1685" s="4" t="s">
        <v>28</v>
      </c>
      <c r="F1685" s="4" t="s">
        <v>383</v>
      </c>
      <c r="G1685" s="4" t="s">
        <v>26</v>
      </c>
      <c r="H1685" s="4" t="s">
        <v>641</v>
      </c>
      <c r="I1685" s="4" t="s">
        <v>715</v>
      </c>
      <c r="J1685" s="4" t="s">
        <v>715</v>
      </c>
      <c r="K1685" s="5">
        <v>6260257</v>
      </c>
      <c r="L1685" s="5">
        <v>331207</v>
      </c>
      <c r="M1685" s="5">
        <v>19</v>
      </c>
      <c r="N1685" s="5">
        <v>1</v>
      </c>
      <c r="O1685" s="5">
        <v>0.82</v>
      </c>
      <c r="P1685" s="5"/>
    </row>
    <row r="1686" spans="1:16" x14ac:dyDescent="0.25">
      <c r="A1686" s="4" t="s">
        <v>21</v>
      </c>
      <c r="B1686" s="4" t="s">
        <v>423</v>
      </c>
      <c r="C1686" s="5">
        <v>38750</v>
      </c>
      <c r="D1686" s="4" t="s">
        <v>23</v>
      </c>
      <c r="E1686" s="4" t="s">
        <v>25</v>
      </c>
      <c r="F1686" s="4" t="s">
        <v>458</v>
      </c>
      <c r="G1686" s="4" t="s">
        <v>26</v>
      </c>
      <c r="H1686" s="4" t="s">
        <v>128</v>
      </c>
      <c r="I1686" s="4" t="s">
        <v>715</v>
      </c>
      <c r="J1686" s="4" t="s">
        <v>638</v>
      </c>
      <c r="K1686" s="5">
        <v>6278561</v>
      </c>
      <c r="L1686" s="5">
        <v>293122</v>
      </c>
      <c r="M1686" s="5">
        <v>19</v>
      </c>
      <c r="N1686" s="5">
        <v>1</v>
      </c>
      <c r="O1686" s="5">
        <v>0.28999999999999998</v>
      </c>
      <c r="P1686" s="5"/>
    </row>
    <row r="1687" spans="1:16" x14ac:dyDescent="0.25">
      <c r="A1687" s="4" t="s">
        <v>21</v>
      </c>
      <c r="B1687" s="4" t="s">
        <v>423</v>
      </c>
      <c r="C1687" s="5">
        <v>38751</v>
      </c>
      <c r="D1687" s="4" t="s">
        <v>23</v>
      </c>
      <c r="E1687" s="4" t="s">
        <v>42</v>
      </c>
      <c r="F1687" s="4" t="s">
        <v>481</v>
      </c>
      <c r="G1687" s="4" t="s">
        <v>26</v>
      </c>
      <c r="H1687" s="4" t="s">
        <v>128</v>
      </c>
      <c r="I1687" s="4" t="s">
        <v>715</v>
      </c>
      <c r="J1687" s="4" t="s">
        <v>638</v>
      </c>
      <c r="K1687" s="5">
        <v>6306977</v>
      </c>
      <c r="L1687" s="5">
        <v>331626</v>
      </c>
      <c r="M1687" s="5">
        <v>19</v>
      </c>
      <c r="N1687" s="5">
        <v>1</v>
      </c>
      <c r="O1687" s="5">
        <v>1.6</v>
      </c>
      <c r="P1687" s="5"/>
    </row>
    <row r="1688" spans="1:16" x14ac:dyDescent="0.25">
      <c r="A1688" s="4" t="s">
        <v>21</v>
      </c>
      <c r="B1688" s="4" t="s">
        <v>423</v>
      </c>
      <c r="C1688" s="5">
        <v>38753</v>
      </c>
      <c r="D1688" s="4" t="s">
        <v>23</v>
      </c>
      <c r="E1688" s="4" t="s">
        <v>527</v>
      </c>
      <c r="F1688" s="4" t="s">
        <v>542</v>
      </c>
      <c r="G1688" s="4" t="s">
        <v>26</v>
      </c>
      <c r="H1688" s="4" t="s">
        <v>18</v>
      </c>
      <c r="I1688" s="4" t="s">
        <v>715</v>
      </c>
      <c r="J1688" s="4" t="s">
        <v>715</v>
      </c>
      <c r="K1688" s="5">
        <v>6288091</v>
      </c>
      <c r="L1688" s="5">
        <v>295093</v>
      </c>
      <c r="M1688" s="5">
        <v>19</v>
      </c>
      <c r="N1688" s="5">
        <v>1</v>
      </c>
      <c r="O1688" s="5">
        <v>1</v>
      </c>
      <c r="P1688" s="5"/>
    </row>
    <row r="1689" spans="1:16" x14ac:dyDescent="0.25">
      <c r="A1689" s="4" t="s">
        <v>21</v>
      </c>
      <c r="B1689" s="4" t="s">
        <v>423</v>
      </c>
      <c r="C1689" s="5">
        <v>38760</v>
      </c>
      <c r="D1689" s="4" t="s">
        <v>23</v>
      </c>
      <c r="E1689" s="4" t="s">
        <v>527</v>
      </c>
      <c r="F1689" s="4" t="s">
        <v>542</v>
      </c>
      <c r="G1689" s="4" t="s">
        <v>26</v>
      </c>
      <c r="H1689" s="4" t="s">
        <v>18</v>
      </c>
      <c r="I1689" s="4" t="s">
        <v>715</v>
      </c>
      <c r="J1689" s="4" t="s">
        <v>715</v>
      </c>
      <c r="K1689" s="5">
        <v>6288302</v>
      </c>
      <c r="L1689" s="5">
        <v>295358</v>
      </c>
      <c r="M1689" s="5">
        <v>19</v>
      </c>
      <c r="N1689" s="5">
        <v>1</v>
      </c>
      <c r="O1689" s="5">
        <v>1</v>
      </c>
      <c r="P1689" s="5"/>
    </row>
    <row r="1690" spans="1:16" x14ac:dyDescent="0.25">
      <c r="A1690" s="4" t="s">
        <v>54</v>
      </c>
      <c r="B1690" s="4" t="s">
        <v>423</v>
      </c>
      <c r="C1690" s="5">
        <v>38763</v>
      </c>
      <c r="D1690" s="4" t="s">
        <v>23</v>
      </c>
      <c r="E1690" s="4" t="s">
        <v>28</v>
      </c>
      <c r="F1690" s="4" t="s">
        <v>383</v>
      </c>
      <c r="G1690" s="4" t="s">
        <v>26</v>
      </c>
      <c r="H1690" s="4" t="s">
        <v>641</v>
      </c>
      <c r="I1690" s="4" t="s">
        <v>715</v>
      </c>
      <c r="J1690" s="4" t="s">
        <v>715</v>
      </c>
      <c r="K1690" s="5">
        <v>6260371</v>
      </c>
      <c r="L1690" s="5">
        <v>331260</v>
      </c>
      <c r="M1690" s="5">
        <v>19</v>
      </c>
      <c r="N1690" s="5">
        <v>1</v>
      </c>
      <c r="O1690" s="5">
        <v>0.94</v>
      </c>
      <c r="P1690" s="5"/>
    </row>
    <row r="1691" spans="1:16" x14ac:dyDescent="0.25">
      <c r="A1691" s="4" t="s">
        <v>21</v>
      </c>
      <c r="B1691" s="4" t="s">
        <v>423</v>
      </c>
      <c r="C1691" s="5">
        <v>38767</v>
      </c>
      <c r="D1691" s="4" t="s">
        <v>23</v>
      </c>
      <c r="E1691" s="4" t="s">
        <v>381</v>
      </c>
      <c r="F1691" s="4" t="s">
        <v>382</v>
      </c>
      <c r="G1691" s="4" t="s">
        <v>26</v>
      </c>
      <c r="H1691" s="4" t="s">
        <v>18</v>
      </c>
      <c r="I1691" s="4" t="s">
        <v>715</v>
      </c>
      <c r="J1691" s="4" t="s">
        <v>715</v>
      </c>
      <c r="K1691" s="5">
        <v>6266545</v>
      </c>
      <c r="L1691" s="5">
        <v>323448</v>
      </c>
      <c r="M1691" s="5">
        <v>19</v>
      </c>
      <c r="N1691" s="5">
        <v>1</v>
      </c>
      <c r="O1691" s="5">
        <v>6.25</v>
      </c>
      <c r="P1691" s="5"/>
    </row>
    <row r="1692" spans="1:16" x14ac:dyDescent="0.25">
      <c r="A1692" s="4" t="s">
        <v>21</v>
      </c>
      <c r="B1692" s="4" t="s">
        <v>423</v>
      </c>
      <c r="C1692" s="5">
        <v>38785</v>
      </c>
      <c r="D1692" s="4" t="s">
        <v>23</v>
      </c>
      <c r="E1692" s="4" t="s">
        <v>357</v>
      </c>
      <c r="F1692" s="4" t="s">
        <v>461</v>
      </c>
      <c r="G1692" s="4" t="s">
        <v>26</v>
      </c>
      <c r="H1692" s="4" t="s">
        <v>18</v>
      </c>
      <c r="I1692" s="4" t="s">
        <v>715</v>
      </c>
      <c r="J1692" s="4" t="s">
        <v>715</v>
      </c>
      <c r="K1692" s="5">
        <v>6273939</v>
      </c>
      <c r="L1692" s="5">
        <v>338831</v>
      </c>
      <c r="M1692" s="5">
        <v>19</v>
      </c>
      <c r="N1692" s="5">
        <v>1</v>
      </c>
      <c r="O1692" s="5">
        <v>1.6</v>
      </c>
      <c r="P1692" s="5"/>
    </row>
    <row r="1693" spans="1:16" x14ac:dyDescent="0.25">
      <c r="A1693" s="4" t="s">
        <v>21</v>
      </c>
      <c r="B1693" s="4" t="s">
        <v>423</v>
      </c>
      <c r="C1693" s="5">
        <v>38786</v>
      </c>
      <c r="D1693" s="4" t="s">
        <v>23</v>
      </c>
      <c r="E1693" s="4" t="s">
        <v>357</v>
      </c>
      <c r="F1693" s="4" t="s">
        <v>543</v>
      </c>
      <c r="G1693" s="4" t="s">
        <v>26</v>
      </c>
      <c r="H1693" s="4" t="s">
        <v>18</v>
      </c>
      <c r="I1693" s="4" t="s">
        <v>715</v>
      </c>
      <c r="J1693" s="4" t="s">
        <v>715</v>
      </c>
      <c r="K1693" s="5">
        <v>6273866</v>
      </c>
      <c r="L1693" s="5">
        <v>337618</v>
      </c>
      <c r="M1693" s="5">
        <v>19</v>
      </c>
      <c r="N1693" s="5">
        <v>1</v>
      </c>
      <c r="O1693" s="5">
        <v>1.6</v>
      </c>
      <c r="P1693" s="5"/>
    </row>
    <row r="1694" spans="1:16" x14ac:dyDescent="0.25">
      <c r="A1694" s="4" t="s">
        <v>54</v>
      </c>
      <c r="B1694" s="4" t="s">
        <v>423</v>
      </c>
      <c r="C1694" s="5">
        <v>38804</v>
      </c>
      <c r="D1694" s="4" t="s">
        <v>23</v>
      </c>
      <c r="E1694" s="4" t="s">
        <v>28</v>
      </c>
      <c r="F1694" s="4" t="s">
        <v>383</v>
      </c>
      <c r="G1694" s="4" t="s">
        <v>26</v>
      </c>
      <c r="H1694" s="4" t="s">
        <v>641</v>
      </c>
      <c r="I1694" s="4" t="s">
        <v>715</v>
      </c>
      <c r="J1694" s="4" t="s">
        <v>715</v>
      </c>
      <c r="K1694" s="5">
        <v>6259479</v>
      </c>
      <c r="L1694" s="5">
        <v>331109</v>
      </c>
      <c r="M1694" s="5">
        <v>19</v>
      </c>
      <c r="N1694" s="5">
        <v>1</v>
      </c>
      <c r="O1694" s="5">
        <v>1.05</v>
      </c>
      <c r="P1694" s="5"/>
    </row>
    <row r="1695" spans="1:16" x14ac:dyDescent="0.25">
      <c r="A1695" s="4" t="s">
        <v>21</v>
      </c>
      <c r="B1695" s="4" t="s">
        <v>423</v>
      </c>
      <c r="C1695" s="5">
        <v>38815</v>
      </c>
      <c r="D1695" s="4" t="s">
        <v>23</v>
      </c>
      <c r="E1695" s="4" t="s">
        <v>357</v>
      </c>
      <c r="F1695" s="4" t="s">
        <v>369</v>
      </c>
      <c r="G1695" s="4" t="s">
        <v>26</v>
      </c>
      <c r="H1695" s="4" t="s">
        <v>18</v>
      </c>
      <c r="I1695" s="4" t="s">
        <v>715</v>
      </c>
      <c r="J1695" s="4" t="s">
        <v>715</v>
      </c>
      <c r="K1695" s="5">
        <v>6276857</v>
      </c>
      <c r="L1695" s="5">
        <v>345528</v>
      </c>
      <c r="M1695" s="5">
        <v>19</v>
      </c>
      <c r="N1695" s="5">
        <v>1</v>
      </c>
      <c r="O1695" s="5">
        <v>1.52</v>
      </c>
      <c r="P1695" s="5"/>
    </row>
    <row r="1696" spans="1:16" x14ac:dyDescent="0.25">
      <c r="A1696" s="4" t="s">
        <v>21</v>
      </c>
      <c r="B1696" s="4" t="s">
        <v>423</v>
      </c>
      <c r="C1696" s="5">
        <v>38816</v>
      </c>
      <c r="D1696" s="4" t="s">
        <v>23</v>
      </c>
      <c r="E1696" s="4" t="s">
        <v>357</v>
      </c>
      <c r="F1696" s="4" t="s">
        <v>369</v>
      </c>
      <c r="G1696" s="4" t="s">
        <v>26</v>
      </c>
      <c r="H1696" s="4" t="s">
        <v>18</v>
      </c>
      <c r="I1696" s="4" t="s">
        <v>715</v>
      </c>
      <c r="J1696" s="4" t="s">
        <v>715</v>
      </c>
      <c r="K1696" s="5">
        <v>6276836</v>
      </c>
      <c r="L1696" s="5">
        <v>345170</v>
      </c>
      <c r="M1696" s="5">
        <v>19</v>
      </c>
      <c r="N1696" s="5">
        <v>1</v>
      </c>
      <c r="O1696" s="5">
        <v>1.1000000000000001</v>
      </c>
      <c r="P1696" s="5"/>
    </row>
    <row r="1697" spans="1:16" x14ac:dyDescent="0.25">
      <c r="A1697" s="4" t="s">
        <v>21</v>
      </c>
      <c r="B1697" s="4" t="s">
        <v>423</v>
      </c>
      <c r="C1697" s="5">
        <v>38817</v>
      </c>
      <c r="D1697" s="4" t="s">
        <v>23</v>
      </c>
      <c r="E1697" s="4" t="s">
        <v>356</v>
      </c>
      <c r="F1697" s="4" t="s">
        <v>356</v>
      </c>
      <c r="G1697" s="4" t="s">
        <v>26</v>
      </c>
      <c r="H1697" s="4" t="s">
        <v>18</v>
      </c>
      <c r="I1697" s="4" t="s">
        <v>715</v>
      </c>
      <c r="J1697" s="4" t="s">
        <v>715</v>
      </c>
      <c r="K1697" s="5">
        <v>6256852</v>
      </c>
      <c r="L1697" s="5">
        <v>342344</v>
      </c>
      <c r="M1697" s="5">
        <v>19</v>
      </c>
      <c r="N1697" s="5">
        <v>1</v>
      </c>
      <c r="O1697" s="5">
        <v>1</v>
      </c>
      <c r="P1697" s="5"/>
    </row>
    <row r="1698" spans="1:16" x14ac:dyDescent="0.25">
      <c r="A1698" s="4" t="s">
        <v>21</v>
      </c>
      <c r="B1698" s="4" t="s">
        <v>423</v>
      </c>
      <c r="C1698" s="5">
        <v>38818</v>
      </c>
      <c r="D1698" s="4" t="s">
        <v>23</v>
      </c>
      <c r="E1698" s="4" t="s">
        <v>409</v>
      </c>
      <c r="F1698" s="4" t="s">
        <v>544</v>
      </c>
      <c r="G1698" s="4" t="s">
        <v>26</v>
      </c>
      <c r="H1698" s="4" t="s">
        <v>18</v>
      </c>
      <c r="I1698" s="4" t="s">
        <v>715</v>
      </c>
      <c r="J1698" s="4" t="s">
        <v>715</v>
      </c>
      <c r="K1698" s="5">
        <v>6267540</v>
      </c>
      <c r="L1698" s="5">
        <v>307721</v>
      </c>
      <c r="M1698" s="5">
        <v>19</v>
      </c>
      <c r="N1698" s="5">
        <v>1</v>
      </c>
      <c r="O1698" s="5">
        <v>1</v>
      </c>
      <c r="P1698" s="5"/>
    </row>
    <row r="1699" spans="1:16" x14ac:dyDescent="0.25">
      <c r="A1699" s="4" t="s">
        <v>21</v>
      </c>
      <c r="B1699" s="4" t="s">
        <v>423</v>
      </c>
      <c r="C1699" s="5">
        <v>38819</v>
      </c>
      <c r="D1699" s="4" t="s">
        <v>23</v>
      </c>
      <c r="E1699" s="4" t="s">
        <v>381</v>
      </c>
      <c r="F1699" s="4" t="s">
        <v>382</v>
      </c>
      <c r="G1699" s="4" t="s">
        <v>26</v>
      </c>
      <c r="H1699" s="4" t="s">
        <v>18</v>
      </c>
      <c r="I1699" s="4" t="s">
        <v>715</v>
      </c>
      <c r="J1699" s="4" t="s">
        <v>715</v>
      </c>
      <c r="K1699" s="5">
        <v>6266920</v>
      </c>
      <c r="L1699" s="5">
        <v>323862</v>
      </c>
      <c r="M1699" s="5">
        <v>19</v>
      </c>
      <c r="N1699" s="5">
        <v>1</v>
      </c>
      <c r="O1699" s="5">
        <v>1.05</v>
      </c>
      <c r="P1699" s="5"/>
    </row>
    <row r="1700" spans="1:16" x14ac:dyDescent="0.25">
      <c r="A1700" s="4" t="s">
        <v>21</v>
      </c>
      <c r="B1700" s="4" t="s">
        <v>423</v>
      </c>
      <c r="C1700" s="5">
        <v>38820</v>
      </c>
      <c r="D1700" s="4" t="s">
        <v>23</v>
      </c>
      <c r="E1700" s="4" t="s">
        <v>76</v>
      </c>
      <c r="F1700" s="4" t="s">
        <v>456</v>
      </c>
      <c r="G1700" s="4" t="s">
        <v>26</v>
      </c>
      <c r="H1700" s="4" t="s">
        <v>18</v>
      </c>
      <c r="I1700" s="4" t="s">
        <v>715</v>
      </c>
      <c r="J1700" s="4" t="s">
        <v>715</v>
      </c>
      <c r="K1700" s="5">
        <v>6271867</v>
      </c>
      <c r="L1700" s="5">
        <v>326113</v>
      </c>
      <c r="M1700" s="5">
        <v>19</v>
      </c>
      <c r="N1700" s="5">
        <v>1</v>
      </c>
      <c r="O1700" s="5">
        <v>1.61</v>
      </c>
      <c r="P1700" s="5"/>
    </row>
    <row r="1701" spans="1:16" x14ac:dyDescent="0.25">
      <c r="A1701" s="4" t="s">
        <v>21</v>
      </c>
      <c r="B1701" s="4" t="s">
        <v>423</v>
      </c>
      <c r="C1701" s="5">
        <v>38821</v>
      </c>
      <c r="D1701" s="4" t="s">
        <v>23</v>
      </c>
      <c r="E1701" s="4" t="s">
        <v>445</v>
      </c>
      <c r="F1701" s="4" t="s">
        <v>545</v>
      </c>
      <c r="G1701" s="4" t="s">
        <v>26</v>
      </c>
      <c r="H1701" s="4" t="s">
        <v>18</v>
      </c>
      <c r="I1701" s="4" t="s">
        <v>715</v>
      </c>
      <c r="J1701" s="4" t="s">
        <v>715</v>
      </c>
      <c r="K1701" s="5">
        <v>6308319</v>
      </c>
      <c r="L1701" s="5">
        <v>331129</v>
      </c>
      <c r="M1701" s="5">
        <v>19</v>
      </c>
      <c r="N1701" s="5">
        <v>1</v>
      </c>
      <c r="O1701" s="5">
        <v>0.42</v>
      </c>
      <c r="P1701" s="5"/>
    </row>
    <row r="1702" spans="1:16" x14ac:dyDescent="0.25">
      <c r="A1702" s="4" t="s">
        <v>21</v>
      </c>
      <c r="B1702" s="4" t="s">
        <v>423</v>
      </c>
      <c r="C1702" s="5">
        <v>38822</v>
      </c>
      <c r="D1702" s="4" t="s">
        <v>23</v>
      </c>
      <c r="E1702" s="4" t="s">
        <v>76</v>
      </c>
      <c r="F1702" s="4" t="s">
        <v>456</v>
      </c>
      <c r="G1702" s="4" t="s">
        <v>26</v>
      </c>
      <c r="H1702" s="4" t="s">
        <v>18</v>
      </c>
      <c r="I1702" s="4" t="s">
        <v>715</v>
      </c>
      <c r="J1702" s="4" t="s">
        <v>715</v>
      </c>
      <c r="K1702" s="5">
        <v>6271295</v>
      </c>
      <c r="L1702" s="5">
        <v>325691</v>
      </c>
      <c r="M1702" s="5">
        <v>19</v>
      </c>
      <c r="N1702" s="5">
        <v>1</v>
      </c>
      <c r="O1702" s="5">
        <v>1.06</v>
      </c>
      <c r="P1702" s="5"/>
    </row>
    <row r="1703" spans="1:16" x14ac:dyDescent="0.25">
      <c r="A1703" s="4" t="s">
        <v>21</v>
      </c>
      <c r="B1703" s="4" t="s">
        <v>423</v>
      </c>
      <c r="C1703" s="5">
        <v>38823</v>
      </c>
      <c r="D1703" s="4" t="s">
        <v>23</v>
      </c>
      <c r="E1703" s="4" t="s">
        <v>445</v>
      </c>
      <c r="F1703" s="4" t="s">
        <v>545</v>
      </c>
      <c r="G1703" s="4" t="s">
        <v>26</v>
      </c>
      <c r="H1703" s="4" t="s">
        <v>18</v>
      </c>
      <c r="I1703" s="4" t="s">
        <v>715</v>
      </c>
      <c r="J1703" s="4" t="s">
        <v>715</v>
      </c>
      <c r="K1703" s="5">
        <v>6307928</v>
      </c>
      <c r="L1703" s="5">
        <v>331015</v>
      </c>
      <c r="M1703" s="5">
        <v>19</v>
      </c>
      <c r="N1703" s="5">
        <v>1</v>
      </c>
      <c r="O1703" s="5">
        <v>0.43</v>
      </c>
      <c r="P1703" s="5"/>
    </row>
    <row r="1704" spans="1:16" x14ac:dyDescent="0.25">
      <c r="A1704" s="4" t="s">
        <v>21</v>
      </c>
      <c r="B1704" s="4" t="s">
        <v>423</v>
      </c>
      <c r="C1704" s="5">
        <v>38824</v>
      </c>
      <c r="D1704" s="4" t="s">
        <v>23</v>
      </c>
      <c r="E1704" s="4" t="s">
        <v>356</v>
      </c>
      <c r="F1704" s="4" t="s">
        <v>356</v>
      </c>
      <c r="G1704" s="4" t="s">
        <v>26</v>
      </c>
      <c r="H1704" s="4" t="s">
        <v>18</v>
      </c>
      <c r="I1704" s="4" t="s">
        <v>715</v>
      </c>
      <c r="J1704" s="4" t="s">
        <v>715</v>
      </c>
      <c r="K1704" s="5">
        <v>6256948</v>
      </c>
      <c r="L1704" s="5">
        <v>342661</v>
      </c>
      <c r="M1704" s="5">
        <v>19</v>
      </c>
      <c r="N1704" s="5">
        <v>1</v>
      </c>
      <c r="O1704" s="5">
        <v>1</v>
      </c>
      <c r="P1704" s="5"/>
    </row>
    <row r="1705" spans="1:16" x14ac:dyDescent="0.25">
      <c r="A1705" s="4" t="s">
        <v>21</v>
      </c>
      <c r="B1705" s="4" t="s">
        <v>423</v>
      </c>
      <c r="C1705" s="5">
        <v>38825</v>
      </c>
      <c r="D1705" s="4" t="s">
        <v>23</v>
      </c>
      <c r="E1705" s="4" t="s">
        <v>381</v>
      </c>
      <c r="F1705" s="4" t="s">
        <v>382</v>
      </c>
      <c r="G1705" s="4" t="s">
        <v>26</v>
      </c>
      <c r="H1705" s="4" t="s">
        <v>18</v>
      </c>
      <c r="I1705" s="4" t="s">
        <v>715</v>
      </c>
      <c r="J1705" s="4" t="s">
        <v>715</v>
      </c>
      <c r="K1705" s="5">
        <v>6266491</v>
      </c>
      <c r="L1705" s="5">
        <v>327108</v>
      </c>
      <c r="M1705" s="5">
        <v>19</v>
      </c>
      <c r="N1705" s="5">
        <v>1</v>
      </c>
      <c r="O1705" s="5">
        <v>1.2</v>
      </c>
      <c r="P1705" s="5"/>
    </row>
    <row r="1706" spans="1:16" x14ac:dyDescent="0.25">
      <c r="A1706" s="4" t="s">
        <v>21</v>
      </c>
      <c r="B1706" s="4" t="s">
        <v>423</v>
      </c>
      <c r="C1706" s="5">
        <v>38826</v>
      </c>
      <c r="D1706" s="4" t="s">
        <v>23</v>
      </c>
      <c r="E1706" s="4" t="s">
        <v>381</v>
      </c>
      <c r="F1706" s="4" t="s">
        <v>382</v>
      </c>
      <c r="G1706" s="4" t="s">
        <v>26</v>
      </c>
      <c r="H1706" s="4" t="s">
        <v>18</v>
      </c>
      <c r="I1706" s="4" t="s">
        <v>715</v>
      </c>
      <c r="J1706" s="4" t="s">
        <v>715</v>
      </c>
      <c r="K1706" s="5">
        <v>6266685</v>
      </c>
      <c r="L1706" s="5">
        <v>326818</v>
      </c>
      <c r="M1706" s="5">
        <v>19</v>
      </c>
      <c r="N1706" s="5">
        <v>1</v>
      </c>
      <c r="O1706" s="5">
        <v>1</v>
      </c>
      <c r="P1706" s="5"/>
    </row>
    <row r="1707" spans="1:16" x14ac:dyDescent="0.25">
      <c r="A1707" s="4" t="s">
        <v>13</v>
      </c>
      <c r="B1707" s="4" t="s">
        <v>423</v>
      </c>
      <c r="C1707" s="5">
        <v>38867</v>
      </c>
      <c r="D1707" s="4" t="s">
        <v>33</v>
      </c>
      <c r="E1707" s="4" t="s">
        <v>43</v>
      </c>
      <c r="F1707" s="4" t="s">
        <v>546</v>
      </c>
      <c r="G1707" s="4" t="s">
        <v>26</v>
      </c>
      <c r="H1707" s="4" t="s">
        <v>27</v>
      </c>
      <c r="I1707" s="4" t="s">
        <v>715</v>
      </c>
      <c r="J1707" s="4" t="s">
        <v>715</v>
      </c>
      <c r="K1707" s="5">
        <v>6062802</v>
      </c>
      <c r="L1707" s="5">
        <v>281842</v>
      </c>
      <c r="M1707" s="5">
        <v>19</v>
      </c>
      <c r="N1707" s="5">
        <v>1</v>
      </c>
      <c r="O1707" s="5">
        <v>8</v>
      </c>
      <c r="P1707" s="5"/>
    </row>
    <row r="1708" spans="1:16" x14ac:dyDescent="0.25">
      <c r="A1708" s="4" t="s">
        <v>13</v>
      </c>
      <c r="B1708" s="4" t="s">
        <v>423</v>
      </c>
      <c r="C1708" s="5">
        <v>38868</v>
      </c>
      <c r="D1708" s="4" t="s">
        <v>33</v>
      </c>
      <c r="E1708" s="4" t="s">
        <v>43</v>
      </c>
      <c r="F1708" s="4" t="s">
        <v>546</v>
      </c>
      <c r="G1708" s="4" t="s">
        <v>26</v>
      </c>
      <c r="H1708" s="4" t="s">
        <v>27</v>
      </c>
      <c r="I1708" s="4" t="s">
        <v>715</v>
      </c>
      <c r="J1708" s="4" t="s">
        <v>715</v>
      </c>
      <c r="K1708" s="5">
        <v>6062990</v>
      </c>
      <c r="L1708" s="5">
        <v>282109</v>
      </c>
      <c r="M1708" s="5">
        <v>19</v>
      </c>
      <c r="N1708" s="5">
        <v>1</v>
      </c>
      <c r="O1708" s="5">
        <v>6</v>
      </c>
      <c r="P1708" s="5"/>
    </row>
    <row r="1709" spans="1:16" x14ac:dyDescent="0.25">
      <c r="A1709" s="4" t="s">
        <v>21</v>
      </c>
      <c r="B1709" s="4" t="s">
        <v>423</v>
      </c>
      <c r="C1709" s="5">
        <v>38870</v>
      </c>
      <c r="D1709" s="4" t="s">
        <v>33</v>
      </c>
      <c r="E1709" s="4" t="s">
        <v>35</v>
      </c>
      <c r="F1709" s="4" t="s">
        <v>35</v>
      </c>
      <c r="G1709" s="4" t="s">
        <v>26</v>
      </c>
      <c r="H1709" s="4" t="s">
        <v>27</v>
      </c>
      <c r="I1709" s="4" t="s">
        <v>715</v>
      </c>
      <c r="J1709" s="4" t="s">
        <v>638</v>
      </c>
      <c r="K1709" s="5">
        <v>6136130</v>
      </c>
      <c r="L1709" s="5">
        <v>312438</v>
      </c>
      <c r="M1709" s="5">
        <v>19</v>
      </c>
      <c r="N1709" s="5">
        <v>1</v>
      </c>
      <c r="O1709" s="5">
        <v>10</v>
      </c>
      <c r="P1709" s="5"/>
    </row>
    <row r="1710" spans="1:16" x14ac:dyDescent="0.25">
      <c r="A1710" s="4" t="s">
        <v>21</v>
      </c>
      <c r="B1710" s="4" t="s">
        <v>423</v>
      </c>
      <c r="C1710" s="5">
        <v>38871</v>
      </c>
      <c r="D1710" s="4" t="s">
        <v>33</v>
      </c>
      <c r="E1710" s="4" t="s">
        <v>35</v>
      </c>
      <c r="F1710" s="4" t="s">
        <v>35</v>
      </c>
      <c r="G1710" s="4" t="s">
        <v>26</v>
      </c>
      <c r="H1710" s="4" t="s">
        <v>27</v>
      </c>
      <c r="I1710" s="4" t="s">
        <v>715</v>
      </c>
      <c r="J1710" s="4" t="s">
        <v>638</v>
      </c>
      <c r="K1710" s="5">
        <v>6163768</v>
      </c>
      <c r="L1710" s="5">
        <v>312150</v>
      </c>
      <c r="M1710" s="5">
        <v>19</v>
      </c>
      <c r="N1710" s="5">
        <v>1</v>
      </c>
      <c r="O1710" s="5">
        <v>17</v>
      </c>
      <c r="P1710" s="5"/>
    </row>
    <row r="1711" spans="1:16" x14ac:dyDescent="0.25">
      <c r="A1711" s="4" t="s">
        <v>21</v>
      </c>
      <c r="B1711" s="4" t="s">
        <v>423</v>
      </c>
      <c r="C1711" s="5">
        <v>38873</v>
      </c>
      <c r="D1711" s="4" t="s">
        <v>37</v>
      </c>
      <c r="E1711" s="4" t="s">
        <v>38</v>
      </c>
      <c r="F1711" s="4" t="s">
        <v>547</v>
      </c>
      <c r="G1711" s="4" t="s">
        <v>26</v>
      </c>
      <c r="H1711" s="4" t="s">
        <v>27</v>
      </c>
      <c r="I1711" s="4" t="s">
        <v>715</v>
      </c>
      <c r="J1711" s="4" t="s">
        <v>638</v>
      </c>
      <c r="K1711" s="5">
        <v>6163727</v>
      </c>
      <c r="L1711" s="5">
        <v>328430</v>
      </c>
      <c r="M1711" s="5">
        <v>19</v>
      </c>
      <c r="N1711" s="5">
        <v>1</v>
      </c>
      <c r="O1711" s="5">
        <v>37.5</v>
      </c>
      <c r="P1711" s="5"/>
    </row>
    <row r="1712" spans="1:16" x14ac:dyDescent="0.25">
      <c r="A1712" s="4" t="s">
        <v>13</v>
      </c>
      <c r="B1712" s="4" t="s">
        <v>423</v>
      </c>
      <c r="C1712" s="5">
        <v>38876</v>
      </c>
      <c r="D1712" s="4" t="s">
        <v>33</v>
      </c>
      <c r="E1712" s="4" t="s">
        <v>35</v>
      </c>
      <c r="F1712" s="4" t="s">
        <v>35</v>
      </c>
      <c r="G1712" s="4" t="s">
        <v>26</v>
      </c>
      <c r="H1712" s="4" t="s">
        <v>27</v>
      </c>
      <c r="I1712" s="4" t="s">
        <v>715</v>
      </c>
      <c r="J1712" s="4" t="s">
        <v>715</v>
      </c>
      <c r="K1712" s="5">
        <v>6140129</v>
      </c>
      <c r="L1712" s="5">
        <v>319373</v>
      </c>
      <c r="M1712" s="5">
        <v>19</v>
      </c>
      <c r="N1712" s="5">
        <v>1</v>
      </c>
      <c r="O1712" s="5">
        <v>12</v>
      </c>
      <c r="P1712" s="5"/>
    </row>
    <row r="1713" spans="1:16" x14ac:dyDescent="0.25">
      <c r="A1713" s="4" t="s">
        <v>13</v>
      </c>
      <c r="B1713" s="4" t="s">
        <v>423</v>
      </c>
      <c r="C1713" s="5">
        <v>38878</v>
      </c>
      <c r="D1713" s="4" t="s">
        <v>37</v>
      </c>
      <c r="E1713" s="4" t="s">
        <v>73</v>
      </c>
      <c r="F1713" s="4" t="s">
        <v>73</v>
      </c>
      <c r="G1713" s="4" t="s">
        <v>26</v>
      </c>
      <c r="H1713" s="4" t="s">
        <v>27</v>
      </c>
      <c r="I1713" s="4" t="s">
        <v>715</v>
      </c>
      <c r="J1713" s="4" t="s">
        <v>715</v>
      </c>
      <c r="K1713" s="5">
        <v>6159253</v>
      </c>
      <c r="L1713" s="5">
        <v>312406</v>
      </c>
      <c r="M1713" s="5">
        <v>19</v>
      </c>
      <c r="N1713" s="5">
        <v>3</v>
      </c>
      <c r="O1713" s="5">
        <v>9.31</v>
      </c>
      <c r="P1713" s="5"/>
    </row>
    <row r="1714" spans="1:16" x14ac:dyDescent="0.25">
      <c r="A1714" s="4" t="s">
        <v>21</v>
      </c>
      <c r="B1714" s="4" t="s">
        <v>423</v>
      </c>
      <c r="C1714" s="5">
        <v>38879</v>
      </c>
      <c r="D1714" s="4" t="s">
        <v>37</v>
      </c>
      <c r="E1714" s="4" t="s">
        <v>73</v>
      </c>
      <c r="F1714" s="4" t="s">
        <v>73</v>
      </c>
      <c r="G1714" s="4" t="s">
        <v>26</v>
      </c>
      <c r="H1714" s="4" t="s">
        <v>27</v>
      </c>
      <c r="I1714" s="4" t="s">
        <v>715</v>
      </c>
      <c r="J1714" s="4" t="s">
        <v>638</v>
      </c>
      <c r="K1714" s="5">
        <v>6148460</v>
      </c>
      <c r="L1714" s="5">
        <v>316143</v>
      </c>
      <c r="M1714" s="5">
        <v>19</v>
      </c>
      <c r="N1714" s="5">
        <v>1</v>
      </c>
      <c r="O1714" s="5">
        <v>23.2</v>
      </c>
      <c r="P1714" s="5"/>
    </row>
    <row r="1715" spans="1:16" x14ac:dyDescent="0.25">
      <c r="A1715" s="4" t="s">
        <v>13</v>
      </c>
      <c r="B1715" s="4" t="s">
        <v>423</v>
      </c>
      <c r="C1715" s="5">
        <v>38880</v>
      </c>
      <c r="D1715" s="4" t="s">
        <v>33</v>
      </c>
      <c r="E1715" s="4" t="s">
        <v>35</v>
      </c>
      <c r="F1715" s="4" t="s">
        <v>35</v>
      </c>
      <c r="G1715" s="4" t="s">
        <v>26</v>
      </c>
      <c r="H1715" s="4" t="s">
        <v>27</v>
      </c>
      <c r="I1715" s="4" t="s">
        <v>715</v>
      </c>
      <c r="J1715" s="4" t="s">
        <v>715</v>
      </c>
      <c r="K1715" s="5">
        <v>6138359</v>
      </c>
      <c r="L1715" s="5">
        <v>311594</v>
      </c>
      <c r="M1715" s="5">
        <v>19</v>
      </c>
      <c r="N1715" s="5">
        <v>6</v>
      </c>
      <c r="O1715" s="5">
        <v>20</v>
      </c>
      <c r="P1715" s="5"/>
    </row>
    <row r="1716" spans="1:16" x14ac:dyDescent="0.25">
      <c r="A1716" s="4" t="s">
        <v>54</v>
      </c>
      <c r="B1716" s="4" t="s">
        <v>423</v>
      </c>
      <c r="C1716" s="5">
        <v>38882</v>
      </c>
      <c r="D1716" s="4" t="s">
        <v>97</v>
      </c>
      <c r="E1716" s="4" t="s">
        <v>218</v>
      </c>
      <c r="F1716" s="4" t="s">
        <v>471</v>
      </c>
      <c r="G1716" s="4" t="s">
        <v>57</v>
      </c>
      <c r="H1716" s="4" t="s">
        <v>641</v>
      </c>
      <c r="I1716" s="4" t="s">
        <v>715</v>
      </c>
      <c r="J1716" s="4" t="s">
        <v>715</v>
      </c>
      <c r="K1716" s="5">
        <v>5700462</v>
      </c>
      <c r="L1716" s="5">
        <v>722865</v>
      </c>
      <c r="M1716" s="5">
        <v>18</v>
      </c>
      <c r="N1716" s="5">
        <v>1</v>
      </c>
      <c r="O1716" s="5">
        <v>0.5</v>
      </c>
      <c r="P1716" s="5"/>
    </row>
    <row r="1717" spans="1:16" x14ac:dyDescent="0.25">
      <c r="A1717" s="4" t="s">
        <v>21</v>
      </c>
      <c r="B1717" s="4" t="s">
        <v>423</v>
      </c>
      <c r="C1717" s="5">
        <v>38885</v>
      </c>
      <c r="D1717" s="4" t="s">
        <v>37</v>
      </c>
      <c r="E1717" s="4" t="s">
        <v>40</v>
      </c>
      <c r="F1717" s="4" t="s">
        <v>40</v>
      </c>
      <c r="G1717" s="4" t="s">
        <v>26</v>
      </c>
      <c r="H1717" s="4" t="s">
        <v>27</v>
      </c>
      <c r="I1717" s="4" t="s">
        <v>715</v>
      </c>
      <c r="J1717" s="4" t="s">
        <v>638</v>
      </c>
      <c r="K1717" s="5">
        <v>6148923</v>
      </c>
      <c r="L1717" s="5">
        <v>317126</v>
      </c>
      <c r="M1717" s="5">
        <v>19</v>
      </c>
      <c r="N1717" s="5">
        <v>1</v>
      </c>
      <c r="O1717" s="5">
        <v>11</v>
      </c>
      <c r="P1717" s="5"/>
    </row>
    <row r="1718" spans="1:16" x14ac:dyDescent="0.25">
      <c r="A1718" s="4" t="s">
        <v>13</v>
      </c>
      <c r="B1718" s="4" t="s">
        <v>423</v>
      </c>
      <c r="C1718" s="5">
        <v>38886</v>
      </c>
      <c r="D1718" s="4" t="s">
        <v>33</v>
      </c>
      <c r="E1718" s="4" t="s">
        <v>35</v>
      </c>
      <c r="F1718" s="4" t="s">
        <v>35</v>
      </c>
      <c r="G1718" s="4" t="s">
        <v>26</v>
      </c>
      <c r="H1718" s="4" t="s">
        <v>27</v>
      </c>
      <c r="I1718" s="4" t="s">
        <v>715</v>
      </c>
      <c r="J1718" s="4" t="s">
        <v>715</v>
      </c>
      <c r="K1718" s="5">
        <v>6137845</v>
      </c>
      <c r="L1718" s="5">
        <v>311960</v>
      </c>
      <c r="M1718" s="5">
        <v>19</v>
      </c>
      <c r="N1718" s="5">
        <v>2</v>
      </c>
      <c r="O1718" s="5">
        <v>43</v>
      </c>
      <c r="P1718" s="5"/>
    </row>
    <row r="1719" spans="1:16" x14ac:dyDescent="0.25">
      <c r="A1719" s="4" t="s">
        <v>21</v>
      </c>
      <c r="B1719" s="4" t="s">
        <v>423</v>
      </c>
      <c r="C1719" s="5">
        <v>38887</v>
      </c>
      <c r="D1719" s="4" t="s">
        <v>37</v>
      </c>
      <c r="E1719" s="4" t="s">
        <v>73</v>
      </c>
      <c r="F1719" s="4" t="s">
        <v>73</v>
      </c>
      <c r="G1719" s="4" t="s">
        <v>26</v>
      </c>
      <c r="H1719" s="4" t="s">
        <v>27</v>
      </c>
      <c r="I1719" s="4" t="s">
        <v>715</v>
      </c>
      <c r="J1719" s="4" t="s">
        <v>638</v>
      </c>
      <c r="K1719" s="5">
        <v>6148509</v>
      </c>
      <c r="L1719" s="5">
        <v>316660</v>
      </c>
      <c r="M1719" s="5">
        <v>19</v>
      </c>
      <c r="N1719" s="5">
        <v>1</v>
      </c>
      <c r="O1719" s="5">
        <v>11</v>
      </c>
      <c r="P1719" s="5"/>
    </row>
    <row r="1720" spans="1:16" x14ac:dyDescent="0.25">
      <c r="A1720" s="4" t="s">
        <v>54</v>
      </c>
      <c r="B1720" s="4" t="s">
        <v>423</v>
      </c>
      <c r="C1720" s="5">
        <v>38890</v>
      </c>
      <c r="D1720" s="4" t="s">
        <v>97</v>
      </c>
      <c r="E1720" s="4" t="s">
        <v>184</v>
      </c>
      <c r="F1720" s="4" t="s">
        <v>472</v>
      </c>
      <c r="G1720" s="4" t="s">
        <v>57</v>
      </c>
      <c r="H1720" s="4" t="s">
        <v>641</v>
      </c>
      <c r="I1720" s="4" t="s">
        <v>715</v>
      </c>
      <c r="J1720" s="4" t="s">
        <v>715</v>
      </c>
      <c r="K1720" s="5">
        <v>5697746</v>
      </c>
      <c r="L1720" s="5">
        <v>722729</v>
      </c>
      <c r="M1720" s="5">
        <v>18</v>
      </c>
      <c r="N1720" s="5">
        <v>1</v>
      </c>
      <c r="O1720" s="5">
        <v>1</v>
      </c>
      <c r="P1720" s="5"/>
    </row>
    <row r="1721" spans="1:16" x14ac:dyDescent="0.25">
      <c r="A1721" s="4" t="s">
        <v>21</v>
      </c>
      <c r="B1721" s="4" t="s">
        <v>423</v>
      </c>
      <c r="C1721" s="5">
        <v>38891</v>
      </c>
      <c r="D1721" s="4" t="s">
        <v>37</v>
      </c>
      <c r="E1721" s="4" t="s">
        <v>73</v>
      </c>
      <c r="F1721" s="4" t="s">
        <v>73</v>
      </c>
      <c r="G1721" s="4" t="s">
        <v>26</v>
      </c>
      <c r="H1721" s="4" t="s">
        <v>27</v>
      </c>
      <c r="I1721" s="4" t="s">
        <v>715</v>
      </c>
      <c r="J1721" s="4" t="s">
        <v>638</v>
      </c>
      <c r="K1721" s="5">
        <v>6147876</v>
      </c>
      <c r="L1721" s="5">
        <v>316960</v>
      </c>
      <c r="M1721" s="5">
        <v>19</v>
      </c>
      <c r="N1721" s="5">
        <v>1</v>
      </c>
      <c r="O1721" s="5">
        <v>4.5</v>
      </c>
      <c r="P1721" s="5"/>
    </row>
    <row r="1722" spans="1:16" x14ac:dyDescent="0.25">
      <c r="A1722" s="4" t="s">
        <v>21</v>
      </c>
      <c r="B1722" s="4" t="s">
        <v>423</v>
      </c>
      <c r="C1722" s="5">
        <v>38892</v>
      </c>
      <c r="D1722" s="4" t="s">
        <v>33</v>
      </c>
      <c r="E1722" s="4" t="s">
        <v>35</v>
      </c>
      <c r="F1722" s="4" t="s">
        <v>35</v>
      </c>
      <c r="G1722" s="4" t="s">
        <v>26</v>
      </c>
      <c r="H1722" s="4" t="s">
        <v>27</v>
      </c>
      <c r="I1722" s="4" t="s">
        <v>715</v>
      </c>
      <c r="J1722" s="4" t="s">
        <v>715</v>
      </c>
      <c r="K1722" s="5">
        <v>6137457</v>
      </c>
      <c r="L1722" s="5">
        <v>307892</v>
      </c>
      <c r="M1722" s="5">
        <v>19</v>
      </c>
      <c r="N1722" s="5">
        <v>1</v>
      </c>
      <c r="O1722" s="5">
        <v>12</v>
      </c>
      <c r="P1722" s="5"/>
    </row>
    <row r="1723" spans="1:16" x14ac:dyDescent="0.25">
      <c r="A1723" s="4" t="s">
        <v>13</v>
      </c>
      <c r="B1723" s="4" t="s">
        <v>423</v>
      </c>
      <c r="C1723" s="5">
        <v>38893</v>
      </c>
      <c r="D1723" s="4" t="s">
        <v>33</v>
      </c>
      <c r="E1723" s="4" t="s">
        <v>43</v>
      </c>
      <c r="F1723" s="4" t="s">
        <v>546</v>
      </c>
      <c r="G1723" s="4" t="s">
        <v>26</v>
      </c>
      <c r="H1723" s="4" t="s">
        <v>27</v>
      </c>
      <c r="I1723" s="4" t="s">
        <v>715</v>
      </c>
      <c r="J1723" s="4" t="s">
        <v>715</v>
      </c>
      <c r="K1723" s="5">
        <v>6063295</v>
      </c>
      <c r="L1723" s="5">
        <v>280832</v>
      </c>
      <c r="M1723" s="5">
        <v>19</v>
      </c>
      <c r="N1723" s="5">
        <v>1</v>
      </c>
      <c r="O1723" s="5">
        <v>8</v>
      </c>
      <c r="P1723" s="5"/>
    </row>
    <row r="1724" spans="1:16" x14ac:dyDescent="0.25">
      <c r="A1724" s="4" t="s">
        <v>13</v>
      </c>
      <c r="B1724" s="4" t="s">
        <v>423</v>
      </c>
      <c r="C1724" s="5">
        <v>38895</v>
      </c>
      <c r="D1724" s="4" t="s">
        <v>33</v>
      </c>
      <c r="E1724" s="4" t="s">
        <v>43</v>
      </c>
      <c r="F1724" s="4" t="s">
        <v>430</v>
      </c>
      <c r="G1724" s="4" t="s">
        <v>26</v>
      </c>
      <c r="H1724" s="4" t="s">
        <v>27</v>
      </c>
      <c r="I1724" s="4" t="s">
        <v>715</v>
      </c>
      <c r="J1724" s="4" t="s">
        <v>715</v>
      </c>
      <c r="K1724" s="5">
        <v>6074128</v>
      </c>
      <c r="L1724" s="5">
        <v>285176</v>
      </c>
      <c r="M1724" s="5">
        <v>19</v>
      </c>
      <c r="N1724" s="5">
        <v>3</v>
      </c>
      <c r="O1724" s="5">
        <v>30</v>
      </c>
      <c r="P1724" s="5"/>
    </row>
    <row r="1725" spans="1:16" x14ac:dyDescent="0.25">
      <c r="A1725" s="4" t="s">
        <v>13</v>
      </c>
      <c r="B1725" s="4" t="s">
        <v>423</v>
      </c>
      <c r="C1725" s="5">
        <v>38910</v>
      </c>
      <c r="D1725" s="4" t="s">
        <v>33</v>
      </c>
      <c r="E1725" s="4" t="s">
        <v>43</v>
      </c>
      <c r="F1725" s="4" t="s">
        <v>546</v>
      </c>
      <c r="G1725" s="4" t="s">
        <v>26</v>
      </c>
      <c r="H1725" s="4" t="s">
        <v>27</v>
      </c>
      <c r="I1725" s="4" t="s">
        <v>715</v>
      </c>
      <c r="J1725" s="4" t="s">
        <v>715</v>
      </c>
      <c r="K1725" s="5">
        <v>6063426</v>
      </c>
      <c r="L1725" s="5">
        <v>281344</v>
      </c>
      <c r="M1725" s="5">
        <v>19</v>
      </c>
      <c r="N1725" s="5">
        <v>1</v>
      </c>
      <c r="O1725" s="5">
        <v>8</v>
      </c>
      <c r="P1725" s="5"/>
    </row>
    <row r="1726" spans="1:16" x14ac:dyDescent="0.25">
      <c r="A1726" s="4" t="s">
        <v>21</v>
      </c>
      <c r="B1726" s="4" t="s">
        <v>423</v>
      </c>
      <c r="C1726" s="5">
        <v>38914</v>
      </c>
      <c r="D1726" s="4" t="s">
        <v>37</v>
      </c>
      <c r="E1726" s="4" t="s">
        <v>73</v>
      </c>
      <c r="F1726" s="4" t="s">
        <v>73</v>
      </c>
      <c r="G1726" s="4" t="s">
        <v>26</v>
      </c>
      <c r="H1726" s="4" t="s">
        <v>27</v>
      </c>
      <c r="I1726" s="4" t="s">
        <v>715</v>
      </c>
      <c r="J1726" s="4" t="s">
        <v>638</v>
      </c>
      <c r="K1726" s="5">
        <v>6148681</v>
      </c>
      <c r="L1726" s="5">
        <v>316483</v>
      </c>
      <c r="M1726" s="5">
        <v>19</v>
      </c>
      <c r="N1726" s="5">
        <v>1</v>
      </c>
      <c r="O1726" s="5">
        <v>11</v>
      </c>
      <c r="P1726" s="5"/>
    </row>
    <row r="1727" spans="1:16" x14ac:dyDescent="0.25">
      <c r="A1727" s="4" t="s">
        <v>21</v>
      </c>
      <c r="B1727" s="4" t="s">
        <v>423</v>
      </c>
      <c r="C1727" s="5">
        <v>38920</v>
      </c>
      <c r="D1727" s="4" t="s">
        <v>23</v>
      </c>
      <c r="E1727" s="4" t="s">
        <v>76</v>
      </c>
      <c r="F1727" s="4" t="s">
        <v>529</v>
      </c>
      <c r="G1727" s="4" t="s">
        <v>26</v>
      </c>
      <c r="H1727" s="4" t="s">
        <v>18</v>
      </c>
      <c r="I1727" s="4" t="s">
        <v>715</v>
      </c>
      <c r="J1727" s="4" t="s">
        <v>715</v>
      </c>
      <c r="K1727" s="5">
        <v>6268777</v>
      </c>
      <c r="L1727" s="5">
        <v>317838</v>
      </c>
      <c r="M1727" s="5">
        <v>19</v>
      </c>
      <c r="N1727" s="5">
        <v>1</v>
      </c>
      <c r="O1727" s="5">
        <v>1.08</v>
      </c>
      <c r="P1727" s="5"/>
    </row>
    <row r="1728" spans="1:16" x14ac:dyDescent="0.25">
      <c r="A1728" s="4" t="s">
        <v>21</v>
      </c>
      <c r="B1728" s="4" t="s">
        <v>423</v>
      </c>
      <c r="C1728" s="5">
        <v>38921</v>
      </c>
      <c r="D1728" s="4" t="s">
        <v>23</v>
      </c>
      <c r="E1728" s="4" t="s">
        <v>357</v>
      </c>
      <c r="F1728" s="4" t="s">
        <v>358</v>
      </c>
      <c r="G1728" s="4" t="s">
        <v>26</v>
      </c>
      <c r="H1728" s="4" t="s">
        <v>18</v>
      </c>
      <c r="I1728" s="4" t="s">
        <v>715</v>
      </c>
      <c r="J1728" s="4" t="s">
        <v>715</v>
      </c>
      <c r="K1728" s="5">
        <v>6275618</v>
      </c>
      <c r="L1728" s="5">
        <v>340861</v>
      </c>
      <c r="M1728" s="5">
        <v>19</v>
      </c>
      <c r="N1728" s="5">
        <v>1</v>
      </c>
      <c r="O1728" s="5">
        <v>1.01</v>
      </c>
      <c r="P1728" s="5"/>
    </row>
    <row r="1729" spans="1:16" x14ac:dyDescent="0.25">
      <c r="A1729" s="4" t="s">
        <v>21</v>
      </c>
      <c r="B1729" s="4" t="s">
        <v>423</v>
      </c>
      <c r="C1729" s="5">
        <v>38922</v>
      </c>
      <c r="D1729" s="4" t="s">
        <v>23</v>
      </c>
      <c r="E1729" s="4" t="s">
        <v>356</v>
      </c>
      <c r="F1729" s="4" t="s">
        <v>356</v>
      </c>
      <c r="G1729" s="4" t="s">
        <v>26</v>
      </c>
      <c r="H1729" s="4" t="s">
        <v>18</v>
      </c>
      <c r="I1729" s="4" t="s">
        <v>715</v>
      </c>
      <c r="J1729" s="4" t="s">
        <v>715</v>
      </c>
      <c r="K1729" s="5">
        <v>6256651</v>
      </c>
      <c r="L1729" s="5">
        <v>342636</v>
      </c>
      <c r="M1729" s="5">
        <v>19</v>
      </c>
      <c r="N1729" s="5">
        <v>1</v>
      </c>
      <c r="O1729" s="5">
        <v>1.6</v>
      </c>
      <c r="P1729" s="5"/>
    </row>
    <row r="1730" spans="1:16" x14ac:dyDescent="0.25">
      <c r="A1730" s="4" t="s">
        <v>21</v>
      </c>
      <c r="B1730" s="4" t="s">
        <v>423</v>
      </c>
      <c r="C1730" s="5">
        <v>38923</v>
      </c>
      <c r="D1730" s="4" t="s">
        <v>23</v>
      </c>
      <c r="E1730" s="4" t="s">
        <v>356</v>
      </c>
      <c r="F1730" s="4" t="s">
        <v>531</v>
      </c>
      <c r="G1730" s="4" t="s">
        <v>26</v>
      </c>
      <c r="H1730" s="4" t="s">
        <v>18</v>
      </c>
      <c r="I1730" s="4" t="s">
        <v>715</v>
      </c>
      <c r="J1730" s="4" t="s">
        <v>715</v>
      </c>
      <c r="K1730" s="5">
        <v>6261825</v>
      </c>
      <c r="L1730" s="5">
        <v>344894</v>
      </c>
      <c r="M1730" s="5">
        <v>19</v>
      </c>
      <c r="N1730" s="5">
        <v>1</v>
      </c>
      <c r="O1730" s="5">
        <v>1.06</v>
      </c>
      <c r="P1730" s="5"/>
    </row>
    <row r="1731" spans="1:16" x14ac:dyDescent="0.25">
      <c r="A1731" s="4" t="s">
        <v>21</v>
      </c>
      <c r="B1731" s="4" t="s">
        <v>423</v>
      </c>
      <c r="C1731" s="5">
        <v>38924</v>
      </c>
      <c r="D1731" s="4" t="s">
        <v>23</v>
      </c>
      <c r="E1731" s="4" t="s">
        <v>401</v>
      </c>
      <c r="F1731" s="4" t="s">
        <v>428</v>
      </c>
      <c r="G1731" s="4" t="s">
        <v>26</v>
      </c>
      <c r="H1731" s="4" t="s">
        <v>18</v>
      </c>
      <c r="I1731" s="4" t="s">
        <v>715</v>
      </c>
      <c r="J1731" s="4" t="s">
        <v>715</v>
      </c>
      <c r="K1731" s="5">
        <v>6345184</v>
      </c>
      <c r="L1731" s="5">
        <v>341574</v>
      </c>
      <c r="M1731" s="5">
        <v>19</v>
      </c>
      <c r="N1731" s="5">
        <v>1</v>
      </c>
      <c r="O1731" s="5">
        <v>0.98</v>
      </c>
      <c r="P1731" s="5"/>
    </row>
    <row r="1732" spans="1:16" x14ac:dyDescent="0.25">
      <c r="A1732" s="4" t="s">
        <v>21</v>
      </c>
      <c r="B1732" s="4" t="s">
        <v>423</v>
      </c>
      <c r="C1732" s="5">
        <v>38925</v>
      </c>
      <c r="D1732" s="4" t="s">
        <v>23</v>
      </c>
      <c r="E1732" s="4" t="s">
        <v>401</v>
      </c>
      <c r="F1732" s="4" t="s">
        <v>428</v>
      </c>
      <c r="G1732" s="4" t="s">
        <v>26</v>
      </c>
      <c r="H1732" s="4" t="s">
        <v>18</v>
      </c>
      <c r="I1732" s="4" t="s">
        <v>715</v>
      </c>
      <c r="J1732" s="4" t="s">
        <v>715</v>
      </c>
      <c r="K1732" s="5">
        <v>6345471</v>
      </c>
      <c r="L1732" s="5">
        <v>341345</v>
      </c>
      <c r="M1732" s="5">
        <v>19</v>
      </c>
      <c r="N1732" s="5">
        <v>1</v>
      </c>
      <c r="O1732" s="5">
        <v>1.05</v>
      </c>
      <c r="P1732" s="5"/>
    </row>
    <row r="1733" spans="1:16" x14ac:dyDescent="0.25">
      <c r="A1733" s="4" t="s">
        <v>21</v>
      </c>
      <c r="B1733" s="4" t="s">
        <v>423</v>
      </c>
      <c r="C1733" s="5">
        <v>38926</v>
      </c>
      <c r="D1733" s="4" t="s">
        <v>23</v>
      </c>
      <c r="E1733" s="4" t="s">
        <v>76</v>
      </c>
      <c r="F1733" s="4" t="s">
        <v>409</v>
      </c>
      <c r="G1733" s="4" t="s">
        <v>26</v>
      </c>
      <c r="H1733" s="4" t="s">
        <v>18</v>
      </c>
      <c r="I1733" s="4" t="s">
        <v>715</v>
      </c>
      <c r="J1733" s="4" t="s">
        <v>715</v>
      </c>
      <c r="K1733" s="5">
        <v>6269973</v>
      </c>
      <c r="L1733" s="5">
        <v>318042</v>
      </c>
      <c r="M1733" s="5">
        <v>19</v>
      </c>
      <c r="N1733" s="5">
        <v>1</v>
      </c>
      <c r="O1733" s="5">
        <v>1.1000000000000001</v>
      </c>
      <c r="P1733" s="5"/>
    </row>
    <row r="1734" spans="1:16" x14ac:dyDescent="0.25">
      <c r="A1734" s="4" t="s">
        <v>21</v>
      </c>
      <c r="B1734" s="4" t="s">
        <v>423</v>
      </c>
      <c r="C1734" s="5">
        <v>38927</v>
      </c>
      <c r="D1734" s="4" t="s">
        <v>23</v>
      </c>
      <c r="E1734" s="4" t="s">
        <v>401</v>
      </c>
      <c r="F1734" s="4" t="s">
        <v>428</v>
      </c>
      <c r="G1734" s="4" t="s">
        <v>26</v>
      </c>
      <c r="H1734" s="4" t="s">
        <v>18</v>
      </c>
      <c r="I1734" s="4" t="s">
        <v>715</v>
      </c>
      <c r="J1734" s="4" t="s">
        <v>715</v>
      </c>
      <c r="K1734" s="5">
        <v>6345683</v>
      </c>
      <c r="L1734" s="5">
        <v>341018</v>
      </c>
      <c r="M1734" s="5">
        <v>19</v>
      </c>
      <c r="N1734" s="5">
        <v>1</v>
      </c>
      <c r="O1734" s="5">
        <v>1</v>
      </c>
      <c r="P1734" s="5"/>
    </row>
    <row r="1735" spans="1:16" x14ac:dyDescent="0.25">
      <c r="A1735" s="4" t="s">
        <v>21</v>
      </c>
      <c r="B1735" s="4" t="s">
        <v>423</v>
      </c>
      <c r="C1735" s="5">
        <v>38931</v>
      </c>
      <c r="D1735" s="4" t="s">
        <v>23</v>
      </c>
      <c r="E1735" s="4" t="s">
        <v>381</v>
      </c>
      <c r="F1735" s="4" t="s">
        <v>382</v>
      </c>
      <c r="G1735" s="4" t="s">
        <v>26</v>
      </c>
      <c r="H1735" s="4" t="s">
        <v>18</v>
      </c>
      <c r="I1735" s="4" t="s">
        <v>715</v>
      </c>
      <c r="J1735" s="4" t="s">
        <v>715</v>
      </c>
      <c r="K1735" s="5">
        <v>6266845</v>
      </c>
      <c r="L1735" s="5">
        <v>325233</v>
      </c>
      <c r="M1735" s="5">
        <v>19</v>
      </c>
      <c r="N1735" s="5">
        <v>1</v>
      </c>
      <c r="O1735" s="5">
        <v>0.31</v>
      </c>
      <c r="P1735" s="5"/>
    </row>
    <row r="1736" spans="1:16" x14ac:dyDescent="0.25">
      <c r="A1736" s="4" t="s">
        <v>21</v>
      </c>
      <c r="B1736" s="4" t="s">
        <v>423</v>
      </c>
      <c r="C1736" s="5">
        <v>38932</v>
      </c>
      <c r="D1736" s="4" t="s">
        <v>37</v>
      </c>
      <c r="E1736" s="4" t="s">
        <v>73</v>
      </c>
      <c r="F1736" s="4" t="s">
        <v>73</v>
      </c>
      <c r="G1736" s="4" t="s">
        <v>26</v>
      </c>
      <c r="H1736" s="4" t="s">
        <v>27</v>
      </c>
      <c r="I1736" s="4" t="s">
        <v>715</v>
      </c>
      <c r="J1736" s="4" t="s">
        <v>715</v>
      </c>
      <c r="K1736" s="5">
        <v>6155997</v>
      </c>
      <c r="L1736" s="5">
        <v>315270</v>
      </c>
      <c r="M1736" s="5">
        <v>19</v>
      </c>
      <c r="N1736" s="5">
        <v>1</v>
      </c>
      <c r="O1736" s="5">
        <v>5.6</v>
      </c>
      <c r="P1736" s="5"/>
    </row>
    <row r="1737" spans="1:16" x14ac:dyDescent="0.25">
      <c r="A1737" s="4" t="s">
        <v>13</v>
      </c>
      <c r="B1737" s="4" t="s">
        <v>423</v>
      </c>
      <c r="C1737" s="5">
        <v>38945</v>
      </c>
      <c r="D1737" s="4" t="s">
        <v>33</v>
      </c>
      <c r="E1737" s="4" t="s">
        <v>43</v>
      </c>
      <c r="F1737" s="4" t="s">
        <v>546</v>
      </c>
      <c r="G1737" s="4" t="s">
        <v>26</v>
      </c>
      <c r="H1737" s="4" t="s">
        <v>27</v>
      </c>
      <c r="I1737" s="4" t="s">
        <v>715</v>
      </c>
      <c r="J1737" s="4" t="s">
        <v>715</v>
      </c>
      <c r="K1737" s="5">
        <v>6062802</v>
      </c>
      <c r="L1737" s="5">
        <v>281127</v>
      </c>
      <c r="M1737" s="5">
        <v>19</v>
      </c>
      <c r="N1737" s="5">
        <v>1</v>
      </c>
      <c r="O1737" s="5">
        <v>14</v>
      </c>
      <c r="P1737" s="5"/>
    </row>
    <row r="1738" spans="1:16" x14ac:dyDescent="0.25">
      <c r="A1738" s="4" t="s">
        <v>21</v>
      </c>
      <c r="B1738" s="4" t="s">
        <v>423</v>
      </c>
      <c r="C1738" s="5">
        <v>38948</v>
      </c>
      <c r="D1738" s="4" t="s">
        <v>37</v>
      </c>
      <c r="E1738" s="4" t="s">
        <v>73</v>
      </c>
      <c r="F1738" s="4" t="s">
        <v>73</v>
      </c>
      <c r="G1738" s="4" t="s">
        <v>26</v>
      </c>
      <c r="H1738" s="4" t="s">
        <v>27</v>
      </c>
      <c r="I1738" s="4" t="s">
        <v>715</v>
      </c>
      <c r="J1738" s="4" t="s">
        <v>715</v>
      </c>
      <c r="K1738" s="5">
        <v>6150632</v>
      </c>
      <c r="L1738" s="5">
        <v>320074</v>
      </c>
      <c r="M1738" s="5">
        <v>19</v>
      </c>
      <c r="N1738" s="5">
        <v>1</v>
      </c>
      <c r="O1738" s="5">
        <v>11</v>
      </c>
      <c r="P1738" s="5"/>
    </row>
    <row r="1739" spans="1:16" x14ac:dyDescent="0.25">
      <c r="A1739" s="4" t="s">
        <v>21</v>
      </c>
      <c r="B1739" s="4" t="s">
        <v>423</v>
      </c>
      <c r="C1739" s="5">
        <v>38954</v>
      </c>
      <c r="D1739" s="4" t="s">
        <v>37</v>
      </c>
      <c r="E1739" s="4" t="s">
        <v>73</v>
      </c>
      <c r="F1739" s="4" t="s">
        <v>541</v>
      </c>
      <c r="G1739" s="4" t="s">
        <v>26</v>
      </c>
      <c r="H1739" s="4" t="s">
        <v>27</v>
      </c>
      <c r="I1739" s="4" t="s">
        <v>715</v>
      </c>
      <c r="J1739" s="4" t="s">
        <v>638</v>
      </c>
      <c r="K1739" s="5">
        <v>6148775</v>
      </c>
      <c r="L1739" s="5">
        <v>316054</v>
      </c>
      <c r="M1739" s="5">
        <v>19</v>
      </c>
      <c r="N1739" s="5">
        <v>1</v>
      </c>
      <c r="O1739" s="5">
        <v>10.6</v>
      </c>
      <c r="P1739" s="5"/>
    </row>
    <row r="1740" spans="1:16" x14ac:dyDescent="0.25">
      <c r="A1740" s="4" t="s">
        <v>13</v>
      </c>
      <c r="B1740" s="4" t="s">
        <v>423</v>
      </c>
      <c r="C1740" s="5">
        <v>38958</v>
      </c>
      <c r="D1740" s="4" t="s">
        <v>33</v>
      </c>
      <c r="E1740" s="4" t="s">
        <v>35</v>
      </c>
      <c r="F1740" s="4" t="s">
        <v>35</v>
      </c>
      <c r="G1740" s="4" t="s">
        <v>26</v>
      </c>
      <c r="H1740" s="4" t="s">
        <v>27</v>
      </c>
      <c r="I1740" s="4" t="s">
        <v>715</v>
      </c>
      <c r="J1740" s="4" t="s">
        <v>715</v>
      </c>
      <c r="K1740" s="5">
        <v>6137634</v>
      </c>
      <c r="L1740" s="5">
        <v>311670</v>
      </c>
      <c r="M1740" s="5">
        <v>19</v>
      </c>
      <c r="N1740" s="5">
        <v>2</v>
      </c>
      <c r="O1740" s="5">
        <v>15</v>
      </c>
      <c r="P1740" s="5"/>
    </row>
    <row r="1741" spans="1:16" x14ac:dyDescent="0.25">
      <c r="A1741" s="4" t="s">
        <v>13</v>
      </c>
      <c r="B1741" s="4" t="s">
        <v>423</v>
      </c>
      <c r="C1741" s="5">
        <v>38967</v>
      </c>
      <c r="D1741" s="4" t="s">
        <v>37</v>
      </c>
      <c r="E1741" s="4" t="s">
        <v>73</v>
      </c>
      <c r="F1741" s="4" t="s">
        <v>538</v>
      </c>
      <c r="G1741" s="4" t="s">
        <v>26</v>
      </c>
      <c r="H1741" s="4" t="s">
        <v>27</v>
      </c>
      <c r="I1741" s="4" t="s">
        <v>715</v>
      </c>
      <c r="J1741" s="4" t="s">
        <v>715</v>
      </c>
      <c r="K1741" s="5">
        <v>6161934</v>
      </c>
      <c r="L1741" s="5">
        <v>319317</v>
      </c>
      <c r="M1741" s="5">
        <v>19</v>
      </c>
      <c r="N1741" s="5">
        <v>1</v>
      </c>
      <c r="O1741" s="5">
        <v>16</v>
      </c>
      <c r="P1741" s="5"/>
    </row>
    <row r="1742" spans="1:16" x14ac:dyDescent="0.25">
      <c r="A1742" s="4" t="s">
        <v>21</v>
      </c>
      <c r="B1742" s="4" t="s">
        <v>423</v>
      </c>
      <c r="C1742" s="5">
        <v>38968</v>
      </c>
      <c r="D1742" s="4" t="s">
        <v>33</v>
      </c>
      <c r="E1742" s="4" t="s">
        <v>45</v>
      </c>
      <c r="F1742" s="4" t="s">
        <v>45</v>
      </c>
      <c r="G1742" s="4" t="s">
        <v>26</v>
      </c>
      <c r="H1742" s="4" t="s">
        <v>27</v>
      </c>
      <c r="I1742" s="4" t="s">
        <v>715</v>
      </c>
      <c r="J1742" s="4" t="s">
        <v>715</v>
      </c>
      <c r="K1742" s="5">
        <v>6094460</v>
      </c>
      <c r="L1742" s="5">
        <v>277917</v>
      </c>
      <c r="M1742" s="5">
        <v>19</v>
      </c>
      <c r="N1742" s="5">
        <v>4</v>
      </c>
      <c r="O1742" s="5">
        <v>34.5</v>
      </c>
      <c r="P1742" s="5"/>
    </row>
    <row r="1743" spans="1:16" x14ac:dyDescent="0.25">
      <c r="A1743" s="4" t="s">
        <v>21</v>
      </c>
      <c r="B1743" s="4" t="s">
        <v>423</v>
      </c>
      <c r="C1743" s="5">
        <v>38978</v>
      </c>
      <c r="D1743" s="4" t="s">
        <v>37</v>
      </c>
      <c r="E1743" s="4" t="s">
        <v>73</v>
      </c>
      <c r="F1743" s="4" t="s">
        <v>170</v>
      </c>
      <c r="G1743" s="4" t="s">
        <v>26</v>
      </c>
      <c r="H1743" s="4" t="s">
        <v>27</v>
      </c>
      <c r="I1743" s="4" t="s">
        <v>715</v>
      </c>
      <c r="J1743" s="4" t="s">
        <v>715</v>
      </c>
      <c r="K1743" s="5">
        <v>6162958</v>
      </c>
      <c r="L1743" s="5">
        <v>319464</v>
      </c>
      <c r="M1743" s="5">
        <v>19</v>
      </c>
      <c r="N1743" s="5">
        <v>1</v>
      </c>
      <c r="O1743" s="5">
        <v>4</v>
      </c>
      <c r="P1743" s="5"/>
    </row>
    <row r="1744" spans="1:16" x14ac:dyDescent="0.25">
      <c r="A1744" s="4" t="s">
        <v>21</v>
      </c>
      <c r="B1744" s="4" t="s">
        <v>423</v>
      </c>
      <c r="C1744" s="5">
        <v>39043</v>
      </c>
      <c r="D1744" s="4" t="s">
        <v>33</v>
      </c>
      <c r="E1744" s="4" t="s">
        <v>247</v>
      </c>
      <c r="F1744" s="4" t="s">
        <v>247</v>
      </c>
      <c r="G1744" s="4" t="s">
        <v>26</v>
      </c>
      <c r="H1744" s="4" t="s">
        <v>27</v>
      </c>
      <c r="I1744" s="4" t="s">
        <v>715</v>
      </c>
      <c r="J1744" s="4" t="s">
        <v>715</v>
      </c>
      <c r="K1744" s="5">
        <v>6118014</v>
      </c>
      <c r="L1744" s="5">
        <v>290871</v>
      </c>
      <c r="M1744" s="5">
        <v>19</v>
      </c>
      <c r="N1744" s="5">
        <v>1</v>
      </c>
      <c r="O1744" s="5">
        <v>10</v>
      </c>
      <c r="P1744" s="5"/>
    </row>
    <row r="1745" spans="1:16" x14ac:dyDescent="0.25">
      <c r="A1745" s="4" t="s">
        <v>13</v>
      </c>
      <c r="B1745" s="4" t="s">
        <v>423</v>
      </c>
      <c r="C1745" s="5">
        <v>39046</v>
      </c>
      <c r="D1745" s="4" t="s">
        <v>33</v>
      </c>
      <c r="E1745" s="4" t="s">
        <v>247</v>
      </c>
      <c r="F1745" s="4" t="s">
        <v>247</v>
      </c>
      <c r="G1745" s="4" t="s">
        <v>26</v>
      </c>
      <c r="H1745" s="4" t="s">
        <v>27</v>
      </c>
      <c r="I1745" s="4" t="s">
        <v>715</v>
      </c>
      <c r="J1745" s="4" t="s">
        <v>638</v>
      </c>
      <c r="K1745" s="5">
        <v>6116371</v>
      </c>
      <c r="L1745" s="5">
        <v>289656</v>
      </c>
      <c r="M1745" s="5">
        <v>19</v>
      </c>
      <c r="N1745" s="5">
        <v>1</v>
      </c>
      <c r="O1745" s="5">
        <v>11</v>
      </c>
      <c r="P1745" s="5"/>
    </row>
    <row r="1746" spans="1:16" x14ac:dyDescent="0.25">
      <c r="A1746" s="4" t="s">
        <v>13</v>
      </c>
      <c r="B1746" s="4" t="s">
        <v>423</v>
      </c>
      <c r="C1746" s="5">
        <v>39077</v>
      </c>
      <c r="D1746" s="4" t="s">
        <v>37</v>
      </c>
      <c r="E1746" s="4" t="s">
        <v>38</v>
      </c>
      <c r="F1746" s="4" t="s">
        <v>289</v>
      </c>
      <c r="G1746" s="4" t="s">
        <v>26</v>
      </c>
      <c r="H1746" s="4" t="s">
        <v>27</v>
      </c>
      <c r="I1746" s="4" t="s">
        <v>715</v>
      </c>
      <c r="J1746" s="4" t="s">
        <v>715</v>
      </c>
      <c r="K1746" s="5">
        <v>6170386</v>
      </c>
      <c r="L1746" s="5">
        <v>325445</v>
      </c>
      <c r="M1746" s="5">
        <v>19</v>
      </c>
      <c r="N1746" s="5">
        <v>1</v>
      </c>
      <c r="O1746" s="5">
        <v>8.8000000000000007</v>
      </c>
      <c r="P1746" s="5"/>
    </row>
    <row r="1747" spans="1:16" x14ac:dyDescent="0.25">
      <c r="A1747" s="4" t="s">
        <v>21</v>
      </c>
      <c r="B1747" s="4" t="s">
        <v>423</v>
      </c>
      <c r="C1747" s="5">
        <v>39082</v>
      </c>
      <c r="D1747" s="4" t="s">
        <v>37</v>
      </c>
      <c r="E1747" s="4" t="s">
        <v>38</v>
      </c>
      <c r="F1747" s="4" t="s">
        <v>548</v>
      </c>
      <c r="G1747" s="4" t="s">
        <v>26</v>
      </c>
      <c r="H1747" s="4" t="s">
        <v>27</v>
      </c>
      <c r="I1747" s="4" t="s">
        <v>715</v>
      </c>
      <c r="J1747" s="4" t="s">
        <v>638</v>
      </c>
      <c r="K1747" s="5">
        <v>6179927</v>
      </c>
      <c r="L1747" s="5">
        <v>324407</v>
      </c>
      <c r="M1747" s="5">
        <v>19</v>
      </c>
      <c r="N1747" s="5">
        <v>3</v>
      </c>
      <c r="O1747" s="5">
        <v>28.1</v>
      </c>
      <c r="P1747" s="5"/>
    </row>
    <row r="1748" spans="1:16" x14ac:dyDescent="0.25">
      <c r="A1748" s="4" t="s">
        <v>13</v>
      </c>
      <c r="B1748" s="4" t="s">
        <v>423</v>
      </c>
      <c r="C1748" s="5">
        <v>39178</v>
      </c>
      <c r="D1748" s="4" t="s">
        <v>23</v>
      </c>
      <c r="E1748" s="4" t="s">
        <v>76</v>
      </c>
      <c r="F1748" s="4" t="s">
        <v>451</v>
      </c>
      <c r="G1748" s="4" t="s">
        <v>26</v>
      </c>
      <c r="H1748" s="4" t="s">
        <v>27</v>
      </c>
      <c r="I1748" s="4" t="s">
        <v>715</v>
      </c>
      <c r="J1748" s="4" t="s">
        <v>638</v>
      </c>
      <c r="K1748" s="5">
        <v>6273399</v>
      </c>
      <c r="L1748" s="5">
        <v>326224</v>
      </c>
      <c r="M1748" s="5">
        <v>19</v>
      </c>
      <c r="N1748" s="5">
        <v>1</v>
      </c>
      <c r="O1748" s="5">
        <v>0.5</v>
      </c>
      <c r="P1748" s="5"/>
    </row>
    <row r="1749" spans="1:16" x14ac:dyDescent="0.25">
      <c r="A1749" s="4" t="s">
        <v>21</v>
      </c>
      <c r="B1749" s="4" t="s">
        <v>423</v>
      </c>
      <c r="C1749" s="5">
        <v>39222</v>
      </c>
      <c r="D1749" s="4" t="s">
        <v>33</v>
      </c>
      <c r="E1749" s="4" t="s">
        <v>167</v>
      </c>
      <c r="F1749" s="4" t="s">
        <v>421</v>
      </c>
      <c r="G1749" s="4" t="s">
        <v>26</v>
      </c>
      <c r="H1749" s="4" t="s">
        <v>27</v>
      </c>
      <c r="I1749" s="4" t="s">
        <v>715</v>
      </c>
      <c r="J1749" s="4" t="s">
        <v>715</v>
      </c>
      <c r="K1749" s="5">
        <v>6098887</v>
      </c>
      <c r="L1749" s="5">
        <v>293827</v>
      </c>
      <c r="M1749" s="5">
        <v>19</v>
      </c>
      <c r="N1749" s="5">
        <v>2</v>
      </c>
      <c r="O1749" s="5">
        <v>35.6</v>
      </c>
      <c r="P1749" s="5"/>
    </row>
    <row r="1750" spans="1:16" x14ac:dyDescent="0.25">
      <c r="A1750" s="4" t="s">
        <v>21</v>
      </c>
      <c r="B1750" s="4" t="s">
        <v>423</v>
      </c>
      <c r="C1750" s="5">
        <v>39312</v>
      </c>
      <c r="D1750" s="4" t="s">
        <v>37</v>
      </c>
      <c r="E1750" s="4" t="s">
        <v>38</v>
      </c>
      <c r="F1750" s="4" t="s">
        <v>549</v>
      </c>
      <c r="G1750" s="4" t="s">
        <v>26</v>
      </c>
      <c r="H1750" s="4" t="s">
        <v>27</v>
      </c>
      <c r="I1750" s="4" t="s">
        <v>715</v>
      </c>
      <c r="J1750" s="4" t="s">
        <v>638</v>
      </c>
      <c r="K1750" s="5">
        <v>6175303</v>
      </c>
      <c r="L1750" s="5">
        <v>317911</v>
      </c>
      <c r="M1750" s="5">
        <v>19</v>
      </c>
      <c r="N1750" s="5">
        <v>1</v>
      </c>
      <c r="O1750" s="5">
        <v>11.4</v>
      </c>
      <c r="P1750" s="5"/>
    </row>
    <row r="1751" spans="1:16" x14ac:dyDescent="0.25">
      <c r="A1751" s="4" t="s">
        <v>21</v>
      </c>
      <c r="B1751" s="4" t="s">
        <v>423</v>
      </c>
      <c r="C1751" s="5">
        <v>39347</v>
      </c>
      <c r="D1751" s="4" t="s">
        <v>33</v>
      </c>
      <c r="E1751" s="4" t="s">
        <v>43</v>
      </c>
      <c r="F1751" s="4" t="s">
        <v>43</v>
      </c>
      <c r="G1751" s="4" t="s">
        <v>26</v>
      </c>
      <c r="H1751" s="4" t="s">
        <v>27</v>
      </c>
      <c r="I1751" s="4" t="s">
        <v>715</v>
      </c>
      <c r="J1751" s="4" t="s">
        <v>715</v>
      </c>
      <c r="K1751" s="5">
        <v>6074298</v>
      </c>
      <c r="L1751" s="5">
        <v>269355</v>
      </c>
      <c r="M1751" s="5">
        <v>19</v>
      </c>
      <c r="N1751" s="5">
        <v>6</v>
      </c>
      <c r="O1751" s="5">
        <v>50</v>
      </c>
      <c r="P1751" s="5"/>
    </row>
    <row r="1752" spans="1:16" x14ac:dyDescent="0.25">
      <c r="A1752" s="4" t="s">
        <v>13</v>
      </c>
      <c r="B1752" s="4" t="s">
        <v>423</v>
      </c>
      <c r="C1752" s="5">
        <v>39350</v>
      </c>
      <c r="D1752" s="4" t="s">
        <v>33</v>
      </c>
      <c r="E1752" s="4" t="s">
        <v>43</v>
      </c>
      <c r="F1752" s="4" t="s">
        <v>458</v>
      </c>
      <c r="G1752" s="4" t="s">
        <v>26</v>
      </c>
      <c r="H1752" s="4" t="s">
        <v>27</v>
      </c>
      <c r="I1752" s="4" t="s">
        <v>715</v>
      </c>
      <c r="J1752" s="4" t="s">
        <v>715</v>
      </c>
      <c r="K1752" s="5">
        <v>6063251</v>
      </c>
      <c r="L1752" s="5">
        <v>261690</v>
      </c>
      <c r="M1752" s="5">
        <v>19</v>
      </c>
      <c r="N1752" s="5">
        <v>1</v>
      </c>
      <c r="O1752" s="5">
        <v>10</v>
      </c>
      <c r="P1752" s="5"/>
    </row>
    <row r="1753" spans="1:16" x14ac:dyDescent="0.25">
      <c r="A1753" s="4" t="s">
        <v>13</v>
      </c>
      <c r="B1753" s="4" t="s">
        <v>423</v>
      </c>
      <c r="C1753" s="5">
        <v>39361</v>
      </c>
      <c r="D1753" s="4" t="s">
        <v>33</v>
      </c>
      <c r="E1753" s="4" t="s">
        <v>122</v>
      </c>
      <c r="F1753" s="4" t="s">
        <v>122</v>
      </c>
      <c r="G1753" s="4" t="s">
        <v>26</v>
      </c>
      <c r="H1753" s="4" t="s">
        <v>27</v>
      </c>
      <c r="I1753" s="4" t="s">
        <v>715</v>
      </c>
      <c r="J1753" s="4" t="s">
        <v>638</v>
      </c>
      <c r="K1753" s="5">
        <v>6106585</v>
      </c>
      <c r="L1753" s="5">
        <v>295573</v>
      </c>
      <c r="M1753" s="5">
        <v>19</v>
      </c>
      <c r="N1753" s="5">
        <v>2</v>
      </c>
      <c r="O1753" s="5">
        <v>23</v>
      </c>
      <c r="P1753" s="5"/>
    </row>
    <row r="1754" spans="1:16" x14ac:dyDescent="0.25">
      <c r="A1754" s="4" t="s">
        <v>13</v>
      </c>
      <c r="B1754" s="4" t="s">
        <v>423</v>
      </c>
      <c r="C1754" s="5">
        <v>39365</v>
      </c>
      <c r="D1754" s="4" t="s">
        <v>33</v>
      </c>
      <c r="E1754" s="4" t="s">
        <v>122</v>
      </c>
      <c r="F1754" s="4" t="s">
        <v>122</v>
      </c>
      <c r="G1754" s="4" t="s">
        <v>26</v>
      </c>
      <c r="H1754" s="4" t="s">
        <v>27</v>
      </c>
      <c r="I1754" s="4" t="s">
        <v>715</v>
      </c>
      <c r="J1754" s="4" t="s">
        <v>638</v>
      </c>
      <c r="K1754" s="5">
        <v>6103768</v>
      </c>
      <c r="L1754" s="5">
        <v>298774</v>
      </c>
      <c r="M1754" s="5">
        <v>19</v>
      </c>
      <c r="N1754" s="5">
        <v>1</v>
      </c>
      <c r="O1754" s="5">
        <v>11.6</v>
      </c>
      <c r="P1754" s="5"/>
    </row>
    <row r="1755" spans="1:16" x14ac:dyDescent="0.25">
      <c r="A1755" s="4" t="s">
        <v>13</v>
      </c>
      <c r="B1755" s="4" t="s">
        <v>423</v>
      </c>
      <c r="C1755" s="5">
        <v>39366</v>
      </c>
      <c r="D1755" s="4" t="s">
        <v>33</v>
      </c>
      <c r="E1755" s="4" t="s">
        <v>122</v>
      </c>
      <c r="F1755" s="4" t="s">
        <v>122</v>
      </c>
      <c r="G1755" s="4" t="s">
        <v>26</v>
      </c>
      <c r="H1755" s="4" t="s">
        <v>27</v>
      </c>
      <c r="I1755" s="4" t="s">
        <v>715</v>
      </c>
      <c r="J1755" s="4" t="s">
        <v>638</v>
      </c>
      <c r="K1755" s="5">
        <v>6105469</v>
      </c>
      <c r="L1755" s="5">
        <v>299734</v>
      </c>
      <c r="M1755" s="5">
        <v>19</v>
      </c>
      <c r="N1755" s="5">
        <v>1</v>
      </c>
      <c r="O1755" s="5">
        <v>20</v>
      </c>
      <c r="P1755" s="5"/>
    </row>
    <row r="1756" spans="1:16" x14ac:dyDescent="0.25">
      <c r="A1756" s="4" t="s">
        <v>13</v>
      </c>
      <c r="B1756" s="4" t="s">
        <v>423</v>
      </c>
      <c r="C1756" s="5">
        <v>39370</v>
      </c>
      <c r="D1756" s="4" t="s">
        <v>33</v>
      </c>
      <c r="E1756" s="4" t="s">
        <v>122</v>
      </c>
      <c r="F1756" s="4" t="s">
        <v>122</v>
      </c>
      <c r="G1756" s="4" t="s">
        <v>26</v>
      </c>
      <c r="H1756" s="4" t="s">
        <v>27</v>
      </c>
      <c r="I1756" s="4" t="s">
        <v>715</v>
      </c>
      <c r="J1756" s="4" t="s">
        <v>638</v>
      </c>
      <c r="K1756" s="5">
        <v>6103768</v>
      </c>
      <c r="L1756" s="5">
        <v>298774</v>
      </c>
      <c r="M1756" s="5">
        <v>19</v>
      </c>
      <c r="N1756" s="5">
        <v>3</v>
      </c>
      <c r="O1756" s="5">
        <v>15.8</v>
      </c>
      <c r="P1756" s="5"/>
    </row>
    <row r="1757" spans="1:16" x14ac:dyDescent="0.25">
      <c r="A1757" s="4" t="s">
        <v>13</v>
      </c>
      <c r="B1757" s="4" t="s">
        <v>423</v>
      </c>
      <c r="C1757" s="5">
        <v>39404</v>
      </c>
      <c r="D1757" s="4" t="s">
        <v>37</v>
      </c>
      <c r="E1757" s="4" t="s">
        <v>38</v>
      </c>
      <c r="F1757" s="4" t="s">
        <v>38</v>
      </c>
      <c r="G1757" s="4" t="s">
        <v>26</v>
      </c>
      <c r="H1757" s="4" t="s">
        <v>27</v>
      </c>
      <c r="I1757" s="4" t="s">
        <v>638</v>
      </c>
      <c r="J1757" s="4" t="s">
        <v>715</v>
      </c>
      <c r="K1757" s="5">
        <v>6167100</v>
      </c>
      <c r="L1757" s="5">
        <v>321480</v>
      </c>
      <c r="M1757" s="5">
        <v>19</v>
      </c>
      <c r="N1757" s="5">
        <v>3</v>
      </c>
      <c r="O1757" s="5">
        <v>24.54</v>
      </c>
      <c r="P1757" s="5"/>
    </row>
    <row r="1758" spans="1:16" x14ac:dyDescent="0.25">
      <c r="A1758" s="4" t="s">
        <v>54</v>
      </c>
      <c r="B1758" s="4" t="s">
        <v>423</v>
      </c>
      <c r="C1758" s="5">
        <v>39476</v>
      </c>
      <c r="D1758" s="4" t="s">
        <v>23</v>
      </c>
      <c r="E1758" s="4" t="s">
        <v>28</v>
      </c>
      <c r="F1758" s="4" t="s">
        <v>380</v>
      </c>
      <c r="G1758" s="4" t="s">
        <v>420</v>
      </c>
      <c r="H1758" s="4" t="s">
        <v>641</v>
      </c>
      <c r="I1758" s="4" t="s">
        <v>715</v>
      </c>
      <c r="J1758" s="4" t="s">
        <v>715</v>
      </c>
      <c r="K1758" s="5">
        <v>6258905</v>
      </c>
      <c r="L1758" s="5">
        <v>332173</v>
      </c>
      <c r="M1758" s="5">
        <v>19</v>
      </c>
      <c r="N1758" s="5">
        <v>5</v>
      </c>
      <c r="O1758" s="5">
        <v>3.45</v>
      </c>
      <c r="P1758" s="5"/>
    </row>
    <row r="1759" spans="1:16" x14ac:dyDescent="0.25">
      <c r="A1759" s="4" t="s">
        <v>13</v>
      </c>
      <c r="B1759" s="4" t="s">
        <v>423</v>
      </c>
      <c r="C1759" s="5">
        <v>39577</v>
      </c>
      <c r="D1759" s="4" t="s">
        <v>33</v>
      </c>
      <c r="E1759" s="4" t="s">
        <v>35</v>
      </c>
      <c r="F1759" s="4" t="s">
        <v>35</v>
      </c>
      <c r="G1759" s="4" t="s">
        <v>26</v>
      </c>
      <c r="H1759" s="4" t="s">
        <v>27</v>
      </c>
      <c r="I1759" s="4" t="s">
        <v>715</v>
      </c>
      <c r="J1759" s="4" t="s">
        <v>715</v>
      </c>
      <c r="K1759" s="5">
        <v>6144958</v>
      </c>
      <c r="L1759" s="5">
        <v>306275</v>
      </c>
      <c r="M1759" s="5">
        <v>19</v>
      </c>
      <c r="N1759" s="5">
        <v>2</v>
      </c>
      <c r="O1759" s="5">
        <v>28.1</v>
      </c>
      <c r="P1759" s="5"/>
    </row>
    <row r="1760" spans="1:16" x14ac:dyDescent="0.25">
      <c r="A1760" s="4" t="s">
        <v>13</v>
      </c>
      <c r="B1760" s="4" t="s">
        <v>423</v>
      </c>
      <c r="C1760" s="5">
        <v>39601</v>
      </c>
      <c r="D1760" s="4" t="s">
        <v>33</v>
      </c>
      <c r="E1760" s="4" t="s">
        <v>35</v>
      </c>
      <c r="F1760" s="4" t="s">
        <v>35</v>
      </c>
      <c r="G1760" s="4" t="s">
        <v>26</v>
      </c>
      <c r="H1760" s="4" t="s">
        <v>27</v>
      </c>
      <c r="I1760" s="4" t="s">
        <v>715</v>
      </c>
      <c r="J1760" s="4" t="s">
        <v>715</v>
      </c>
      <c r="K1760" s="5">
        <v>6144492</v>
      </c>
      <c r="L1760" s="5">
        <v>306386</v>
      </c>
      <c r="M1760" s="5">
        <v>19</v>
      </c>
      <c r="N1760" s="5">
        <v>3</v>
      </c>
      <c r="O1760" s="5">
        <v>37.9</v>
      </c>
      <c r="P1760" s="5"/>
    </row>
    <row r="1761" spans="1:16" x14ac:dyDescent="0.25">
      <c r="A1761" s="4" t="s">
        <v>13</v>
      </c>
      <c r="B1761" s="4" t="s">
        <v>423</v>
      </c>
      <c r="C1761" s="5">
        <v>39603</v>
      </c>
      <c r="D1761" s="4" t="s">
        <v>33</v>
      </c>
      <c r="E1761" s="4" t="s">
        <v>35</v>
      </c>
      <c r="F1761" s="4" t="s">
        <v>35</v>
      </c>
      <c r="G1761" s="4" t="s">
        <v>26</v>
      </c>
      <c r="H1761" s="4" t="s">
        <v>27</v>
      </c>
      <c r="I1761" s="4" t="s">
        <v>715</v>
      </c>
      <c r="J1761" s="4" t="s">
        <v>715</v>
      </c>
      <c r="K1761" s="5">
        <v>6144114</v>
      </c>
      <c r="L1761" s="5">
        <v>306379</v>
      </c>
      <c r="M1761" s="5">
        <v>19</v>
      </c>
      <c r="N1761" s="5">
        <v>1</v>
      </c>
      <c r="O1761" s="5">
        <v>7</v>
      </c>
      <c r="P1761" s="5"/>
    </row>
    <row r="1762" spans="1:16" x14ac:dyDescent="0.25">
      <c r="A1762" s="4" t="s">
        <v>13</v>
      </c>
      <c r="B1762" s="4" t="s">
        <v>423</v>
      </c>
      <c r="C1762" s="5">
        <v>39616</v>
      </c>
      <c r="D1762" s="4" t="s">
        <v>33</v>
      </c>
      <c r="E1762" s="4" t="s">
        <v>35</v>
      </c>
      <c r="F1762" s="4" t="s">
        <v>35</v>
      </c>
      <c r="G1762" s="4" t="s">
        <v>26</v>
      </c>
      <c r="H1762" s="4" t="s">
        <v>27</v>
      </c>
      <c r="I1762" s="4" t="s">
        <v>715</v>
      </c>
      <c r="J1762" s="4" t="s">
        <v>715</v>
      </c>
      <c r="K1762" s="5">
        <v>6141979</v>
      </c>
      <c r="L1762" s="5">
        <v>306329</v>
      </c>
      <c r="M1762" s="5">
        <v>19</v>
      </c>
      <c r="N1762" s="5">
        <v>4</v>
      </c>
      <c r="O1762" s="5">
        <v>26.5</v>
      </c>
      <c r="P1762" s="5"/>
    </row>
    <row r="1763" spans="1:16" x14ac:dyDescent="0.25">
      <c r="A1763" s="4" t="s">
        <v>13</v>
      </c>
      <c r="B1763" s="4" t="s">
        <v>423</v>
      </c>
      <c r="C1763" s="5">
        <v>39643</v>
      </c>
      <c r="D1763" s="4" t="s">
        <v>33</v>
      </c>
      <c r="E1763" s="4" t="s">
        <v>35</v>
      </c>
      <c r="F1763" s="4" t="s">
        <v>35</v>
      </c>
      <c r="G1763" s="4" t="s">
        <v>26</v>
      </c>
      <c r="H1763" s="4" t="s">
        <v>27</v>
      </c>
      <c r="I1763" s="4" t="s">
        <v>715</v>
      </c>
      <c r="J1763" s="4" t="s">
        <v>715</v>
      </c>
      <c r="K1763" s="5">
        <v>6144224</v>
      </c>
      <c r="L1763" s="5">
        <v>306599</v>
      </c>
      <c r="M1763" s="5">
        <v>19</v>
      </c>
      <c r="N1763" s="5">
        <v>1</v>
      </c>
      <c r="O1763" s="5">
        <v>4.1399999999999997</v>
      </c>
      <c r="P1763" s="5"/>
    </row>
    <row r="1764" spans="1:16" x14ac:dyDescent="0.25">
      <c r="A1764" s="4" t="s">
        <v>13</v>
      </c>
      <c r="B1764" s="4" t="s">
        <v>423</v>
      </c>
      <c r="C1764" s="5">
        <v>39726</v>
      </c>
      <c r="D1764" s="4" t="s">
        <v>23</v>
      </c>
      <c r="E1764" s="4" t="s">
        <v>409</v>
      </c>
      <c r="F1764" s="4" t="s">
        <v>544</v>
      </c>
      <c r="G1764" s="4" t="s">
        <v>26</v>
      </c>
      <c r="H1764" s="4" t="s">
        <v>27</v>
      </c>
      <c r="I1764" s="4" t="s">
        <v>715</v>
      </c>
      <c r="J1764" s="4" t="s">
        <v>715</v>
      </c>
      <c r="K1764" s="5">
        <v>6269023</v>
      </c>
      <c r="L1764" s="5">
        <v>309397</v>
      </c>
      <c r="M1764" s="5">
        <v>19</v>
      </c>
      <c r="N1764" s="5">
        <v>1</v>
      </c>
      <c r="O1764" s="5">
        <v>0.11</v>
      </c>
      <c r="P1764" s="5"/>
    </row>
    <row r="1765" spans="1:16" x14ac:dyDescent="0.25">
      <c r="A1765" s="4" t="s">
        <v>13</v>
      </c>
      <c r="B1765" s="4" t="s">
        <v>423</v>
      </c>
      <c r="C1765" s="5">
        <v>39772</v>
      </c>
      <c r="D1765" s="4" t="s">
        <v>33</v>
      </c>
      <c r="E1765" s="4" t="s">
        <v>43</v>
      </c>
      <c r="F1765" s="4" t="s">
        <v>43</v>
      </c>
      <c r="G1765" s="4" t="s">
        <v>26</v>
      </c>
      <c r="H1765" s="4" t="s">
        <v>27</v>
      </c>
      <c r="I1765" s="4" t="s">
        <v>715</v>
      </c>
      <c r="J1765" s="4" t="s">
        <v>715</v>
      </c>
      <c r="K1765" s="5">
        <v>6060895</v>
      </c>
      <c r="L1765" s="5">
        <v>285910</v>
      </c>
      <c r="M1765" s="5">
        <v>19</v>
      </c>
      <c r="N1765" s="5">
        <v>1</v>
      </c>
      <c r="O1765" s="5">
        <v>3</v>
      </c>
      <c r="P1765" s="5"/>
    </row>
    <row r="1766" spans="1:16" x14ac:dyDescent="0.25">
      <c r="A1766" s="4" t="s">
        <v>54</v>
      </c>
      <c r="B1766" s="4" t="s">
        <v>423</v>
      </c>
      <c r="C1766" s="5">
        <v>39775</v>
      </c>
      <c r="D1766" s="4" t="s">
        <v>23</v>
      </c>
      <c r="E1766" s="4" t="s">
        <v>28</v>
      </c>
      <c r="F1766" s="4" t="s">
        <v>383</v>
      </c>
      <c r="G1766" s="4" t="s">
        <v>26</v>
      </c>
      <c r="H1766" s="4" t="s">
        <v>641</v>
      </c>
      <c r="I1766" s="4" t="s">
        <v>715</v>
      </c>
      <c r="J1766" s="4" t="s">
        <v>715</v>
      </c>
      <c r="K1766" s="5">
        <v>6260216</v>
      </c>
      <c r="L1766" s="5">
        <v>331297</v>
      </c>
      <c r="M1766" s="5">
        <v>19</v>
      </c>
      <c r="N1766" s="5">
        <v>1</v>
      </c>
      <c r="O1766" s="5">
        <v>0.79</v>
      </c>
      <c r="P1766" s="5"/>
    </row>
    <row r="1767" spans="1:16" x14ac:dyDescent="0.25">
      <c r="A1767" s="4" t="s">
        <v>21</v>
      </c>
      <c r="B1767" s="4" t="s">
        <v>423</v>
      </c>
      <c r="C1767" s="5">
        <v>39780</v>
      </c>
      <c r="D1767" s="4" t="s">
        <v>33</v>
      </c>
      <c r="E1767" s="4" t="s">
        <v>43</v>
      </c>
      <c r="F1767" s="4" t="s">
        <v>435</v>
      </c>
      <c r="G1767" s="4" t="s">
        <v>26</v>
      </c>
      <c r="H1767" s="4" t="s">
        <v>27</v>
      </c>
      <c r="I1767" s="4" t="s">
        <v>715</v>
      </c>
      <c r="J1767" s="4" t="s">
        <v>715</v>
      </c>
      <c r="K1767" s="5">
        <v>6059812</v>
      </c>
      <c r="L1767" s="5">
        <v>280733</v>
      </c>
      <c r="M1767" s="5">
        <v>19</v>
      </c>
      <c r="N1767" s="5">
        <v>2</v>
      </c>
      <c r="O1767" s="5">
        <v>16</v>
      </c>
      <c r="P1767" s="5"/>
    </row>
    <row r="1768" spans="1:16" x14ac:dyDescent="0.25">
      <c r="A1768" s="4" t="s">
        <v>13</v>
      </c>
      <c r="B1768" s="4" t="s">
        <v>423</v>
      </c>
      <c r="C1768" s="5">
        <v>39786</v>
      </c>
      <c r="D1768" s="4" t="s">
        <v>33</v>
      </c>
      <c r="E1768" s="4" t="s">
        <v>43</v>
      </c>
      <c r="F1768" s="4" t="s">
        <v>458</v>
      </c>
      <c r="G1768" s="4" t="s">
        <v>26</v>
      </c>
      <c r="H1768" s="4" t="s">
        <v>27</v>
      </c>
      <c r="I1768" s="4" t="s">
        <v>715</v>
      </c>
      <c r="J1768" s="4" t="s">
        <v>715</v>
      </c>
      <c r="K1768" s="5">
        <v>6062995</v>
      </c>
      <c r="L1768" s="5">
        <v>281347</v>
      </c>
      <c r="M1768" s="5">
        <v>19</v>
      </c>
      <c r="N1768" s="5">
        <v>1</v>
      </c>
      <c r="O1768" s="5">
        <v>1.5</v>
      </c>
      <c r="P1768" s="5"/>
    </row>
    <row r="1769" spans="1:16" x14ac:dyDescent="0.25">
      <c r="A1769" s="4" t="s">
        <v>21</v>
      </c>
      <c r="B1769" s="4" t="s">
        <v>423</v>
      </c>
      <c r="C1769" s="5">
        <v>39788</v>
      </c>
      <c r="D1769" s="4" t="s">
        <v>33</v>
      </c>
      <c r="E1769" s="4" t="s">
        <v>43</v>
      </c>
      <c r="F1769" s="4" t="s">
        <v>435</v>
      </c>
      <c r="G1769" s="4" t="s">
        <v>26</v>
      </c>
      <c r="H1769" s="4" t="s">
        <v>27</v>
      </c>
      <c r="I1769" s="4" t="s">
        <v>715</v>
      </c>
      <c r="J1769" s="4" t="s">
        <v>715</v>
      </c>
      <c r="K1769" s="5">
        <v>6060301</v>
      </c>
      <c r="L1769" s="5">
        <v>279806</v>
      </c>
      <c r="M1769" s="5">
        <v>19</v>
      </c>
      <c r="N1769" s="5">
        <v>3</v>
      </c>
      <c r="O1769" s="5">
        <v>16.100000000000001</v>
      </c>
      <c r="P1769" s="5"/>
    </row>
    <row r="1770" spans="1:16" x14ac:dyDescent="0.25">
      <c r="A1770" s="4" t="s">
        <v>21</v>
      </c>
      <c r="B1770" s="4" t="s">
        <v>423</v>
      </c>
      <c r="C1770" s="5">
        <v>39791</v>
      </c>
      <c r="D1770" s="4" t="s">
        <v>33</v>
      </c>
      <c r="E1770" s="4" t="s">
        <v>43</v>
      </c>
      <c r="F1770" s="4" t="s">
        <v>550</v>
      </c>
      <c r="G1770" s="4" t="s">
        <v>26</v>
      </c>
      <c r="H1770" s="4" t="s">
        <v>27</v>
      </c>
      <c r="I1770" s="4" t="s">
        <v>715</v>
      </c>
      <c r="J1770" s="4" t="s">
        <v>715</v>
      </c>
      <c r="K1770" s="5">
        <v>6071420</v>
      </c>
      <c r="L1770" s="5">
        <v>288203</v>
      </c>
      <c r="M1770" s="5">
        <v>19</v>
      </c>
      <c r="N1770" s="5">
        <v>4</v>
      </c>
      <c r="O1770" s="5">
        <v>50.3</v>
      </c>
      <c r="P1770" s="5"/>
    </row>
    <row r="1771" spans="1:16" x14ac:dyDescent="0.25">
      <c r="A1771" s="4" t="s">
        <v>21</v>
      </c>
      <c r="B1771" s="4" t="s">
        <v>423</v>
      </c>
      <c r="C1771" s="5">
        <v>39809</v>
      </c>
      <c r="D1771" s="4" t="s">
        <v>33</v>
      </c>
      <c r="E1771" s="4" t="s">
        <v>43</v>
      </c>
      <c r="F1771" s="4" t="s">
        <v>435</v>
      </c>
      <c r="G1771" s="4" t="s">
        <v>26</v>
      </c>
      <c r="H1771" s="4" t="s">
        <v>27</v>
      </c>
      <c r="I1771" s="4" t="s">
        <v>715</v>
      </c>
      <c r="J1771" s="4" t="s">
        <v>715</v>
      </c>
      <c r="K1771" s="5">
        <v>6060124</v>
      </c>
      <c r="L1771" s="5">
        <v>279626</v>
      </c>
      <c r="M1771" s="5">
        <v>19</v>
      </c>
      <c r="N1771" s="5">
        <v>1</v>
      </c>
      <c r="O1771" s="5">
        <v>2</v>
      </c>
      <c r="P1771" s="5"/>
    </row>
    <row r="1772" spans="1:16" x14ac:dyDescent="0.25">
      <c r="A1772" s="4" t="s">
        <v>54</v>
      </c>
      <c r="B1772" s="4" t="s">
        <v>553</v>
      </c>
      <c r="C1772" s="5">
        <v>35497</v>
      </c>
      <c r="D1772" s="4" t="s">
        <v>97</v>
      </c>
      <c r="E1772" s="4" t="s">
        <v>184</v>
      </c>
      <c r="F1772" s="4" t="s">
        <v>554</v>
      </c>
      <c r="G1772" s="4" t="s">
        <v>57</v>
      </c>
      <c r="H1772" s="4" t="s">
        <v>641</v>
      </c>
      <c r="I1772" s="4" t="s">
        <v>715</v>
      </c>
      <c r="J1772" s="4" t="s">
        <v>715</v>
      </c>
      <c r="K1772" s="5">
        <v>5716630</v>
      </c>
      <c r="L1772" s="5">
        <v>717716</v>
      </c>
      <c r="M1772" s="5">
        <v>18</v>
      </c>
      <c r="N1772" s="5">
        <v>1</v>
      </c>
      <c r="O1772" s="5">
        <v>0.4</v>
      </c>
      <c r="P1772" s="5"/>
    </row>
    <row r="1773" spans="1:16" x14ac:dyDescent="0.25">
      <c r="A1773" s="4" t="s">
        <v>54</v>
      </c>
      <c r="B1773" s="4" t="s">
        <v>553</v>
      </c>
      <c r="C1773" s="5">
        <v>35498</v>
      </c>
      <c r="D1773" s="4" t="s">
        <v>97</v>
      </c>
      <c r="E1773" s="4" t="s">
        <v>184</v>
      </c>
      <c r="F1773" s="4" t="s">
        <v>554</v>
      </c>
      <c r="G1773" s="4" t="s">
        <v>57</v>
      </c>
      <c r="H1773" s="4" t="s">
        <v>641</v>
      </c>
      <c r="I1773" s="4" t="s">
        <v>715</v>
      </c>
      <c r="J1773" s="4" t="s">
        <v>715</v>
      </c>
      <c r="K1773" s="5">
        <v>5716281</v>
      </c>
      <c r="L1773" s="5">
        <v>717893</v>
      </c>
      <c r="M1773" s="5">
        <v>18</v>
      </c>
      <c r="N1773" s="5">
        <v>1</v>
      </c>
      <c r="O1773" s="5">
        <v>0.11</v>
      </c>
      <c r="P1773" s="5"/>
    </row>
    <row r="1774" spans="1:16" x14ac:dyDescent="0.25">
      <c r="A1774" s="4" t="s">
        <v>54</v>
      </c>
      <c r="B1774" s="4" t="s">
        <v>553</v>
      </c>
      <c r="C1774" s="5">
        <v>35500</v>
      </c>
      <c r="D1774" s="4" t="s">
        <v>97</v>
      </c>
      <c r="E1774" s="4" t="s">
        <v>184</v>
      </c>
      <c r="F1774" s="4" t="s">
        <v>554</v>
      </c>
      <c r="G1774" s="4" t="s">
        <v>57</v>
      </c>
      <c r="H1774" s="4" t="s">
        <v>641</v>
      </c>
      <c r="I1774" s="4" t="s">
        <v>715</v>
      </c>
      <c r="J1774" s="4" t="s">
        <v>715</v>
      </c>
      <c r="K1774" s="5">
        <v>5715780</v>
      </c>
      <c r="L1774" s="5">
        <v>717838</v>
      </c>
      <c r="M1774" s="5">
        <v>18</v>
      </c>
      <c r="N1774" s="5">
        <v>1</v>
      </c>
      <c r="O1774" s="5">
        <v>0.02</v>
      </c>
      <c r="P1774" s="5"/>
    </row>
    <row r="1775" spans="1:16" x14ac:dyDescent="0.25">
      <c r="A1775" s="4" t="s">
        <v>54</v>
      </c>
      <c r="B1775" s="4" t="s">
        <v>553</v>
      </c>
      <c r="C1775" s="5">
        <v>35658</v>
      </c>
      <c r="D1775" s="4" t="s">
        <v>97</v>
      </c>
      <c r="E1775" s="4" t="s">
        <v>413</v>
      </c>
      <c r="F1775" s="4" t="s">
        <v>413</v>
      </c>
      <c r="G1775" s="4" t="s">
        <v>57</v>
      </c>
      <c r="H1775" s="4" t="s">
        <v>641</v>
      </c>
      <c r="I1775" s="4" t="s">
        <v>715</v>
      </c>
      <c r="J1775" s="4" t="s">
        <v>715</v>
      </c>
      <c r="K1775" s="5">
        <v>5672782</v>
      </c>
      <c r="L1775" s="5">
        <v>699020</v>
      </c>
      <c r="M1775" s="5">
        <v>18</v>
      </c>
      <c r="N1775" s="5">
        <v>1</v>
      </c>
      <c r="O1775" s="5">
        <v>1.5</v>
      </c>
      <c r="P1775" s="5"/>
    </row>
    <row r="1776" spans="1:16" x14ac:dyDescent="0.25">
      <c r="A1776" s="4" t="s">
        <v>54</v>
      </c>
      <c r="B1776" s="4" t="s">
        <v>553</v>
      </c>
      <c r="C1776" s="5">
        <v>37584</v>
      </c>
      <c r="D1776" s="4" t="s">
        <v>97</v>
      </c>
      <c r="E1776" s="4" t="s">
        <v>184</v>
      </c>
      <c r="F1776" s="4" t="s">
        <v>554</v>
      </c>
      <c r="G1776" s="4" t="s">
        <v>57</v>
      </c>
      <c r="H1776" s="4" t="s">
        <v>641</v>
      </c>
      <c r="I1776" s="4" t="s">
        <v>715</v>
      </c>
      <c r="J1776" s="4" t="s">
        <v>715</v>
      </c>
      <c r="K1776" s="5">
        <v>5715883</v>
      </c>
      <c r="L1776" s="5">
        <v>717848</v>
      </c>
      <c r="M1776" s="5">
        <v>18</v>
      </c>
      <c r="N1776" s="5">
        <v>1</v>
      </c>
      <c r="O1776" s="5">
        <v>0.19</v>
      </c>
      <c r="P1776" s="5"/>
    </row>
    <row r="1777" spans="1:16" x14ac:dyDescent="0.25">
      <c r="A1777" s="4" t="s">
        <v>54</v>
      </c>
      <c r="B1777" s="4" t="s">
        <v>553</v>
      </c>
      <c r="C1777" s="5">
        <v>37587</v>
      </c>
      <c r="D1777" s="4" t="s">
        <v>97</v>
      </c>
      <c r="E1777" s="4" t="s">
        <v>184</v>
      </c>
      <c r="F1777" s="4" t="s">
        <v>554</v>
      </c>
      <c r="G1777" s="4" t="s">
        <v>57</v>
      </c>
      <c r="H1777" s="4" t="s">
        <v>641</v>
      </c>
      <c r="I1777" s="4" t="s">
        <v>715</v>
      </c>
      <c r="J1777" s="4" t="s">
        <v>715</v>
      </c>
      <c r="K1777" s="5">
        <v>5716268</v>
      </c>
      <c r="L1777" s="5">
        <v>717938</v>
      </c>
      <c r="M1777" s="5">
        <v>18</v>
      </c>
      <c r="N1777" s="5">
        <v>1</v>
      </c>
      <c r="O1777" s="5">
        <v>0.16</v>
      </c>
      <c r="P1777" s="5"/>
    </row>
    <row r="1778" spans="1:16" x14ac:dyDescent="0.25">
      <c r="A1778" s="4" t="s">
        <v>54</v>
      </c>
      <c r="B1778" s="4" t="s">
        <v>553</v>
      </c>
      <c r="C1778" s="5">
        <v>37588</v>
      </c>
      <c r="D1778" s="4" t="s">
        <v>97</v>
      </c>
      <c r="E1778" s="4" t="s">
        <v>184</v>
      </c>
      <c r="F1778" s="4" t="s">
        <v>554</v>
      </c>
      <c r="G1778" s="4" t="s">
        <v>57</v>
      </c>
      <c r="H1778" s="4" t="s">
        <v>641</v>
      </c>
      <c r="I1778" s="4" t="s">
        <v>715</v>
      </c>
      <c r="J1778" s="4" t="s">
        <v>715</v>
      </c>
      <c r="K1778" s="5">
        <v>5716547</v>
      </c>
      <c r="L1778" s="5">
        <v>717735</v>
      </c>
      <c r="M1778" s="5">
        <v>18</v>
      </c>
      <c r="N1778" s="5">
        <v>1</v>
      </c>
      <c r="O1778" s="5">
        <v>0.22</v>
      </c>
      <c r="P1778" s="5"/>
    </row>
    <row r="1779" spans="1:16" x14ac:dyDescent="0.25">
      <c r="A1779" s="4" t="s">
        <v>54</v>
      </c>
      <c r="B1779" s="4" t="s">
        <v>553</v>
      </c>
      <c r="C1779" s="5">
        <v>37747</v>
      </c>
      <c r="D1779" s="4" t="s">
        <v>97</v>
      </c>
      <c r="E1779" s="4" t="s">
        <v>413</v>
      </c>
      <c r="F1779" s="4" t="s">
        <v>413</v>
      </c>
      <c r="G1779" s="4" t="s">
        <v>57</v>
      </c>
      <c r="H1779" s="4" t="s">
        <v>641</v>
      </c>
      <c r="I1779" s="4" t="s">
        <v>715</v>
      </c>
      <c r="J1779" s="4" t="s">
        <v>715</v>
      </c>
      <c r="K1779" s="5">
        <v>5665688</v>
      </c>
      <c r="L1779" s="5">
        <v>701130</v>
      </c>
      <c r="M1779" s="5">
        <v>18</v>
      </c>
      <c r="N1779" s="5">
        <v>1</v>
      </c>
      <c r="O1779" s="5">
        <v>1.75</v>
      </c>
      <c r="P1779" s="5"/>
    </row>
    <row r="1780" spans="1:16" x14ac:dyDescent="0.25">
      <c r="A1780" s="4" t="s">
        <v>54</v>
      </c>
      <c r="B1780" s="4" t="s">
        <v>553</v>
      </c>
      <c r="C1780" s="5">
        <v>37750</v>
      </c>
      <c r="D1780" s="4" t="s">
        <v>97</v>
      </c>
      <c r="E1780" s="4" t="s">
        <v>413</v>
      </c>
      <c r="F1780" s="4" t="s">
        <v>413</v>
      </c>
      <c r="G1780" s="4" t="s">
        <v>57</v>
      </c>
      <c r="H1780" s="4" t="s">
        <v>641</v>
      </c>
      <c r="I1780" s="4" t="s">
        <v>715</v>
      </c>
      <c r="J1780" s="4" t="s">
        <v>715</v>
      </c>
      <c r="K1780" s="5">
        <v>5672618</v>
      </c>
      <c r="L1780" s="5">
        <v>699425</v>
      </c>
      <c r="M1780" s="5">
        <v>18</v>
      </c>
      <c r="N1780" s="5">
        <v>1</v>
      </c>
      <c r="O1780" s="5">
        <v>0.2</v>
      </c>
      <c r="P1780" s="5"/>
    </row>
    <row r="1781" spans="1:16" x14ac:dyDescent="0.25">
      <c r="A1781" s="4" t="s">
        <v>54</v>
      </c>
      <c r="B1781" s="4" t="s">
        <v>555</v>
      </c>
      <c r="C1781" s="5">
        <v>38042</v>
      </c>
      <c r="D1781" s="4" t="s">
        <v>23</v>
      </c>
      <c r="E1781" s="4" t="s">
        <v>519</v>
      </c>
      <c r="F1781" s="4" t="s">
        <v>519</v>
      </c>
      <c r="G1781" s="4" t="s">
        <v>26</v>
      </c>
      <c r="H1781" s="4" t="s">
        <v>641</v>
      </c>
      <c r="I1781" s="4" t="s">
        <v>642</v>
      </c>
      <c r="J1781" s="4" t="s">
        <v>642</v>
      </c>
      <c r="K1781" s="5">
        <v>6272366</v>
      </c>
      <c r="L1781" s="5">
        <v>350151</v>
      </c>
      <c r="M1781" s="5">
        <v>19</v>
      </c>
      <c r="N1781" s="5">
        <v>1</v>
      </c>
      <c r="O1781" s="5">
        <v>0.6</v>
      </c>
      <c r="P1781" s="5"/>
    </row>
    <row r="1782" spans="1:16" x14ac:dyDescent="0.25">
      <c r="A1782" s="4" t="s">
        <v>54</v>
      </c>
      <c r="B1782" s="4" t="s">
        <v>556</v>
      </c>
      <c r="C1782" s="5">
        <v>35278</v>
      </c>
      <c r="D1782" s="4" t="s">
        <v>97</v>
      </c>
      <c r="E1782" s="4" t="s">
        <v>558</v>
      </c>
      <c r="F1782" s="4" t="s">
        <v>558</v>
      </c>
      <c r="G1782" s="4" t="s">
        <v>57</v>
      </c>
      <c r="H1782" s="4" t="s">
        <v>641</v>
      </c>
      <c r="I1782" s="4" t="s">
        <v>642</v>
      </c>
      <c r="J1782" s="4" t="s">
        <v>642</v>
      </c>
      <c r="K1782" s="5">
        <v>5754464</v>
      </c>
      <c r="L1782" s="5">
        <v>708747</v>
      </c>
      <c r="M1782" s="5">
        <v>18</v>
      </c>
      <c r="N1782" s="5">
        <v>1</v>
      </c>
      <c r="O1782" s="5">
        <v>0.7</v>
      </c>
      <c r="P1782" s="5"/>
    </row>
    <row r="1783" spans="1:16" x14ac:dyDescent="0.25">
      <c r="A1783" s="4" t="s">
        <v>21</v>
      </c>
      <c r="B1783" s="4" t="s">
        <v>556</v>
      </c>
      <c r="C1783" s="5">
        <v>35501</v>
      </c>
      <c r="D1783" s="4" t="s">
        <v>97</v>
      </c>
      <c r="E1783" s="4" t="s">
        <v>184</v>
      </c>
      <c r="F1783" s="4" t="s">
        <v>559</v>
      </c>
      <c r="G1783" s="4" t="s">
        <v>57</v>
      </c>
      <c r="H1783" s="4" t="s">
        <v>27</v>
      </c>
      <c r="I1783" s="4" t="s">
        <v>88</v>
      </c>
      <c r="J1783" s="4" t="s">
        <v>89</v>
      </c>
      <c r="K1783" s="5">
        <v>5717956</v>
      </c>
      <c r="L1783" s="5">
        <v>733463</v>
      </c>
      <c r="M1783" s="5">
        <v>18</v>
      </c>
      <c r="N1783" s="5">
        <v>2</v>
      </c>
      <c r="O1783" s="5">
        <v>81</v>
      </c>
      <c r="P1783" s="5"/>
    </row>
    <row r="1784" spans="1:16" x14ac:dyDescent="0.25">
      <c r="A1784" s="4" t="s">
        <v>21</v>
      </c>
      <c r="B1784" s="4" t="s">
        <v>556</v>
      </c>
      <c r="C1784" s="5">
        <v>35502</v>
      </c>
      <c r="D1784" s="4" t="s">
        <v>97</v>
      </c>
      <c r="E1784" s="4" t="s">
        <v>184</v>
      </c>
      <c r="F1784" s="4" t="s">
        <v>560</v>
      </c>
      <c r="G1784" s="4" t="s">
        <v>57</v>
      </c>
      <c r="H1784" s="4" t="s">
        <v>27</v>
      </c>
      <c r="I1784" s="4" t="s">
        <v>88</v>
      </c>
      <c r="J1784" s="4" t="s">
        <v>89</v>
      </c>
      <c r="K1784" s="5">
        <v>5715315</v>
      </c>
      <c r="L1784" s="5">
        <v>733911</v>
      </c>
      <c r="M1784" s="5">
        <v>18</v>
      </c>
      <c r="N1784" s="5">
        <v>2</v>
      </c>
      <c r="O1784" s="5">
        <v>34</v>
      </c>
      <c r="P1784" s="5"/>
    </row>
    <row r="1785" spans="1:16" x14ac:dyDescent="0.25">
      <c r="A1785" s="4" t="s">
        <v>21</v>
      </c>
      <c r="B1785" s="4" t="s">
        <v>556</v>
      </c>
      <c r="C1785" s="5">
        <v>35503</v>
      </c>
      <c r="D1785" s="4" t="s">
        <v>97</v>
      </c>
      <c r="E1785" s="4" t="s">
        <v>184</v>
      </c>
      <c r="F1785" s="4" t="s">
        <v>559</v>
      </c>
      <c r="G1785" s="4" t="s">
        <v>57</v>
      </c>
      <c r="H1785" s="4" t="s">
        <v>27</v>
      </c>
      <c r="I1785" s="4" t="s">
        <v>88</v>
      </c>
      <c r="J1785" s="4" t="s">
        <v>89</v>
      </c>
      <c r="K1785" s="5">
        <v>5719499</v>
      </c>
      <c r="L1785" s="5">
        <v>737396</v>
      </c>
      <c r="M1785" s="5">
        <v>18</v>
      </c>
      <c r="N1785" s="5">
        <v>3</v>
      </c>
      <c r="O1785" s="5">
        <v>86</v>
      </c>
      <c r="P1785" s="5"/>
    </row>
    <row r="1786" spans="1:16" x14ac:dyDescent="0.25">
      <c r="A1786" s="4" t="s">
        <v>21</v>
      </c>
      <c r="B1786" s="4" t="s">
        <v>556</v>
      </c>
      <c r="C1786" s="5">
        <v>35527</v>
      </c>
      <c r="D1786" s="4" t="s">
        <v>58</v>
      </c>
      <c r="E1786" s="4" t="s">
        <v>59</v>
      </c>
      <c r="F1786" s="4" t="s">
        <v>59</v>
      </c>
      <c r="G1786" s="4" t="s">
        <v>57</v>
      </c>
      <c r="H1786" s="4" t="s">
        <v>27</v>
      </c>
      <c r="I1786" s="4" t="s">
        <v>88</v>
      </c>
      <c r="J1786" s="4" t="s">
        <v>89</v>
      </c>
      <c r="K1786" s="5">
        <v>5855208</v>
      </c>
      <c r="L1786" s="5">
        <v>745019</v>
      </c>
      <c r="M1786" s="5">
        <v>18</v>
      </c>
      <c r="N1786" s="5">
        <v>1</v>
      </c>
      <c r="O1786" s="5">
        <v>27</v>
      </c>
      <c r="P1786" s="5"/>
    </row>
    <row r="1787" spans="1:16" x14ac:dyDescent="0.25">
      <c r="A1787" s="4" t="s">
        <v>21</v>
      </c>
      <c r="B1787" s="4" t="s">
        <v>556</v>
      </c>
      <c r="C1787" s="5">
        <v>35528</v>
      </c>
      <c r="D1787" s="4" t="s">
        <v>58</v>
      </c>
      <c r="E1787" s="4" t="s">
        <v>561</v>
      </c>
      <c r="F1787" s="4" t="s">
        <v>561</v>
      </c>
      <c r="G1787" s="4" t="s">
        <v>57</v>
      </c>
      <c r="H1787" s="4" t="s">
        <v>27</v>
      </c>
      <c r="I1787" s="4" t="s">
        <v>88</v>
      </c>
      <c r="J1787" s="4" t="s">
        <v>89</v>
      </c>
      <c r="K1787" s="5">
        <v>5847161</v>
      </c>
      <c r="L1787" s="5">
        <v>708237</v>
      </c>
      <c r="M1787" s="5">
        <v>18</v>
      </c>
      <c r="N1787" s="5">
        <v>1</v>
      </c>
      <c r="O1787" s="5">
        <v>20</v>
      </c>
      <c r="P1787" s="5"/>
    </row>
    <row r="1788" spans="1:16" x14ac:dyDescent="0.25">
      <c r="A1788" s="4" t="s">
        <v>21</v>
      </c>
      <c r="B1788" s="4" t="s">
        <v>556</v>
      </c>
      <c r="C1788" s="5">
        <v>35532</v>
      </c>
      <c r="D1788" s="4" t="s">
        <v>33</v>
      </c>
      <c r="E1788" s="4" t="s">
        <v>180</v>
      </c>
      <c r="F1788" s="4" t="s">
        <v>562</v>
      </c>
      <c r="G1788" s="4" t="s">
        <v>57</v>
      </c>
      <c r="H1788" s="4" t="s">
        <v>27</v>
      </c>
      <c r="I1788" s="4" t="s">
        <v>88</v>
      </c>
      <c r="J1788" s="4" t="s">
        <v>89</v>
      </c>
      <c r="K1788" s="5">
        <v>5989584</v>
      </c>
      <c r="L1788" s="5">
        <v>257504</v>
      </c>
      <c r="M1788" s="5">
        <v>19</v>
      </c>
      <c r="N1788" s="5">
        <v>1</v>
      </c>
      <c r="O1788" s="5">
        <v>41</v>
      </c>
      <c r="P1788" s="5"/>
    </row>
    <row r="1789" spans="1:16" x14ac:dyDescent="0.25">
      <c r="A1789" s="4" t="s">
        <v>21</v>
      </c>
      <c r="B1789" s="4" t="s">
        <v>556</v>
      </c>
      <c r="C1789" s="5">
        <v>35653</v>
      </c>
      <c r="D1789" s="4" t="s">
        <v>58</v>
      </c>
      <c r="E1789" s="4" t="s">
        <v>59</v>
      </c>
      <c r="F1789" s="4" t="s">
        <v>563</v>
      </c>
      <c r="G1789" s="4" t="s">
        <v>57</v>
      </c>
      <c r="H1789" s="4" t="s">
        <v>27</v>
      </c>
      <c r="I1789" s="4" t="s">
        <v>61</v>
      </c>
      <c r="J1789" s="4" t="s">
        <v>638</v>
      </c>
      <c r="K1789" s="5">
        <v>5845507</v>
      </c>
      <c r="L1789" s="5">
        <v>727309</v>
      </c>
      <c r="M1789" s="5">
        <v>18</v>
      </c>
      <c r="N1789" s="5">
        <v>1</v>
      </c>
      <c r="O1789" s="5">
        <v>20</v>
      </c>
      <c r="P1789" s="5"/>
    </row>
    <row r="1790" spans="1:16" x14ac:dyDescent="0.25">
      <c r="A1790" s="4" t="s">
        <v>21</v>
      </c>
      <c r="B1790" s="4" t="s">
        <v>556</v>
      </c>
      <c r="C1790" s="5">
        <v>35654</v>
      </c>
      <c r="D1790" s="4" t="s">
        <v>58</v>
      </c>
      <c r="E1790" s="4" t="s">
        <v>59</v>
      </c>
      <c r="F1790" s="4" t="s">
        <v>59</v>
      </c>
      <c r="G1790" s="4" t="s">
        <v>57</v>
      </c>
      <c r="H1790" s="4" t="s">
        <v>27</v>
      </c>
      <c r="I1790" s="4" t="s">
        <v>88</v>
      </c>
      <c r="J1790" s="4" t="s">
        <v>89</v>
      </c>
      <c r="K1790" s="5">
        <v>5853395</v>
      </c>
      <c r="L1790" s="5">
        <v>739648</v>
      </c>
      <c r="M1790" s="5">
        <v>18</v>
      </c>
      <c r="N1790" s="5">
        <v>1</v>
      </c>
      <c r="O1790" s="5">
        <v>20</v>
      </c>
      <c r="P1790" s="5"/>
    </row>
    <row r="1791" spans="1:16" x14ac:dyDescent="0.25">
      <c r="A1791" s="4" t="s">
        <v>21</v>
      </c>
      <c r="B1791" s="4" t="s">
        <v>556</v>
      </c>
      <c r="C1791" s="5">
        <v>35734</v>
      </c>
      <c r="D1791" s="4" t="s">
        <v>97</v>
      </c>
      <c r="E1791" s="4" t="s">
        <v>182</v>
      </c>
      <c r="F1791" s="4" t="s">
        <v>182</v>
      </c>
      <c r="G1791" s="4" t="s">
        <v>57</v>
      </c>
      <c r="H1791" s="4" t="s">
        <v>27</v>
      </c>
      <c r="I1791" s="4" t="s">
        <v>88</v>
      </c>
      <c r="J1791" s="4" t="s">
        <v>89</v>
      </c>
      <c r="K1791" s="5">
        <v>5683948</v>
      </c>
      <c r="L1791" s="5">
        <v>710258</v>
      </c>
      <c r="M1791" s="5">
        <v>18</v>
      </c>
      <c r="N1791" s="5">
        <v>1</v>
      </c>
      <c r="O1791" s="5">
        <v>75</v>
      </c>
      <c r="P1791" s="5"/>
    </row>
    <row r="1792" spans="1:16" x14ac:dyDescent="0.25">
      <c r="A1792" s="4" t="s">
        <v>21</v>
      </c>
      <c r="B1792" s="4" t="s">
        <v>556</v>
      </c>
      <c r="C1792" s="5">
        <v>35735</v>
      </c>
      <c r="D1792" s="4" t="s">
        <v>97</v>
      </c>
      <c r="E1792" s="4" t="s">
        <v>182</v>
      </c>
      <c r="F1792" s="4" t="s">
        <v>182</v>
      </c>
      <c r="G1792" s="4" t="s">
        <v>57</v>
      </c>
      <c r="H1792" s="4" t="s">
        <v>27</v>
      </c>
      <c r="I1792" s="4" t="s">
        <v>88</v>
      </c>
      <c r="J1792" s="4" t="s">
        <v>89</v>
      </c>
      <c r="K1792" s="5">
        <v>5683314</v>
      </c>
      <c r="L1792" s="5">
        <v>712782</v>
      </c>
      <c r="M1792" s="5">
        <v>18</v>
      </c>
      <c r="N1792" s="5">
        <v>1</v>
      </c>
      <c r="O1792" s="5">
        <v>55</v>
      </c>
      <c r="P1792" s="5"/>
    </row>
    <row r="1793" spans="1:16" x14ac:dyDescent="0.25">
      <c r="A1793" s="4" t="s">
        <v>21</v>
      </c>
      <c r="B1793" s="4" t="s">
        <v>556</v>
      </c>
      <c r="C1793" s="5">
        <v>35737</v>
      </c>
      <c r="D1793" s="4" t="s">
        <v>58</v>
      </c>
      <c r="E1793" s="4" t="s">
        <v>103</v>
      </c>
      <c r="F1793" s="4" t="s">
        <v>103</v>
      </c>
      <c r="G1793" s="4" t="s">
        <v>57</v>
      </c>
      <c r="H1793" s="4" t="s">
        <v>27</v>
      </c>
      <c r="I1793" s="4" t="s">
        <v>88</v>
      </c>
      <c r="J1793" s="4" t="s">
        <v>89</v>
      </c>
      <c r="K1793" s="5">
        <v>5840808</v>
      </c>
      <c r="L1793" s="5">
        <v>711389</v>
      </c>
      <c r="M1793" s="5">
        <v>18</v>
      </c>
      <c r="N1793" s="5">
        <v>1</v>
      </c>
      <c r="O1793" s="5">
        <v>22</v>
      </c>
      <c r="P1793" s="5"/>
    </row>
    <row r="1794" spans="1:16" x14ac:dyDescent="0.25">
      <c r="A1794" s="4" t="s">
        <v>21</v>
      </c>
      <c r="B1794" s="4" t="s">
        <v>556</v>
      </c>
      <c r="C1794" s="5">
        <v>35738</v>
      </c>
      <c r="D1794" s="4" t="s">
        <v>97</v>
      </c>
      <c r="E1794" s="4" t="s">
        <v>564</v>
      </c>
      <c r="F1794" s="4" t="s">
        <v>565</v>
      </c>
      <c r="G1794" s="4" t="s">
        <v>57</v>
      </c>
      <c r="H1794" s="4" t="s">
        <v>27</v>
      </c>
      <c r="I1794" s="4" t="s">
        <v>88</v>
      </c>
      <c r="J1794" s="4" t="s">
        <v>89</v>
      </c>
      <c r="K1794" s="5">
        <v>5678291</v>
      </c>
      <c r="L1794" s="5">
        <v>676205</v>
      </c>
      <c r="M1794" s="5">
        <v>18</v>
      </c>
      <c r="N1794" s="5">
        <v>1</v>
      </c>
      <c r="O1794" s="5">
        <v>40</v>
      </c>
      <c r="P1794" s="5"/>
    </row>
    <row r="1795" spans="1:16" x14ac:dyDescent="0.25">
      <c r="A1795" s="4" t="s">
        <v>21</v>
      </c>
      <c r="B1795" s="4" t="s">
        <v>556</v>
      </c>
      <c r="C1795" s="5">
        <v>35873</v>
      </c>
      <c r="D1795" s="4" t="s">
        <v>97</v>
      </c>
      <c r="E1795" s="4" t="s">
        <v>184</v>
      </c>
      <c r="F1795" s="4" t="s">
        <v>185</v>
      </c>
      <c r="G1795" s="4" t="s">
        <v>57</v>
      </c>
      <c r="H1795" s="4" t="s">
        <v>27</v>
      </c>
      <c r="I1795" s="4" t="s">
        <v>88</v>
      </c>
      <c r="J1795" s="4" t="s">
        <v>89</v>
      </c>
      <c r="K1795" s="5">
        <v>5716693</v>
      </c>
      <c r="L1795" s="5">
        <v>726302</v>
      </c>
      <c r="M1795" s="5">
        <v>18</v>
      </c>
      <c r="N1795" s="5">
        <v>5</v>
      </c>
      <c r="O1795" s="5">
        <v>106</v>
      </c>
      <c r="P1795" s="5"/>
    </row>
    <row r="1796" spans="1:16" x14ac:dyDescent="0.25">
      <c r="A1796" s="4" t="s">
        <v>54</v>
      </c>
      <c r="B1796" s="4" t="s">
        <v>556</v>
      </c>
      <c r="C1796" s="5">
        <v>35880</v>
      </c>
      <c r="D1796" s="4" t="s">
        <v>97</v>
      </c>
      <c r="E1796" s="4" t="s">
        <v>558</v>
      </c>
      <c r="F1796" s="4" t="s">
        <v>558</v>
      </c>
      <c r="G1796" s="4" t="s">
        <v>57</v>
      </c>
      <c r="H1796" s="4" t="s">
        <v>641</v>
      </c>
      <c r="I1796" s="4" t="s">
        <v>642</v>
      </c>
      <c r="J1796" s="4" t="s">
        <v>642</v>
      </c>
      <c r="K1796" s="5">
        <v>5754569</v>
      </c>
      <c r="L1796" s="5">
        <v>710135</v>
      </c>
      <c r="M1796" s="5">
        <v>18</v>
      </c>
      <c r="N1796" s="5">
        <v>1</v>
      </c>
      <c r="O1796" s="5">
        <v>0.25</v>
      </c>
      <c r="P1796" s="5"/>
    </row>
    <row r="1797" spans="1:16" x14ac:dyDescent="0.25">
      <c r="A1797" s="4" t="s">
        <v>21</v>
      </c>
      <c r="B1797" s="4" t="s">
        <v>556</v>
      </c>
      <c r="C1797" s="5">
        <v>35993</v>
      </c>
      <c r="D1797" s="4" t="s">
        <v>221</v>
      </c>
      <c r="E1797" s="4" t="s">
        <v>566</v>
      </c>
      <c r="F1797" s="4" t="s">
        <v>567</v>
      </c>
      <c r="G1797" s="4" t="s">
        <v>57</v>
      </c>
      <c r="H1797" s="4" t="s">
        <v>27</v>
      </c>
      <c r="I1797" s="4" t="s">
        <v>88</v>
      </c>
      <c r="J1797" s="4" t="s">
        <v>89</v>
      </c>
      <c r="K1797" s="5">
        <v>5513003</v>
      </c>
      <c r="L1797" s="5">
        <v>698163</v>
      </c>
      <c r="M1797" s="5">
        <v>18</v>
      </c>
      <c r="N1797" s="5">
        <v>2</v>
      </c>
      <c r="O1797" s="5">
        <v>22.6</v>
      </c>
      <c r="P1797" s="5"/>
    </row>
    <row r="1798" spans="1:16" x14ac:dyDescent="0.25">
      <c r="A1798" s="4" t="s">
        <v>21</v>
      </c>
      <c r="B1798" s="4" t="s">
        <v>556</v>
      </c>
      <c r="C1798" s="5">
        <v>36292</v>
      </c>
      <c r="D1798" s="4" t="s">
        <v>97</v>
      </c>
      <c r="E1798" s="4" t="s">
        <v>182</v>
      </c>
      <c r="F1798" s="4" t="s">
        <v>568</v>
      </c>
      <c r="G1798" s="4" t="s">
        <v>57</v>
      </c>
      <c r="H1798" s="4" t="s">
        <v>27</v>
      </c>
      <c r="I1798" s="4" t="s">
        <v>88</v>
      </c>
      <c r="J1798" s="4" t="s">
        <v>89</v>
      </c>
      <c r="K1798" s="5">
        <v>5685473</v>
      </c>
      <c r="L1798" s="5">
        <v>694537</v>
      </c>
      <c r="M1798" s="5">
        <v>18</v>
      </c>
      <c r="N1798" s="5">
        <v>1</v>
      </c>
      <c r="O1798" s="5">
        <v>45</v>
      </c>
      <c r="P1798" s="5"/>
    </row>
    <row r="1799" spans="1:16" x14ac:dyDescent="0.25">
      <c r="A1799" s="4" t="s">
        <v>21</v>
      </c>
      <c r="B1799" s="4" t="s">
        <v>556</v>
      </c>
      <c r="C1799" s="5">
        <v>36294</v>
      </c>
      <c r="D1799" s="4" t="s">
        <v>97</v>
      </c>
      <c r="E1799" s="4" t="s">
        <v>182</v>
      </c>
      <c r="F1799" s="4" t="s">
        <v>568</v>
      </c>
      <c r="G1799" s="4" t="s">
        <v>57</v>
      </c>
      <c r="H1799" s="4" t="s">
        <v>27</v>
      </c>
      <c r="I1799" s="4" t="s">
        <v>88</v>
      </c>
      <c r="J1799" s="4" t="s">
        <v>89</v>
      </c>
      <c r="K1799" s="5">
        <v>5696141</v>
      </c>
      <c r="L1799" s="5">
        <v>695393</v>
      </c>
      <c r="M1799" s="5">
        <v>18</v>
      </c>
      <c r="N1799" s="5">
        <v>1</v>
      </c>
      <c r="O1799" s="5">
        <v>60</v>
      </c>
      <c r="P1799" s="5"/>
    </row>
    <row r="1800" spans="1:16" x14ac:dyDescent="0.25">
      <c r="A1800" s="4" t="s">
        <v>21</v>
      </c>
      <c r="B1800" s="4" t="s">
        <v>556</v>
      </c>
      <c r="C1800" s="5">
        <v>36410</v>
      </c>
      <c r="D1800" s="4" t="s">
        <v>97</v>
      </c>
      <c r="E1800" s="4" t="s">
        <v>184</v>
      </c>
      <c r="F1800" s="4" t="s">
        <v>560</v>
      </c>
      <c r="G1800" s="4" t="s">
        <v>57</v>
      </c>
      <c r="H1800" s="4" t="s">
        <v>27</v>
      </c>
      <c r="I1800" s="4" t="s">
        <v>88</v>
      </c>
      <c r="J1800" s="4" t="s">
        <v>89</v>
      </c>
      <c r="K1800" s="5">
        <v>5714882</v>
      </c>
      <c r="L1800" s="5">
        <v>730323</v>
      </c>
      <c r="M1800" s="5">
        <v>18</v>
      </c>
      <c r="N1800" s="5">
        <v>7</v>
      </c>
      <c r="O1800" s="5">
        <v>83.2</v>
      </c>
      <c r="P1800" s="5"/>
    </row>
    <row r="1801" spans="1:16" x14ac:dyDescent="0.25">
      <c r="A1801" s="4" t="s">
        <v>21</v>
      </c>
      <c r="B1801" s="4" t="s">
        <v>556</v>
      </c>
      <c r="C1801" s="5">
        <v>36492</v>
      </c>
      <c r="D1801" s="4" t="s">
        <v>58</v>
      </c>
      <c r="E1801" s="4" t="s">
        <v>59</v>
      </c>
      <c r="F1801" s="4" t="s">
        <v>59</v>
      </c>
      <c r="G1801" s="4" t="s">
        <v>57</v>
      </c>
      <c r="H1801" s="4" t="s">
        <v>27</v>
      </c>
      <c r="I1801" s="4" t="s">
        <v>88</v>
      </c>
      <c r="J1801" s="4" t="s">
        <v>89</v>
      </c>
      <c r="K1801" s="5">
        <v>5854750</v>
      </c>
      <c r="L1801" s="5">
        <v>743860</v>
      </c>
      <c r="M1801" s="5">
        <v>18</v>
      </c>
      <c r="N1801" s="5">
        <v>1</v>
      </c>
      <c r="O1801" s="5">
        <v>59</v>
      </c>
      <c r="P1801" s="5"/>
    </row>
    <row r="1802" spans="1:16" x14ac:dyDescent="0.25">
      <c r="A1802" s="4" t="s">
        <v>21</v>
      </c>
      <c r="B1802" s="4" t="s">
        <v>556</v>
      </c>
      <c r="C1802" s="5">
        <v>36499</v>
      </c>
      <c r="D1802" s="4" t="s">
        <v>97</v>
      </c>
      <c r="E1802" s="4" t="s">
        <v>182</v>
      </c>
      <c r="F1802" s="4" t="s">
        <v>569</v>
      </c>
      <c r="G1802" s="4" t="s">
        <v>57</v>
      </c>
      <c r="H1802" s="4" t="s">
        <v>27</v>
      </c>
      <c r="I1802" s="4" t="s">
        <v>88</v>
      </c>
      <c r="J1802" s="4" t="s">
        <v>89</v>
      </c>
      <c r="K1802" s="5">
        <v>5689287</v>
      </c>
      <c r="L1802" s="5">
        <v>691935</v>
      </c>
      <c r="M1802" s="5">
        <v>18</v>
      </c>
      <c r="N1802" s="5">
        <v>1</v>
      </c>
      <c r="O1802" s="5">
        <v>37.799999999999997</v>
      </c>
      <c r="P1802" s="5"/>
    </row>
    <row r="1803" spans="1:16" x14ac:dyDescent="0.25">
      <c r="A1803" s="4" t="s">
        <v>21</v>
      </c>
      <c r="B1803" s="4" t="s">
        <v>556</v>
      </c>
      <c r="C1803" s="5">
        <v>36529</v>
      </c>
      <c r="D1803" s="4" t="s">
        <v>97</v>
      </c>
      <c r="E1803" s="4" t="s">
        <v>226</v>
      </c>
      <c r="F1803" s="4" t="s">
        <v>570</v>
      </c>
      <c r="G1803" s="4" t="s">
        <v>57</v>
      </c>
      <c r="H1803" s="4" t="s">
        <v>27</v>
      </c>
      <c r="I1803" s="4" t="s">
        <v>88</v>
      </c>
      <c r="J1803" s="4" t="s">
        <v>89</v>
      </c>
      <c r="K1803" s="5">
        <v>5682935</v>
      </c>
      <c r="L1803" s="5">
        <v>675765</v>
      </c>
      <c r="M1803" s="5">
        <v>18</v>
      </c>
      <c r="N1803" s="5">
        <v>4</v>
      </c>
      <c r="O1803" s="5">
        <v>24.39</v>
      </c>
      <c r="P1803" s="5"/>
    </row>
    <row r="1804" spans="1:16" x14ac:dyDescent="0.25">
      <c r="A1804" s="4" t="s">
        <v>21</v>
      </c>
      <c r="B1804" s="4" t="s">
        <v>556</v>
      </c>
      <c r="C1804" s="5">
        <v>36839</v>
      </c>
      <c r="D1804" s="4" t="s">
        <v>33</v>
      </c>
      <c r="E1804" s="4" t="s">
        <v>180</v>
      </c>
      <c r="F1804" s="4" t="s">
        <v>180</v>
      </c>
      <c r="G1804" s="4" t="s">
        <v>57</v>
      </c>
      <c r="H1804" s="4" t="s">
        <v>27</v>
      </c>
      <c r="I1804" s="4" t="s">
        <v>88</v>
      </c>
      <c r="J1804" s="4" t="s">
        <v>89</v>
      </c>
      <c r="K1804" s="5">
        <v>5991315</v>
      </c>
      <c r="L1804" s="5">
        <v>244540</v>
      </c>
      <c r="M1804" s="5">
        <v>19</v>
      </c>
      <c r="N1804" s="5">
        <v>1</v>
      </c>
      <c r="O1804" s="5">
        <v>38.700000000000003</v>
      </c>
      <c r="P1804" s="5"/>
    </row>
    <row r="1805" spans="1:16" x14ac:dyDescent="0.25">
      <c r="A1805" s="4" t="s">
        <v>21</v>
      </c>
      <c r="B1805" s="4" t="s">
        <v>556</v>
      </c>
      <c r="C1805" s="5">
        <v>36844</v>
      </c>
      <c r="D1805" s="4" t="s">
        <v>58</v>
      </c>
      <c r="E1805" s="4" t="s">
        <v>188</v>
      </c>
      <c r="F1805" s="4" t="s">
        <v>571</v>
      </c>
      <c r="G1805" s="4" t="s">
        <v>57</v>
      </c>
      <c r="H1805" s="4" t="s">
        <v>27</v>
      </c>
      <c r="I1805" s="4" t="s">
        <v>88</v>
      </c>
      <c r="J1805" s="4" t="s">
        <v>89</v>
      </c>
      <c r="K1805" s="5">
        <v>5827402</v>
      </c>
      <c r="L1805" s="5">
        <v>738317</v>
      </c>
      <c r="M1805" s="5">
        <v>18</v>
      </c>
      <c r="N1805" s="5">
        <v>1</v>
      </c>
      <c r="O1805" s="5">
        <v>36</v>
      </c>
      <c r="P1805" s="5"/>
    </row>
    <row r="1806" spans="1:16" x14ac:dyDescent="0.25">
      <c r="A1806" s="4" t="s">
        <v>54</v>
      </c>
      <c r="B1806" s="4" t="s">
        <v>556</v>
      </c>
      <c r="C1806" s="5">
        <v>36932</v>
      </c>
      <c r="D1806" s="4" t="s">
        <v>97</v>
      </c>
      <c r="E1806" s="4" t="s">
        <v>346</v>
      </c>
      <c r="F1806" s="4" t="s">
        <v>347</v>
      </c>
      <c r="G1806" s="4" t="s">
        <v>57</v>
      </c>
      <c r="H1806" s="4" t="s">
        <v>641</v>
      </c>
      <c r="I1806" s="4" t="s">
        <v>642</v>
      </c>
      <c r="J1806" s="4" t="s">
        <v>642</v>
      </c>
      <c r="K1806" s="5">
        <v>5718097</v>
      </c>
      <c r="L1806" s="5">
        <v>722076</v>
      </c>
      <c r="M1806" s="5">
        <v>18</v>
      </c>
      <c r="N1806" s="5">
        <v>1</v>
      </c>
      <c r="O1806" s="5">
        <v>2.1</v>
      </c>
      <c r="P1806" s="5"/>
    </row>
    <row r="1807" spans="1:16" x14ac:dyDescent="0.25">
      <c r="A1807" s="4" t="s">
        <v>54</v>
      </c>
      <c r="B1807" s="4" t="s">
        <v>556</v>
      </c>
      <c r="C1807" s="5">
        <v>36936</v>
      </c>
      <c r="D1807" s="4" t="s">
        <v>97</v>
      </c>
      <c r="E1807" s="4" t="s">
        <v>184</v>
      </c>
      <c r="F1807" s="4" t="s">
        <v>185</v>
      </c>
      <c r="G1807" s="4" t="s">
        <v>57</v>
      </c>
      <c r="H1807" s="4" t="s">
        <v>641</v>
      </c>
      <c r="I1807" s="4" t="s">
        <v>642</v>
      </c>
      <c r="J1807" s="4" t="s">
        <v>642</v>
      </c>
      <c r="K1807" s="5">
        <v>5717623</v>
      </c>
      <c r="L1807" s="5">
        <v>727889</v>
      </c>
      <c r="M1807" s="5">
        <v>18</v>
      </c>
      <c r="N1807" s="5">
        <v>1</v>
      </c>
      <c r="O1807" s="5">
        <v>1</v>
      </c>
      <c r="P1807" s="5"/>
    </row>
    <row r="1808" spans="1:16" x14ac:dyDescent="0.25">
      <c r="A1808" s="4" t="s">
        <v>21</v>
      </c>
      <c r="B1808" s="4" t="s">
        <v>556</v>
      </c>
      <c r="C1808" s="5">
        <v>36967</v>
      </c>
      <c r="D1808" s="4" t="s">
        <v>97</v>
      </c>
      <c r="E1808" s="4" t="s">
        <v>182</v>
      </c>
      <c r="F1808" s="4" t="s">
        <v>183</v>
      </c>
      <c r="G1808" s="4" t="s">
        <v>57</v>
      </c>
      <c r="H1808" s="4" t="s">
        <v>27</v>
      </c>
      <c r="I1808" s="4" t="s">
        <v>88</v>
      </c>
      <c r="J1808" s="4" t="s">
        <v>89</v>
      </c>
      <c r="K1808" s="5">
        <v>5695281</v>
      </c>
      <c r="L1808" s="5">
        <v>697297</v>
      </c>
      <c r="M1808" s="5">
        <v>18</v>
      </c>
      <c r="N1808" s="5">
        <v>1</v>
      </c>
      <c r="O1808" s="5">
        <v>90</v>
      </c>
      <c r="P1808" s="5"/>
    </row>
    <row r="1809" spans="1:16" x14ac:dyDescent="0.25">
      <c r="A1809" s="4" t="s">
        <v>21</v>
      </c>
      <c r="B1809" s="4" t="s">
        <v>556</v>
      </c>
      <c r="C1809" s="5">
        <v>36969</v>
      </c>
      <c r="D1809" s="4" t="s">
        <v>97</v>
      </c>
      <c r="E1809" s="4" t="s">
        <v>182</v>
      </c>
      <c r="F1809" s="4" t="s">
        <v>569</v>
      </c>
      <c r="G1809" s="4" t="s">
        <v>57</v>
      </c>
      <c r="H1809" s="4" t="s">
        <v>27</v>
      </c>
      <c r="I1809" s="4" t="s">
        <v>88</v>
      </c>
      <c r="J1809" s="4" t="s">
        <v>89</v>
      </c>
      <c r="K1809" s="5">
        <v>5695920</v>
      </c>
      <c r="L1809" s="5">
        <v>696670</v>
      </c>
      <c r="M1809" s="5">
        <v>18</v>
      </c>
      <c r="N1809" s="5">
        <v>1</v>
      </c>
      <c r="O1809" s="5">
        <v>12.6</v>
      </c>
      <c r="P1809" s="5"/>
    </row>
    <row r="1810" spans="1:16" x14ac:dyDescent="0.25">
      <c r="A1810" s="4" t="s">
        <v>21</v>
      </c>
      <c r="B1810" s="4" t="s">
        <v>556</v>
      </c>
      <c r="C1810" s="5">
        <v>37899</v>
      </c>
      <c r="D1810" s="4" t="s">
        <v>97</v>
      </c>
      <c r="E1810" s="4" t="s">
        <v>182</v>
      </c>
      <c r="F1810" s="4" t="s">
        <v>569</v>
      </c>
      <c r="G1810" s="4" t="s">
        <v>57</v>
      </c>
      <c r="H1810" s="4" t="s">
        <v>27</v>
      </c>
      <c r="I1810" s="4" t="s">
        <v>88</v>
      </c>
      <c r="J1810" s="4" t="s">
        <v>89</v>
      </c>
      <c r="K1810" s="5">
        <v>5696056</v>
      </c>
      <c r="L1810" s="5">
        <v>691586</v>
      </c>
      <c r="M1810" s="5">
        <v>18</v>
      </c>
      <c r="N1810" s="5">
        <v>1</v>
      </c>
      <c r="O1810" s="5">
        <v>27</v>
      </c>
      <c r="P1810" s="5"/>
    </row>
    <row r="1811" spans="1:16" x14ac:dyDescent="0.25">
      <c r="A1811" s="4" t="s">
        <v>21</v>
      </c>
      <c r="B1811" s="4" t="s">
        <v>556</v>
      </c>
      <c r="C1811" s="5">
        <v>38520</v>
      </c>
      <c r="D1811" s="4" t="s">
        <v>97</v>
      </c>
      <c r="E1811" s="4" t="s">
        <v>98</v>
      </c>
      <c r="F1811" s="4" t="s">
        <v>98</v>
      </c>
      <c r="G1811" s="4" t="s">
        <v>57</v>
      </c>
      <c r="H1811" s="4" t="s">
        <v>27</v>
      </c>
      <c r="I1811" s="4" t="s">
        <v>638</v>
      </c>
      <c r="J1811" s="4" t="s">
        <v>61</v>
      </c>
      <c r="K1811" s="5">
        <v>5813831</v>
      </c>
      <c r="L1811" s="5">
        <v>712124</v>
      </c>
      <c r="M1811" s="5">
        <v>18</v>
      </c>
      <c r="N1811" s="5">
        <v>2</v>
      </c>
      <c r="O1811" s="5">
        <v>22.5</v>
      </c>
      <c r="P1811" s="5"/>
    </row>
    <row r="1812" spans="1:16" x14ac:dyDescent="0.25">
      <c r="A1812" s="4" t="s">
        <v>21</v>
      </c>
      <c r="B1812" s="4" t="s">
        <v>556</v>
      </c>
      <c r="C1812" s="5">
        <v>38630</v>
      </c>
      <c r="D1812" s="4" t="s">
        <v>97</v>
      </c>
      <c r="E1812" s="4" t="s">
        <v>572</v>
      </c>
      <c r="F1812" s="4" t="s">
        <v>573</v>
      </c>
      <c r="G1812" s="4" t="s">
        <v>57</v>
      </c>
      <c r="H1812" s="4" t="s">
        <v>27</v>
      </c>
      <c r="I1812" s="4" t="s">
        <v>61</v>
      </c>
      <c r="J1812" s="4" t="s">
        <v>61</v>
      </c>
      <c r="K1812" s="5">
        <v>5723091</v>
      </c>
      <c r="L1812" s="5">
        <v>714894</v>
      </c>
      <c r="M1812" s="5">
        <v>18</v>
      </c>
      <c r="N1812" s="5">
        <v>1</v>
      </c>
      <c r="O1812" s="5">
        <v>0.5</v>
      </c>
      <c r="P1812" s="5"/>
    </row>
    <row r="1813" spans="1:16" x14ac:dyDescent="0.25">
      <c r="A1813" s="4" t="s">
        <v>54</v>
      </c>
      <c r="B1813" s="4" t="s">
        <v>556</v>
      </c>
      <c r="C1813" s="5">
        <v>38638</v>
      </c>
      <c r="D1813" s="4" t="s">
        <v>97</v>
      </c>
      <c r="E1813" s="4" t="s">
        <v>572</v>
      </c>
      <c r="F1813" s="4" t="s">
        <v>573</v>
      </c>
      <c r="G1813" s="4" t="s">
        <v>57</v>
      </c>
      <c r="H1813" s="4" t="s">
        <v>641</v>
      </c>
      <c r="I1813" s="4" t="s">
        <v>642</v>
      </c>
      <c r="J1813" s="4" t="s">
        <v>642</v>
      </c>
      <c r="K1813" s="5">
        <v>5723091</v>
      </c>
      <c r="L1813" s="5">
        <v>714894</v>
      </c>
      <c r="M1813" s="5">
        <v>18</v>
      </c>
      <c r="N1813" s="5">
        <v>1</v>
      </c>
      <c r="O1813" s="5">
        <v>1</v>
      </c>
      <c r="P1813" s="5"/>
    </row>
    <row r="1814" spans="1:16" x14ac:dyDescent="0.25">
      <c r="A1814" s="4" t="s">
        <v>54</v>
      </c>
      <c r="B1814" s="4" t="s">
        <v>556</v>
      </c>
      <c r="C1814" s="5">
        <v>38664</v>
      </c>
      <c r="D1814" s="4" t="s">
        <v>97</v>
      </c>
      <c r="E1814" s="4" t="s">
        <v>346</v>
      </c>
      <c r="F1814" s="4" t="s">
        <v>573</v>
      </c>
      <c r="G1814" s="4" t="s">
        <v>57</v>
      </c>
      <c r="H1814" s="4" t="s">
        <v>641</v>
      </c>
      <c r="I1814" s="4" t="s">
        <v>642</v>
      </c>
      <c r="J1814" s="4" t="s">
        <v>642</v>
      </c>
      <c r="K1814" s="5">
        <v>5725692</v>
      </c>
      <c r="L1814" s="5">
        <v>717118</v>
      </c>
      <c r="M1814" s="5">
        <v>18</v>
      </c>
      <c r="N1814" s="5">
        <v>1</v>
      </c>
      <c r="O1814" s="5">
        <v>1</v>
      </c>
      <c r="P1814" s="5"/>
    </row>
    <row r="1815" spans="1:16" x14ac:dyDescent="0.25">
      <c r="A1815" s="4" t="s">
        <v>21</v>
      </c>
      <c r="B1815" s="4" t="s">
        <v>556</v>
      </c>
      <c r="C1815" s="5">
        <v>38667</v>
      </c>
      <c r="D1815" s="4" t="s">
        <v>97</v>
      </c>
      <c r="E1815" s="4" t="s">
        <v>346</v>
      </c>
      <c r="F1815" s="4" t="s">
        <v>573</v>
      </c>
      <c r="G1815" s="4" t="s">
        <v>57</v>
      </c>
      <c r="H1815" s="4" t="s">
        <v>27</v>
      </c>
      <c r="I1815" s="4" t="s">
        <v>61</v>
      </c>
      <c r="J1815" s="4" t="s">
        <v>61</v>
      </c>
      <c r="K1815" s="5">
        <v>5725692</v>
      </c>
      <c r="L1815" s="5">
        <v>717118</v>
      </c>
      <c r="M1815" s="5">
        <v>18</v>
      </c>
      <c r="N1815" s="5">
        <v>1</v>
      </c>
      <c r="O1815" s="5">
        <v>1</v>
      </c>
      <c r="P1815" s="5"/>
    </row>
    <row r="1816" spans="1:16" x14ac:dyDescent="0.25">
      <c r="A1816" s="4" t="s">
        <v>54</v>
      </c>
      <c r="B1816" s="4" t="s">
        <v>556</v>
      </c>
      <c r="C1816" s="5">
        <v>39378</v>
      </c>
      <c r="D1816" s="4" t="s">
        <v>97</v>
      </c>
      <c r="E1816" s="4" t="s">
        <v>346</v>
      </c>
      <c r="F1816" s="4" t="s">
        <v>559</v>
      </c>
      <c r="G1816" s="4" t="s">
        <v>57</v>
      </c>
      <c r="H1816" s="4" t="s">
        <v>641</v>
      </c>
      <c r="I1816" s="4" t="s">
        <v>642</v>
      </c>
      <c r="J1816" s="4" t="s">
        <v>642</v>
      </c>
      <c r="K1816" s="5">
        <v>5718372</v>
      </c>
      <c r="L1816" s="5">
        <v>724146</v>
      </c>
      <c r="M1816" s="5">
        <v>18</v>
      </c>
      <c r="N1816" s="5">
        <v>1</v>
      </c>
      <c r="O1816" s="5">
        <v>2</v>
      </c>
      <c r="P1816" s="5"/>
    </row>
    <row r="1817" spans="1:16" x14ac:dyDescent="0.25">
      <c r="A1817" s="4" t="s">
        <v>54</v>
      </c>
      <c r="B1817" s="4" t="s">
        <v>556</v>
      </c>
      <c r="C1817" s="5">
        <v>39381</v>
      </c>
      <c r="D1817" s="4" t="s">
        <v>97</v>
      </c>
      <c r="E1817" s="4" t="s">
        <v>574</v>
      </c>
      <c r="F1817" s="4" t="s">
        <v>574</v>
      </c>
      <c r="G1817" s="4" t="s">
        <v>57</v>
      </c>
      <c r="H1817" s="4" t="s">
        <v>641</v>
      </c>
      <c r="I1817" s="4" t="s">
        <v>642</v>
      </c>
      <c r="J1817" s="4" t="s">
        <v>642</v>
      </c>
      <c r="K1817" s="5">
        <v>5743013</v>
      </c>
      <c r="L1817" s="5">
        <v>682325</v>
      </c>
      <c r="M1817" s="5">
        <v>18</v>
      </c>
      <c r="N1817" s="5">
        <v>1</v>
      </c>
      <c r="O1817" s="5">
        <v>0.5</v>
      </c>
      <c r="P1817" s="5"/>
    </row>
    <row r="1818" spans="1:16" x14ac:dyDescent="0.25">
      <c r="A1818" s="4" t="s">
        <v>21</v>
      </c>
      <c r="B1818" s="4" t="s">
        <v>556</v>
      </c>
      <c r="C1818" s="5">
        <v>39789</v>
      </c>
      <c r="D1818" s="4" t="s">
        <v>97</v>
      </c>
      <c r="E1818" s="4" t="s">
        <v>575</v>
      </c>
      <c r="F1818" s="4" t="s">
        <v>575</v>
      </c>
      <c r="G1818" s="4" t="s">
        <v>57</v>
      </c>
      <c r="H1818" s="4" t="s">
        <v>27</v>
      </c>
      <c r="I1818" s="4" t="s">
        <v>61</v>
      </c>
      <c r="J1818" s="4" t="s">
        <v>61</v>
      </c>
      <c r="K1818" s="5">
        <v>5744487</v>
      </c>
      <c r="L1818" s="5">
        <v>739869</v>
      </c>
      <c r="M1818" s="5">
        <v>18</v>
      </c>
      <c r="N1818" s="5">
        <v>1</v>
      </c>
      <c r="O1818" s="5">
        <v>1</v>
      </c>
      <c r="P1818" s="5"/>
    </row>
    <row r="1819" spans="1:16" x14ac:dyDescent="0.25">
      <c r="A1819" s="4" t="s">
        <v>54</v>
      </c>
      <c r="B1819" s="4" t="s">
        <v>556</v>
      </c>
      <c r="C1819" s="5">
        <v>39862</v>
      </c>
      <c r="D1819" s="4" t="s">
        <v>97</v>
      </c>
      <c r="E1819" s="4" t="s">
        <v>575</v>
      </c>
      <c r="F1819" s="4" t="s">
        <v>575</v>
      </c>
      <c r="G1819" s="4" t="s">
        <v>57</v>
      </c>
      <c r="H1819" s="4" t="s">
        <v>641</v>
      </c>
      <c r="I1819" s="4" t="s">
        <v>642</v>
      </c>
      <c r="J1819" s="4" t="s">
        <v>642</v>
      </c>
      <c r="K1819" s="5">
        <v>5744487</v>
      </c>
      <c r="L1819" s="5">
        <v>739869</v>
      </c>
      <c r="M1819" s="5">
        <v>18</v>
      </c>
      <c r="N1819" s="5">
        <v>1</v>
      </c>
      <c r="O1819" s="5">
        <v>1</v>
      </c>
      <c r="P1819" s="5"/>
    </row>
    <row r="1820" spans="1:16" x14ac:dyDescent="0.25">
      <c r="A1820" s="4" t="s">
        <v>54</v>
      </c>
      <c r="B1820" s="4" t="s">
        <v>714</v>
      </c>
      <c r="C1820" s="5">
        <v>36341</v>
      </c>
      <c r="D1820" s="4" t="s">
        <v>474</v>
      </c>
      <c r="E1820" s="4" t="s">
        <v>475</v>
      </c>
      <c r="F1820" s="4" t="s">
        <v>475</v>
      </c>
      <c r="G1820" s="4" t="s">
        <v>420</v>
      </c>
      <c r="H1820" s="4" t="s">
        <v>641</v>
      </c>
      <c r="I1820" s="4" t="s">
        <v>715</v>
      </c>
      <c r="J1820" s="4" t="s">
        <v>715</v>
      </c>
      <c r="K1820" s="5">
        <v>7949473</v>
      </c>
      <c r="L1820" s="5">
        <v>379810</v>
      </c>
      <c r="M1820" s="5">
        <v>19</v>
      </c>
      <c r="N1820" s="5">
        <v>1</v>
      </c>
      <c r="O1820" s="5">
        <v>0.01</v>
      </c>
      <c r="P1820" s="5"/>
    </row>
    <row r="1821" spans="1:16" x14ac:dyDescent="0.25">
      <c r="A1821" s="4" t="s">
        <v>54</v>
      </c>
      <c r="B1821" s="4" t="s">
        <v>714</v>
      </c>
      <c r="C1821" s="5">
        <v>36359</v>
      </c>
      <c r="D1821" s="4" t="s">
        <v>474</v>
      </c>
      <c r="E1821" s="4" t="s">
        <v>475</v>
      </c>
      <c r="F1821" s="4" t="s">
        <v>475</v>
      </c>
      <c r="G1821" s="4" t="s">
        <v>26</v>
      </c>
      <c r="H1821" s="4" t="s">
        <v>641</v>
      </c>
      <c r="I1821" s="4" t="s">
        <v>715</v>
      </c>
      <c r="J1821" s="4" t="s">
        <v>715</v>
      </c>
      <c r="K1821" s="5">
        <v>7949562</v>
      </c>
      <c r="L1821" s="5">
        <v>379896</v>
      </c>
      <c r="M1821" s="5">
        <v>19</v>
      </c>
      <c r="N1821" s="5">
        <v>1</v>
      </c>
      <c r="O1821" s="5">
        <v>0.08</v>
      </c>
      <c r="P1821" s="5"/>
    </row>
    <row r="1822" spans="1:16" x14ac:dyDescent="0.25">
      <c r="A1822" s="4" t="s">
        <v>54</v>
      </c>
      <c r="B1822" s="4" t="s">
        <v>714</v>
      </c>
      <c r="C1822" s="5">
        <v>36434</v>
      </c>
      <c r="D1822" s="4" t="s">
        <v>37</v>
      </c>
      <c r="E1822" s="4" t="s">
        <v>295</v>
      </c>
      <c r="F1822" s="4" t="s">
        <v>295</v>
      </c>
      <c r="G1822" s="4" t="s">
        <v>26</v>
      </c>
      <c r="H1822" s="4" t="s">
        <v>641</v>
      </c>
      <c r="I1822" s="4" t="s">
        <v>715</v>
      </c>
      <c r="J1822" s="4" t="s">
        <v>715</v>
      </c>
      <c r="K1822" s="5">
        <v>6227755</v>
      </c>
      <c r="L1822" s="5">
        <v>337956</v>
      </c>
      <c r="M1822" s="5">
        <v>19</v>
      </c>
      <c r="N1822" s="5">
        <v>1</v>
      </c>
      <c r="O1822" s="5">
        <v>3.7</v>
      </c>
      <c r="P1822" s="5"/>
    </row>
    <row r="1823" spans="1:16" x14ac:dyDescent="0.25">
      <c r="A1823" s="4" t="s">
        <v>54</v>
      </c>
      <c r="B1823" s="4" t="s">
        <v>714</v>
      </c>
      <c r="C1823" s="5">
        <v>36669</v>
      </c>
      <c r="D1823" s="4" t="s">
        <v>37</v>
      </c>
      <c r="E1823" s="4" t="s">
        <v>295</v>
      </c>
      <c r="F1823" s="4" t="s">
        <v>295</v>
      </c>
      <c r="G1823" s="4" t="s">
        <v>420</v>
      </c>
      <c r="H1823" s="4" t="s">
        <v>641</v>
      </c>
      <c r="I1823" s="4" t="s">
        <v>715</v>
      </c>
      <c r="J1823" s="4" t="s">
        <v>715</v>
      </c>
      <c r="K1823" s="5">
        <v>6228083</v>
      </c>
      <c r="L1823" s="5">
        <v>338241</v>
      </c>
      <c r="M1823" s="5">
        <v>19</v>
      </c>
      <c r="N1823" s="5">
        <v>1</v>
      </c>
      <c r="O1823" s="5">
        <v>1.22</v>
      </c>
      <c r="P1823" s="5"/>
    </row>
    <row r="1824" spans="1:16" x14ac:dyDescent="0.25">
      <c r="A1824" s="4" t="s">
        <v>54</v>
      </c>
      <c r="B1824" s="4" t="s">
        <v>714</v>
      </c>
      <c r="C1824" s="5">
        <v>36924</v>
      </c>
      <c r="D1824" s="4" t="s">
        <v>37</v>
      </c>
      <c r="E1824" s="4" t="s">
        <v>295</v>
      </c>
      <c r="F1824" s="4" t="s">
        <v>295</v>
      </c>
      <c r="G1824" s="4" t="s">
        <v>420</v>
      </c>
      <c r="H1824" s="4" t="s">
        <v>641</v>
      </c>
      <c r="I1824" s="4" t="s">
        <v>715</v>
      </c>
      <c r="J1824" s="4" t="s">
        <v>715</v>
      </c>
      <c r="K1824" s="5">
        <v>6227998</v>
      </c>
      <c r="L1824" s="5">
        <v>338189</v>
      </c>
      <c r="M1824" s="5">
        <v>19</v>
      </c>
      <c r="N1824" s="5">
        <v>1</v>
      </c>
      <c r="O1824" s="5">
        <v>0.03</v>
      </c>
      <c r="P1824" s="5"/>
    </row>
    <row r="1825" spans="1:16" x14ac:dyDescent="0.25">
      <c r="A1825" s="4" t="s">
        <v>54</v>
      </c>
      <c r="B1825" s="4" t="s">
        <v>714</v>
      </c>
      <c r="C1825" s="5">
        <v>36926</v>
      </c>
      <c r="D1825" s="4" t="s">
        <v>37</v>
      </c>
      <c r="E1825" s="4" t="s">
        <v>295</v>
      </c>
      <c r="F1825" s="4" t="s">
        <v>295</v>
      </c>
      <c r="G1825" s="4" t="s">
        <v>420</v>
      </c>
      <c r="H1825" s="4" t="s">
        <v>641</v>
      </c>
      <c r="I1825" s="4" t="s">
        <v>715</v>
      </c>
      <c r="J1825" s="4" t="s">
        <v>715</v>
      </c>
      <c r="K1825" s="5">
        <v>6228149</v>
      </c>
      <c r="L1825" s="5">
        <v>338270</v>
      </c>
      <c r="M1825" s="5">
        <v>19</v>
      </c>
      <c r="N1825" s="5">
        <v>1</v>
      </c>
      <c r="O1825" s="5">
        <v>0.03</v>
      </c>
      <c r="P1825" s="5"/>
    </row>
    <row r="1826" spans="1:16" x14ac:dyDescent="0.25">
      <c r="A1826" s="4" t="s">
        <v>54</v>
      </c>
      <c r="B1826" s="4" t="s">
        <v>714</v>
      </c>
      <c r="C1826" s="5">
        <v>37076</v>
      </c>
      <c r="D1826" s="4" t="s">
        <v>37</v>
      </c>
      <c r="E1826" s="4" t="s">
        <v>295</v>
      </c>
      <c r="F1826" s="4" t="s">
        <v>295</v>
      </c>
      <c r="G1826" s="4" t="s">
        <v>26</v>
      </c>
      <c r="H1826" s="4" t="s">
        <v>641</v>
      </c>
      <c r="I1826" s="4" t="s">
        <v>715</v>
      </c>
      <c r="J1826" s="4" t="s">
        <v>715</v>
      </c>
      <c r="K1826" s="5">
        <v>6228364</v>
      </c>
      <c r="L1826" s="5">
        <v>338752</v>
      </c>
      <c r="M1826" s="5">
        <v>19</v>
      </c>
      <c r="N1826" s="5">
        <v>1</v>
      </c>
      <c r="O1826" s="5">
        <v>0.13</v>
      </c>
      <c r="P1826" s="5"/>
    </row>
    <row r="1827" spans="1:16" x14ac:dyDescent="0.25">
      <c r="A1827" s="4" t="s">
        <v>54</v>
      </c>
      <c r="B1827" s="4" t="s">
        <v>714</v>
      </c>
      <c r="C1827" s="5">
        <v>37742</v>
      </c>
      <c r="D1827" s="4" t="s">
        <v>37</v>
      </c>
      <c r="E1827" s="4" t="s">
        <v>295</v>
      </c>
      <c r="F1827" s="4" t="s">
        <v>295</v>
      </c>
      <c r="G1827" s="4" t="s">
        <v>26</v>
      </c>
      <c r="H1827" s="4" t="s">
        <v>641</v>
      </c>
      <c r="I1827" s="4" t="s">
        <v>715</v>
      </c>
      <c r="J1827" s="4" t="s">
        <v>715</v>
      </c>
      <c r="K1827" s="5">
        <v>6228424</v>
      </c>
      <c r="L1827" s="5">
        <v>338746</v>
      </c>
      <c r="M1827" s="5">
        <v>19</v>
      </c>
      <c r="N1827" s="5">
        <v>1</v>
      </c>
      <c r="O1827" s="5">
        <v>0.51</v>
      </c>
      <c r="P1827" s="5"/>
    </row>
    <row r="1828" spans="1:16" x14ac:dyDescent="0.25">
      <c r="A1828" s="4" t="s">
        <v>54</v>
      </c>
      <c r="B1828" s="4" t="s">
        <v>714</v>
      </c>
      <c r="C1828" s="5">
        <v>37744</v>
      </c>
      <c r="D1828" s="4" t="s">
        <v>37</v>
      </c>
      <c r="E1828" s="4" t="s">
        <v>295</v>
      </c>
      <c r="F1828" s="4" t="s">
        <v>295</v>
      </c>
      <c r="G1828" s="4" t="s">
        <v>26</v>
      </c>
      <c r="H1828" s="4" t="s">
        <v>641</v>
      </c>
      <c r="I1828" s="4" t="s">
        <v>715</v>
      </c>
      <c r="J1828" s="4" t="s">
        <v>715</v>
      </c>
      <c r="K1828" s="5">
        <v>6228259</v>
      </c>
      <c r="L1828" s="5">
        <v>338845</v>
      </c>
      <c r="M1828" s="5">
        <v>19</v>
      </c>
      <c r="N1828" s="5">
        <v>1</v>
      </c>
      <c r="O1828" s="5">
        <v>0.28999999999999998</v>
      </c>
      <c r="P1828" s="5"/>
    </row>
    <row r="1829" spans="1:16" x14ac:dyDescent="0.25">
      <c r="A1829" s="4" t="s">
        <v>54</v>
      </c>
      <c r="B1829" s="4" t="s">
        <v>714</v>
      </c>
      <c r="C1829" s="5">
        <v>37749</v>
      </c>
      <c r="D1829" s="4" t="s">
        <v>37</v>
      </c>
      <c r="E1829" s="4" t="s">
        <v>295</v>
      </c>
      <c r="F1829" s="4" t="s">
        <v>295</v>
      </c>
      <c r="G1829" s="4" t="s">
        <v>26</v>
      </c>
      <c r="H1829" s="4" t="s">
        <v>641</v>
      </c>
      <c r="I1829" s="4" t="s">
        <v>715</v>
      </c>
      <c r="J1829" s="4" t="s">
        <v>715</v>
      </c>
      <c r="K1829" s="5">
        <v>6228259</v>
      </c>
      <c r="L1829" s="5">
        <v>338861</v>
      </c>
      <c r="M1829" s="5">
        <v>19</v>
      </c>
      <c r="N1829" s="5">
        <v>1</v>
      </c>
      <c r="O1829" s="5">
        <v>0.22</v>
      </c>
      <c r="P1829" s="5"/>
    </row>
    <row r="1830" spans="1:16" x14ac:dyDescent="0.25">
      <c r="A1830" s="4" t="s">
        <v>54</v>
      </c>
      <c r="B1830" s="4" t="s">
        <v>714</v>
      </c>
      <c r="C1830" s="5">
        <v>37754</v>
      </c>
      <c r="D1830" s="4" t="s">
        <v>37</v>
      </c>
      <c r="E1830" s="4" t="s">
        <v>295</v>
      </c>
      <c r="F1830" s="4" t="s">
        <v>295</v>
      </c>
      <c r="G1830" s="4" t="s">
        <v>26</v>
      </c>
      <c r="H1830" s="4" t="s">
        <v>641</v>
      </c>
      <c r="I1830" s="4" t="s">
        <v>715</v>
      </c>
      <c r="J1830" s="4" t="s">
        <v>715</v>
      </c>
      <c r="K1830" s="5">
        <v>6228308</v>
      </c>
      <c r="L1830" s="5">
        <v>338722</v>
      </c>
      <c r="M1830" s="5">
        <v>19</v>
      </c>
      <c r="N1830" s="5">
        <v>1</v>
      </c>
      <c r="O1830" s="5">
        <v>0.28000000000000003</v>
      </c>
      <c r="P1830" s="5"/>
    </row>
    <row r="1831" spans="1:16" x14ac:dyDescent="0.25">
      <c r="A1831" s="4" t="s">
        <v>54</v>
      </c>
      <c r="B1831" s="4" t="s">
        <v>714</v>
      </c>
      <c r="C1831" s="5">
        <v>37806</v>
      </c>
      <c r="D1831" s="4" t="s">
        <v>37</v>
      </c>
      <c r="E1831" s="4" t="s">
        <v>295</v>
      </c>
      <c r="F1831" s="4" t="s">
        <v>295</v>
      </c>
      <c r="G1831" s="4" t="s">
        <v>26</v>
      </c>
      <c r="H1831" s="4" t="s">
        <v>641</v>
      </c>
      <c r="I1831" s="4" t="s">
        <v>715</v>
      </c>
      <c r="J1831" s="4" t="s">
        <v>715</v>
      </c>
      <c r="K1831" s="5">
        <v>6227749</v>
      </c>
      <c r="L1831" s="5">
        <v>338305</v>
      </c>
      <c r="M1831" s="5">
        <v>19</v>
      </c>
      <c r="N1831" s="5">
        <v>1</v>
      </c>
      <c r="O1831" s="5">
        <v>0.35</v>
      </c>
      <c r="P1831" s="5"/>
    </row>
    <row r="1832" spans="1:16" x14ac:dyDescent="0.25">
      <c r="A1832" s="4" t="s">
        <v>54</v>
      </c>
      <c r="B1832" s="4" t="s">
        <v>714</v>
      </c>
      <c r="C1832" s="5">
        <v>37813</v>
      </c>
      <c r="D1832" s="4" t="s">
        <v>37</v>
      </c>
      <c r="E1832" s="4" t="s">
        <v>295</v>
      </c>
      <c r="F1832" s="4" t="s">
        <v>295</v>
      </c>
      <c r="G1832" s="4" t="s">
        <v>26</v>
      </c>
      <c r="H1832" s="4" t="s">
        <v>641</v>
      </c>
      <c r="I1832" s="4" t="s">
        <v>715</v>
      </c>
      <c r="J1832" s="4" t="s">
        <v>715</v>
      </c>
      <c r="K1832" s="5">
        <v>6227773</v>
      </c>
      <c r="L1832" s="5">
        <v>338885</v>
      </c>
      <c r="M1832" s="5">
        <v>19</v>
      </c>
      <c r="N1832" s="5">
        <v>1</v>
      </c>
      <c r="O1832" s="5">
        <v>1.5</v>
      </c>
      <c r="P1832" s="5"/>
    </row>
    <row r="1833" spans="1:16" x14ac:dyDescent="0.25">
      <c r="A1833" s="4" t="s">
        <v>54</v>
      </c>
      <c r="B1833" s="4" t="s">
        <v>714</v>
      </c>
      <c r="C1833" s="5">
        <v>37868</v>
      </c>
      <c r="D1833" s="4" t="s">
        <v>33</v>
      </c>
      <c r="E1833" s="4" t="s">
        <v>45</v>
      </c>
      <c r="F1833" s="4" t="s">
        <v>45</v>
      </c>
      <c r="G1833" s="4" t="s">
        <v>26</v>
      </c>
      <c r="H1833" s="4" t="s">
        <v>641</v>
      </c>
      <c r="I1833" s="4" t="s">
        <v>715</v>
      </c>
      <c r="J1833" s="4" t="s">
        <v>715</v>
      </c>
      <c r="K1833" s="5">
        <v>6092651</v>
      </c>
      <c r="L1833" s="5">
        <v>272811</v>
      </c>
      <c r="M1833" s="5">
        <v>19</v>
      </c>
      <c r="N1833" s="5">
        <v>1</v>
      </c>
      <c r="O1833" s="5">
        <v>2.2000000000000002</v>
      </c>
      <c r="P1833" s="5"/>
    </row>
    <row r="1834" spans="1:16" x14ac:dyDescent="0.25">
      <c r="A1834" s="4" t="s">
        <v>54</v>
      </c>
      <c r="B1834" s="4" t="s">
        <v>714</v>
      </c>
      <c r="C1834" s="5">
        <v>37985</v>
      </c>
      <c r="D1834" s="4" t="s">
        <v>474</v>
      </c>
      <c r="E1834" s="4" t="s">
        <v>475</v>
      </c>
      <c r="F1834" s="4" t="s">
        <v>475</v>
      </c>
      <c r="G1834" s="4" t="s">
        <v>26</v>
      </c>
      <c r="H1834" s="4" t="s">
        <v>641</v>
      </c>
      <c r="I1834" s="4" t="s">
        <v>715</v>
      </c>
      <c r="J1834" s="4" t="s">
        <v>715</v>
      </c>
      <c r="K1834" s="5">
        <v>7949562</v>
      </c>
      <c r="L1834" s="5">
        <v>379896</v>
      </c>
      <c r="M1834" s="5">
        <v>19</v>
      </c>
      <c r="N1834" s="5">
        <v>1</v>
      </c>
      <c r="O1834" s="5">
        <v>0.1</v>
      </c>
      <c r="P1834" s="5"/>
    </row>
    <row r="1835" spans="1:16" x14ac:dyDescent="0.25">
      <c r="A1835" s="4" t="s">
        <v>54</v>
      </c>
      <c r="B1835" s="4" t="s">
        <v>714</v>
      </c>
      <c r="C1835" s="5">
        <v>38062</v>
      </c>
      <c r="D1835" s="4" t="s">
        <v>37</v>
      </c>
      <c r="E1835" s="4" t="s">
        <v>295</v>
      </c>
      <c r="F1835" s="4" t="s">
        <v>576</v>
      </c>
      <c r="G1835" s="4" t="s">
        <v>26</v>
      </c>
      <c r="H1835" s="4" t="s">
        <v>641</v>
      </c>
      <c r="I1835" s="4" t="s">
        <v>715</v>
      </c>
      <c r="J1835" s="4" t="s">
        <v>715</v>
      </c>
      <c r="K1835" s="5">
        <v>6224095</v>
      </c>
      <c r="L1835" s="5">
        <v>343992</v>
      </c>
      <c r="M1835" s="5">
        <v>19</v>
      </c>
      <c r="N1835" s="5">
        <v>1</v>
      </c>
      <c r="O1835" s="5">
        <v>3.7</v>
      </c>
      <c r="P1835" s="5"/>
    </row>
    <row r="1836" spans="1:16" x14ac:dyDescent="0.25">
      <c r="A1836" s="4" t="s">
        <v>54</v>
      </c>
      <c r="B1836" s="4" t="s">
        <v>714</v>
      </c>
      <c r="C1836" s="5">
        <v>38473</v>
      </c>
      <c r="D1836" s="4" t="s">
        <v>33</v>
      </c>
      <c r="E1836" s="4" t="s">
        <v>43</v>
      </c>
      <c r="F1836" s="4" t="s">
        <v>43</v>
      </c>
      <c r="G1836" s="4" t="s">
        <v>26</v>
      </c>
      <c r="H1836" s="4" t="s">
        <v>641</v>
      </c>
      <c r="I1836" s="4" t="s">
        <v>715</v>
      </c>
      <c r="J1836" s="4" t="s">
        <v>715</v>
      </c>
      <c r="K1836" s="5">
        <v>6060001</v>
      </c>
      <c r="L1836" s="5">
        <v>281476</v>
      </c>
      <c r="M1836" s="5">
        <v>19</v>
      </c>
      <c r="N1836" s="5">
        <v>1</v>
      </c>
      <c r="O1836" s="5">
        <v>4</v>
      </c>
      <c r="P1836" s="5"/>
    </row>
    <row r="1837" spans="1:16" x14ac:dyDescent="0.25">
      <c r="A1837" s="4" t="s">
        <v>54</v>
      </c>
      <c r="B1837" s="4" t="s">
        <v>714</v>
      </c>
      <c r="C1837" s="5">
        <v>38476</v>
      </c>
      <c r="D1837" s="4" t="s">
        <v>33</v>
      </c>
      <c r="E1837" s="4" t="s">
        <v>43</v>
      </c>
      <c r="F1837" s="4" t="s">
        <v>175</v>
      </c>
      <c r="G1837" s="4" t="s">
        <v>26</v>
      </c>
      <c r="H1837" s="4" t="s">
        <v>641</v>
      </c>
      <c r="I1837" s="4" t="s">
        <v>715</v>
      </c>
      <c r="J1837" s="4" t="s">
        <v>715</v>
      </c>
      <c r="K1837" s="5">
        <v>6069475</v>
      </c>
      <c r="L1837" s="5">
        <v>280054</v>
      </c>
      <c r="M1837" s="5">
        <v>19</v>
      </c>
      <c r="N1837" s="5">
        <v>1</v>
      </c>
      <c r="O1837" s="5">
        <v>2.2000000000000002</v>
      </c>
      <c r="P1837" s="5"/>
    </row>
    <row r="1838" spans="1:16" x14ac:dyDescent="0.25">
      <c r="A1838" s="4" t="s">
        <v>54</v>
      </c>
      <c r="B1838" s="4" t="s">
        <v>714</v>
      </c>
      <c r="C1838" s="5">
        <v>38489</v>
      </c>
      <c r="D1838" s="4" t="s">
        <v>33</v>
      </c>
      <c r="E1838" s="4" t="s">
        <v>45</v>
      </c>
      <c r="F1838" s="4" t="s">
        <v>333</v>
      </c>
      <c r="G1838" s="4" t="s">
        <v>26</v>
      </c>
      <c r="H1838" s="4" t="s">
        <v>641</v>
      </c>
      <c r="I1838" s="4" t="s">
        <v>715</v>
      </c>
      <c r="J1838" s="4" t="s">
        <v>715</v>
      </c>
      <c r="K1838" s="5">
        <v>6083409</v>
      </c>
      <c r="L1838" s="5">
        <v>275689</v>
      </c>
      <c r="M1838" s="5">
        <v>19</v>
      </c>
      <c r="N1838" s="5">
        <v>1</v>
      </c>
      <c r="O1838" s="5">
        <v>2.2000000000000002</v>
      </c>
      <c r="P1838" s="5"/>
    </row>
    <row r="1839" spans="1:16" x14ac:dyDescent="0.25">
      <c r="A1839" s="4" t="s">
        <v>54</v>
      </c>
      <c r="B1839" s="4" t="s">
        <v>714</v>
      </c>
      <c r="C1839" s="5">
        <v>38496</v>
      </c>
      <c r="D1839" s="4" t="s">
        <v>33</v>
      </c>
      <c r="E1839" s="4" t="s">
        <v>43</v>
      </c>
      <c r="F1839" s="4" t="s">
        <v>101</v>
      </c>
      <c r="G1839" s="4" t="s">
        <v>26</v>
      </c>
      <c r="H1839" s="4" t="s">
        <v>641</v>
      </c>
      <c r="I1839" s="4" t="s">
        <v>715</v>
      </c>
      <c r="J1839" s="4" t="s">
        <v>715</v>
      </c>
      <c r="K1839" s="5">
        <v>6068360</v>
      </c>
      <c r="L1839" s="5">
        <v>274071</v>
      </c>
      <c r="M1839" s="5">
        <v>19</v>
      </c>
      <c r="N1839" s="5">
        <v>1</v>
      </c>
      <c r="O1839" s="5">
        <v>4</v>
      </c>
      <c r="P1839" s="5"/>
    </row>
    <row r="1840" spans="1:16" x14ac:dyDescent="0.25">
      <c r="A1840" s="4" t="s">
        <v>54</v>
      </c>
      <c r="B1840" s="4" t="s">
        <v>714</v>
      </c>
      <c r="C1840" s="5">
        <v>38505</v>
      </c>
      <c r="D1840" s="4" t="s">
        <v>33</v>
      </c>
      <c r="E1840" s="4" t="s">
        <v>66</v>
      </c>
      <c r="F1840" s="4" t="s">
        <v>167</v>
      </c>
      <c r="G1840" s="4" t="s">
        <v>26</v>
      </c>
      <c r="H1840" s="4" t="s">
        <v>641</v>
      </c>
      <c r="I1840" s="4" t="s">
        <v>715</v>
      </c>
      <c r="J1840" s="4" t="s">
        <v>715</v>
      </c>
      <c r="K1840" s="5">
        <v>6078791</v>
      </c>
      <c r="L1840" s="5">
        <v>256921</v>
      </c>
      <c r="M1840" s="5">
        <v>19</v>
      </c>
      <c r="N1840" s="5">
        <v>1</v>
      </c>
      <c r="O1840" s="5">
        <v>2.1</v>
      </c>
      <c r="P1840" s="5"/>
    </row>
    <row r="1841" spans="1:16" x14ac:dyDescent="0.25">
      <c r="A1841" s="4" t="s">
        <v>54</v>
      </c>
      <c r="B1841" s="4" t="s">
        <v>714</v>
      </c>
      <c r="C1841" s="5">
        <v>38583</v>
      </c>
      <c r="D1841" s="4" t="s">
        <v>33</v>
      </c>
      <c r="E1841" s="4" t="s">
        <v>43</v>
      </c>
      <c r="F1841" s="4" t="s">
        <v>162</v>
      </c>
      <c r="G1841" s="4" t="s">
        <v>26</v>
      </c>
      <c r="H1841" s="4" t="s">
        <v>641</v>
      </c>
      <c r="I1841" s="4" t="s">
        <v>715</v>
      </c>
      <c r="J1841" s="4" t="s">
        <v>715</v>
      </c>
      <c r="K1841" s="5">
        <v>6066470</v>
      </c>
      <c r="L1841" s="5">
        <v>279282</v>
      </c>
      <c r="M1841" s="5">
        <v>19</v>
      </c>
      <c r="N1841" s="5">
        <v>1</v>
      </c>
      <c r="O1841" s="5">
        <v>2.5</v>
      </c>
      <c r="P1841" s="5"/>
    </row>
    <row r="1842" spans="1:16" x14ac:dyDescent="0.25">
      <c r="A1842" s="4" t="s">
        <v>54</v>
      </c>
      <c r="B1842" s="4" t="s">
        <v>714</v>
      </c>
      <c r="C1842" s="5">
        <v>38586</v>
      </c>
      <c r="D1842" s="4" t="s">
        <v>33</v>
      </c>
      <c r="E1842" s="4" t="s">
        <v>43</v>
      </c>
      <c r="F1842" s="4" t="s">
        <v>162</v>
      </c>
      <c r="G1842" s="4" t="s">
        <v>26</v>
      </c>
      <c r="H1842" s="4" t="s">
        <v>641</v>
      </c>
      <c r="I1842" s="4" t="s">
        <v>715</v>
      </c>
      <c r="J1842" s="4" t="s">
        <v>715</v>
      </c>
      <c r="K1842" s="5">
        <v>6063616</v>
      </c>
      <c r="L1842" s="5">
        <v>281944</v>
      </c>
      <c r="M1842" s="5">
        <v>19</v>
      </c>
      <c r="N1842" s="5">
        <v>1</v>
      </c>
      <c r="O1842" s="5">
        <v>0.5</v>
      </c>
      <c r="P1842" s="5"/>
    </row>
    <row r="1843" spans="1:16" x14ac:dyDescent="0.25">
      <c r="A1843" s="4" t="s">
        <v>54</v>
      </c>
      <c r="B1843" s="4" t="s">
        <v>714</v>
      </c>
      <c r="C1843" s="5">
        <v>38587</v>
      </c>
      <c r="D1843" s="4" t="s">
        <v>33</v>
      </c>
      <c r="E1843" s="4" t="s">
        <v>43</v>
      </c>
      <c r="F1843" s="4" t="s">
        <v>162</v>
      </c>
      <c r="G1843" s="4" t="s">
        <v>26</v>
      </c>
      <c r="H1843" s="4" t="s">
        <v>641</v>
      </c>
      <c r="I1843" s="4" t="s">
        <v>715</v>
      </c>
      <c r="J1843" s="4" t="s">
        <v>715</v>
      </c>
      <c r="K1843" s="5">
        <v>6065792</v>
      </c>
      <c r="L1843" s="5">
        <v>279046</v>
      </c>
      <c r="M1843" s="5">
        <v>19</v>
      </c>
      <c r="N1843" s="5">
        <v>1</v>
      </c>
      <c r="O1843" s="5">
        <v>1.4</v>
      </c>
      <c r="P1843" s="5"/>
    </row>
    <row r="1844" spans="1:16" x14ac:dyDescent="0.25">
      <c r="A1844" s="4" t="s">
        <v>54</v>
      </c>
      <c r="B1844" s="4" t="s">
        <v>714</v>
      </c>
      <c r="C1844" s="5">
        <v>38588</v>
      </c>
      <c r="D1844" s="4" t="s">
        <v>33</v>
      </c>
      <c r="E1844" s="4" t="s">
        <v>43</v>
      </c>
      <c r="F1844" s="4" t="s">
        <v>162</v>
      </c>
      <c r="G1844" s="4" t="s">
        <v>26</v>
      </c>
      <c r="H1844" s="4" t="s">
        <v>641</v>
      </c>
      <c r="I1844" s="4" t="s">
        <v>715</v>
      </c>
      <c r="J1844" s="4" t="s">
        <v>715</v>
      </c>
      <c r="K1844" s="5">
        <v>6066065</v>
      </c>
      <c r="L1844" s="5">
        <v>279546</v>
      </c>
      <c r="M1844" s="5">
        <v>19</v>
      </c>
      <c r="N1844" s="5">
        <v>1</v>
      </c>
      <c r="O1844" s="5">
        <v>1.7</v>
      </c>
      <c r="P1844" s="5"/>
    </row>
    <row r="1845" spans="1:16" x14ac:dyDescent="0.25">
      <c r="A1845" s="4" t="s">
        <v>54</v>
      </c>
      <c r="B1845" s="4" t="s">
        <v>714</v>
      </c>
      <c r="C1845" s="5">
        <v>39477</v>
      </c>
      <c r="D1845" s="4" t="s">
        <v>33</v>
      </c>
      <c r="E1845" s="4" t="s">
        <v>43</v>
      </c>
      <c r="F1845" s="4" t="s">
        <v>162</v>
      </c>
      <c r="G1845" s="4" t="s">
        <v>26</v>
      </c>
      <c r="H1845" s="4" t="s">
        <v>641</v>
      </c>
      <c r="I1845" s="4" t="s">
        <v>715</v>
      </c>
      <c r="J1845" s="4" t="s">
        <v>715</v>
      </c>
      <c r="K1845" s="5">
        <v>6064714</v>
      </c>
      <c r="L1845" s="5">
        <v>281891</v>
      </c>
      <c r="M1845" s="5">
        <v>19</v>
      </c>
      <c r="N1845" s="5">
        <v>1</v>
      </c>
      <c r="O1845" s="5">
        <v>1</v>
      </c>
      <c r="P1845" s="5"/>
    </row>
    <row r="1846" spans="1:16" x14ac:dyDescent="0.25">
      <c r="A1846" s="4" t="s">
        <v>54</v>
      </c>
      <c r="B1846" s="4" t="s">
        <v>714</v>
      </c>
      <c r="C1846" s="5">
        <v>39478</v>
      </c>
      <c r="D1846" s="4" t="s">
        <v>33</v>
      </c>
      <c r="E1846" s="4" t="s">
        <v>43</v>
      </c>
      <c r="F1846" s="4" t="s">
        <v>101</v>
      </c>
      <c r="G1846" s="4" t="s">
        <v>26</v>
      </c>
      <c r="H1846" s="4" t="s">
        <v>641</v>
      </c>
      <c r="I1846" s="4" t="s">
        <v>715</v>
      </c>
      <c r="J1846" s="4" t="s">
        <v>715</v>
      </c>
      <c r="K1846" s="5">
        <v>6068360</v>
      </c>
      <c r="L1846" s="5">
        <v>274071</v>
      </c>
      <c r="M1846" s="5">
        <v>19</v>
      </c>
      <c r="N1846" s="5">
        <v>1</v>
      </c>
      <c r="O1846" s="5">
        <v>0.3</v>
      </c>
      <c r="P1846" s="5"/>
    </row>
    <row r="1847" spans="1:16" x14ac:dyDescent="0.25">
      <c r="A1847" s="4" t="s">
        <v>54</v>
      </c>
      <c r="B1847" s="4" t="s">
        <v>714</v>
      </c>
      <c r="C1847" s="5">
        <v>39479</v>
      </c>
      <c r="D1847" s="4" t="s">
        <v>33</v>
      </c>
      <c r="E1847" s="4" t="s">
        <v>43</v>
      </c>
      <c r="F1847" s="4" t="s">
        <v>101</v>
      </c>
      <c r="G1847" s="4" t="s">
        <v>26</v>
      </c>
      <c r="H1847" s="4" t="s">
        <v>641</v>
      </c>
      <c r="I1847" s="4" t="s">
        <v>715</v>
      </c>
      <c r="J1847" s="4" t="s">
        <v>715</v>
      </c>
      <c r="K1847" s="5">
        <v>6068360</v>
      </c>
      <c r="L1847" s="5">
        <v>274071</v>
      </c>
      <c r="M1847" s="5">
        <v>19</v>
      </c>
      <c r="N1847" s="5">
        <v>1</v>
      </c>
      <c r="O1847" s="5">
        <v>0.1</v>
      </c>
      <c r="P1847" s="5"/>
    </row>
    <row r="1848" spans="1:16" x14ac:dyDescent="0.25">
      <c r="A1848" s="4" t="s">
        <v>13</v>
      </c>
      <c r="B1848" s="4" t="s">
        <v>271</v>
      </c>
      <c r="C1848" s="5">
        <v>35732</v>
      </c>
      <c r="D1848" s="4" t="s">
        <v>37</v>
      </c>
      <c r="E1848" s="4" t="s">
        <v>577</v>
      </c>
      <c r="F1848" s="4" t="s">
        <v>578</v>
      </c>
      <c r="G1848" s="4" t="s">
        <v>26</v>
      </c>
      <c r="H1848" s="4" t="s">
        <v>27</v>
      </c>
      <c r="I1848" s="4" t="s">
        <v>715</v>
      </c>
      <c r="J1848" s="4" t="s">
        <v>638</v>
      </c>
      <c r="K1848" s="5">
        <v>6189869</v>
      </c>
      <c r="L1848" s="5">
        <v>279169</v>
      </c>
      <c r="M1848" s="5">
        <v>19</v>
      </c>
      <c r="N1848" s="5">
        <v>2</v>
      </c>
      <c r="O1848" s="5">
        <v>29.82</v>
      </c>
      <c r="P1848" s="5"/>
    </row>
    <row r="1849" spans="1:16" x14ac:dyDescent="0.25">
      <c r="A1849" s="4" t="s">
        <v>54</v>
      </c>
      <c r="B1849" s="4" t="s">
        <v>271</v>
      </c>
      <c r="C1849" s="5">
        <v>35733</v>
      </c>
      <c r="D1849" s="4" t="s">
        <v>37</v>
      </c>
      <c r="E1849" s="4" t="s">
        <v>295</v>
      </c>
      <c r="F1849" s="4" t="s">
        <v>271</v>
      </c>
      <c r="G1849" s="4" t="s">
        <v>26</v>
      </c>
      <c r="H1849" s="4" t="s">
        <v>641</v>
      </c>
      <c r="I1849" s="4" t="s">
        <v>715</v>
      </c>
      <c r="J1849" s="4" t="s">
        <v>715</v>
      </c>
      <c r="K1849" s="5">
        <v>6224916</v>
      </c>
      <c r="L1849" s="5">
        <v>339151</v>
      </c>
      <c r="M1849" s="5">
        <v>19</v>
      </c>
      <c r="N1849" s="5">
        <v>1</v>
      </c>
      <c r="O1849" s="5">
        <v>0.06</v>
      </c>
      <c r="P1849" s="5"/>
    </row>
    <row r="1850" spans="1:16" x14ac:dyDescent="0.25">
      <c r="A1850" s="4" t="s">
        <v>13</v>
      </c>
      <c r="B1850" s="4" t="s">
        <v>271</v>
      </c>
      <c r="C1850" s="5">
        <v>35742</v>
      </c>
      <c r="D1850" s="4" t="s">
        <v>33</v>
      </c>
      <c r="E1850" s="4" t="s">
        <v>69</v>
      </c>
      <c r="F1850" s="4" t="s">
        <v>69</v>
      </c>
      <c r="G1850" s="4" t="s">
        <v>26</v>
      </c>
      <c r="H1850" s="4" t="s">
        <v>27</v>
      </c>
      <c r="I1850" s="4" t="s">
        <v>715</v>
      </c>
      <c r="J1850" s="4" t="s">
        <v>638</v>
      </c>
      <c r="K1850" s="5">
        <v>6089072</v>
      </c>
      <c r="L1850" s="5">
        <v>248495</v>
      </c>
      <c r="M1850" s="5">
        <v>19</v>
      </c>
      <c r="N1850" s="5">
        <v>3</v>
      </c>
      <c r="O1850" s="5">
        <v>70</v>
      </c>
      <c r="P1850" s="5"/>
    </row>
    <row r="1851" spans="1:16" x14ac:dyDescent="0.25">
      <c r="A1851" s="4" t="s">
        <v>13</v>
      </c>
      <c r="B1851" s="4" t="s">
        <v>271</v>
      </c>
      <c r="C1851" s="5">
        <v>35744</v>
      </c>
      <c r="D1851" s="4" t="s">
        <v>37</v>
      </c>
      <c r="E1851" s="4" t="s">
        <v>295</v>
      </c>
      <c r="F1851" s="4" t="s">
        <v>271</v>
      </c>
      <c r="G1851" s="4" t="s">
        <v>26</v>
      </c>
      <c r="H1851" s="4" t="s">
        <v>27</v>
      </c>
      <c r="I1851" s="4" t="s">
        <v>715</v>
      </c>
      <c r="J1851" s="4" t="s">
        <v>638</v>
      </c>
      <c r="K1851" s="5">
        <v>6225393</v>
      </c>
      <c r="L1851" s="5">
        <v>338549</v>
      </c>
      <c r="M1851" s="5">
        <v>19</v>
      </c>
      <c r="N1851" s="5">
        <v>5</v>
      </c>
      <c r="O1851" s="5">
        <v>44.8</v>
      </c>
      <c r="P1851" s="5"/>
    </row>
    <row r="1852" spans="1:16" x14ac:dyDescent="0.25">
      <c r="A1852" s="4" t="s">
        <v>13</v>
      </c>
      <c r="B1852" s="4" t="s">
        <v>271</v>
      </c>
      <c r="C1852" s="5">
        <v>35746</v>
      </c>
      <c r="D1852" s="4" t="s">
        <v>37</v>
      </c>
      <c r="E1852" s="4" t="s">
        <v>295</v>
      </c>
      <c r="F1852" s="4" t="s">
        <v>271</v>
      </c>
      <c r="G1852" s="4" t="s">
        <v>26</v>
      </c>
      <c r="H1852" s="4" t="s">
        <v>27</v>
      </c>
      <c r="I1852" s="4" t="s">
        <v>715</v>
      </c>
      <c r="J1852" s="4" t="s">
        <v>638</v>
      </c>
      <c r="K1852" s="5">
        <v>6225506</v>
      </c>
      <c r="L1852" s="5">
        <v>337648</v>
      </c>
      <c r="M1852" s="5">
        <v>19</v>
      </c>
      <c r="N1852" s="5">
        <v>6</v>
      </c>
      <c r="O1852" s="5">
        <v>46</v>
      </c>
      <c r="P1852" s="5"/>
    </row>
    <row r="1853" spans="1:16" x14ac:dyDescent="0.25">
      <c r="A1853" s="4" t="s">
        <v>13</v>
      </c>
      <c r="B1853" s="4" t="s">
        <v>271</v>
      </c>
      <c r="C1853" s="5">
        <v>35753</v>
      </c>
      <c r="D1853" s="4" t="s">
        <v>37</v>
      </c>
      <c r="E1853" s="4" t="s">
        <v>349</v>
      </c>
      <c r="F1853" s="4" t="s">
        <v>579</v>
      </c>
      <c r="G1853" s="4" t="s">
        <v>26</v>
      </c>
      <c r="H1853" s="4" t="s">
        <v>27</v>
      </c>
      <c r="I1853" s="4" t="s">
        <v>715</v>
      </c>
      <c r="J1853" s="4" t="s">
        <v>638</v>
      </c>
      <c r="K1853" s="5">
        <v>6165690</v>
      </c>
      <c r="L1853" s="5">
        <v>286042</v>
      </c>
      <c r="M1853" s="5">
        <v>19</v>
      </c>
      <c r="N1853" s="5">
        <v>2</v>
      </c>
      <c r="O1853" s="5">
        <v>27.32</v>
      </c>
      <c r="P1853" s="5"/>
    </row>
    <row r="1854" spans="1:16" x14ac:dyDescent="0.25">
      <c r="A1854" s="4" t="s">
        <v>13</v>
      </c>
      <c r="B1854" s="4" t="s">
        <v>271</v>
      </c>
      <c r="C1854" s="5">
        <v>35755</v>
      </c>
      <c r="D1854" s="4" t="s">
        <v>37</v>
      </c>
      <c r="E1854" s="4" t="s">
        <v>349</v>
      </c>
      <c r="F1854" s="4" t="s">
        <v>579</v>
      </c>
      <c r="G1854" s="4" t="s">
        <v>26</v>
      </c>
      <c r="H1854" s="4" t="s">
        <v>27</v>
      </c>
      <c r="I1854" s="4" t="s">
        <v>715</v>
      </c>
      <c r="J1854" s="4" t="s">
        <v>638</v>
      </c>
      <c r="K1854" s="5">
        <v>6165143</v>
      </c>
      <c r="L1854" s="5">
        <v>286527</v>
      </c>
      <c r="M1854" s="5">
        <v>19</v>
      </c>
      <c r="N1854" s="5">
        <v>2</v>
      </c>
      <c r="O1854" s="5">
        <v>19.03</v>
      </c>
      <c r="P1854" s="5"/>
    </row>
    <row r="1855" spans="1:16" x14ac:dyDescent="0.25">
      <c r="A1855" s="4" t="s">
        <v>13</v>
      </c>
      <c r="B1855" s="4" t="s">
        <v>271</v>
      </c>
      <c r="C1855" s="5">
        <v>35757</v>
      </c>
      <c r="D1855" s="4" t="s">
        <v>33</v>
      </c>
      <c r="E1855" s="4" t="s">
        <v>43</v>
      </c>
      <c r="F1855" s="4" t="s">
        <v>378</v>
      </c>
      <c r="G1855" s="4" t="s">
        <v>26</v>
      </c>
      <c r="H1855" s="4" t="s">
        <v>27</v>
      </c>
      <c r="I1855" s="4" t="s">
        <v>715</v>
      </c>
      <c r="J1855" s="4" t="s">
        <v>638</v>
      </c>
      <c r="K1855" s="5">
        <v>6058782</v>
      </c>
      <c r="L1855" s="5">
        <v>287085</v>
      </c>
      <c r="M1855" s="5">
        <v>19</v>
      </c>
      <c r="N1855" s="5">
        <v>6</v>
      </c>
      <c r="O1855" s="5">
        <v>14.1</v>
      </c>
      <c r="P1855" s="5"/>
    </row>
    <row r="1856" spans="1:16" x14ac:dyDescent="0.25">
      <c r="A1856" s="4" t="s">
        <v>21</v>
      </c>
      <c r="B1856" s="4" t="s">
        <v>271</v>
      </c>
      <c r="C1856" s="5">
        <v>35766</v>
      </c>
      <c r="D1856" s="4" t="s">
        <v>37</v>
      </c>
      <c r="E1856" s="4" t="s">
        <v>295</v>
      </c>
      <c r="F1856" s="4" t="s">
        <v>271</v>
      </c>
      <c r="G1856" s="4" t="s">
        <v>26</v>
      </c>
      <c r="H1856" s="4" t="s">
        <v>27</v>
      </c>
      <c r="I1856" s="4" t="s">
        <v>715</v>
      </c>
      <c r="J1856" s="4" t="s">
        <v>715</v>
      </c>
      <c r="K1856" s="5">
        <v>6224195</v>
      </c>
      <c r="L1856" s="5">
        <v>335950</v>
      </c>
      <c r="M1856" s="5">
        <v>19</v>
      </c>
      <c r="N1856" s="5">
        <v>1</v>
      </c>
      <c r="O1856" s="5">
        <v>9</v>
      </c>
      <c r="P1856" s="5"/>
    </row>
    <row r="1857" spans="1:16" x14ac:dyDescent="0.25">
      <c r="A1857" s="4" t="s">
        <v>13</v>
      </c>
      <c r="B1857" s="4" t="s">
        <v>271</v>
      </c>
      <c r="C1857" s="5">
        <v>35767</v>
      </c>
      <c r="D1857" s="4" t="s">
        <v>37</v>
      </c>
      <c r="E1857" s="4" t="s">
        <v>295</v>
      </c>
      <c r="F1857" s="4" t="s">
        <v>271</v>
      </c>
      <c r="G1857" s="4" t="s">
        <v>26</v>
      </c>
      <c r="H1857" s="4" t="s">
        <v>27</v>
      </c>
      <c r="I1857" s="4" t="s">
        <v>715</v>
      </c>
      <c r="J1857" s="4" t="s">
        <v>638</v>
      </c>
      <c r="K1857" s="5">
        <v>6216347</v>
      </c>
      <c r="L1857" s="5">
        <v>335566</v>
      </c>
      <c r="M1857" s="5">
        <v>19</v>
      </c>
      <c r="N1857" s="5">
        <v>1</v>
      </c>
      <c r="O1857" s="5">
        <v>10.5</v>
      </c>
      <c r="P1857" s="5"/>
    </row>
    <row r="1858" spans="1:16" x14ac:dyDescent="0.25">
      <c r="A1858" s="4" t="s">
        <v>13</v>
      </c>
      <c r="B1858" s="4" t="s">
        <v>271</v>
      </c>
      <c r="C1858" s="5">
        <v>35768</v>
      </c>
      <c r="D1858" s="4" t="s">
        <v>37</v>
      </c>
      <c r="E1858" s="4" t="s">
        <v>169</v>
      </c>
      <c r="F1858" s="4" t="s">
        <v>46</v>
      </c>
      <c r="G1858" s="4" t="s">
        <v>26</v>
      </c>
      <c r="H1858" s="4" t="s">
        <v>27</v>
      </c>
      <c r="I1858" s="4" t="s">
        <v>638</v>
      </c>
      <c r="J1858" s="4" t="s">
        <v>715</v>
      </c>
      <c r="K1858" s="5">
        <v>6217784</v>
      </c>
      <c r="L1858" s="5">
        <v>334050</v>
      </c>
      <c r="M1858" s="5">
        <v>19</v>
      </c>
      <c r="N1858" s="5">
        <v>2</v>
      </c>
      <c r="O1858" s="5">
        <v>30</v>
      </c>
      <c r="P1858" s="5"/>
    </row>
    <row r="1859" spans="1:16" x14ac:dyDescent="0.25">
      <c r="A1859" s="4" t="s">
        <v>13</v>
      </c>
      <c r="B1859" s="4" t="s">
        <v>271</v>
      </c>
      <c r="C1859" s="5">
        <v>35772</v>
      </c>
      <c r="D1859" s="4" t="s">
        <v>37</v>
      </c>
      <c r="E1859" s="4" t="s">
        <v>577</v>
      </c>
      <c r="F1859" s="4" t="s">
        <v>578</v>
      </c>
      <c r="G1859" s="4" t="s">
        <v>26</v>
      </c>
      <c r="H1859" s="4" t="s">
        <v>27</v>
      </c>
      <c r="I1859" s="4" t="s">
        <v>715</v>
      </c>
      <c r="J1859" s="4" t="s">
        <v>638</v>
      </c>
      <c r="K1859" s="5">
        <v>6188761</v>
      </c>
      <c r="L1859" s="5">
        <v>279464</v>
      </c>
      <c r="M1859" s="5">
        <v>19</v>
      </c>
      <c r="N1859" s="5">
        <v>2</v>
      </c>
      <c r="O1859" s="5">
        <v>16.489999999999998</v>
      </c>
      <c r="P1859" s="5"/>
    </row>
    <row r="1860" spans="1:16" x14ac:dyDescent="0.25">
      <c r="A1860" s="4" t="s">
        <v>13</v>
      </c>
      <c r="B1860" s="4" t="s">
        <v>271</v>
      </c>
      <c r="C1860" s="5">
        <v>35774</v>
      </c>
      <c r="D1860" s="4" t="s">
        <v>33</v>
      </c>
      <c r="E1860" s="4" t="s">
        <v>122</v>
      </c>
      <c r="F1860" s="4" t="s">
        <v>324</v>
      </c>
      <c r="G1860" s="4" t="s">
        <v>26</v>
      </c>
      <c r="H1860" s="4" t="s">
        <v>27</v>
      </c>
      <c r="I1860" s="4" t="s">
        <v>715</v>
      </c>
      <c r="J1860" s="4" t="s">
        <v>638</v>
      </c>
      <c r="K1860" s="5">
        <v>6117862</v>
      </c>
      <c r="L1860" s="5">
        <v>293566</v>
      </c>
      <c r="M1860" s="5">
        <v>19</v>
      </c>
      <c r="N1860" s="5">
        <v>4</v>
      </c>
      <c r="O1860" s="5">
        <v>9.0299999999999994</v>
      </c>
      <c r="P1860" s="5"/>
    </row>
    <row r="1861" spans="1:16" x14ac:dyDescent="0.25">
      <c r="A1861" s="4" t="s">
        <v>13</v>
      </c>
      <c r="B1861" s="4" t="s">
        <v>271</v>
      </c>
      <c r="C1861" s="5">
        <v>35779</v>
      </c>
      <c r="D1861" s="4" t="s">
        <v>33</v>
      </c>
      <c r="E1861" s="4" t="s">
        <v>167</v>
      </c>
      <c r="F1861" s="4" t="s">
        <v>300</v>
      </c>
      <c r="G1861" s="4" t="s">
        <v>26</v>
      </c>
      <c r="H1861" s="4" t="s">
        <v>27</v>
      </c>
      <c r="I1861" s="4" t="s">
        <v>715</v>
      </c>
      <c r="J1861" s="4" t="s">
        <v>638</v>
      </c>
      <c r="K1861" s="5">
        <v>6130062</v>
      </c>
      <c r="L1861" s="5">
        <v>318755</v>
      </c>
      <c r="M1861" s="5">
        <v>19</v>
      </c>
      <c r="N1861" s="5">
        <v>1</v>
      </c>
      <c r="O1861" s="5">
        <v>4.18</v>
      </c>
      <c r="P1861" s="5"/>
    </row>
    <row r="1862" spans="1:16" x14ac:dyDescent="0.25">
      <c r="A1862" s="4" t="s">
        <v>13</v>
      </c>
      <c r="B1862" s="4" t="s">
        <v>271</v>
      </c>
      <c r="C1862" s="5">
        <v>35811</v>
      </c>
      <c r="D1862" s="4" t="s">
        <v>37</v>
      </c>
      <c r="E1862" s="4" t="s">
        <v>38</v>
      </c>
      <c r="F1862" s="4" t="s">
        <v>269</v>
      </c>
      <c r="G1862" s="4" t="s">
        <v>26</v>
      </c>
      <c r="H1862" s="4" t="s">
        <v>27</v>
      </c>
      <c r="I1862" s="4" t="s">
        <v>715</v>
      </c>
      <c r="J1862" s="4" t="s">
        <v>638</v>
      </c>
      <c r="K1862" s="5">
        <v>6171410</v>
      </c>
      <c r="L1862" s="5">
        <v>313474</v>
      </c>
      <c r="M1862" s="5">
        <v>19</v>
      </c>
      <c r="N1862" s="5">
        <v>1</v>
      </c>
      <c r="O1862" s="5">
        <v>7.83</v>
      </c>
      <c r="P1862" s="5"/>
    </row>
    <row r="1863" spans="1:16" x14ac:dyDescent="0.25">
      <c r="A1863" s="4" t="s">
        <v>21</v>
      </c>
      <c r="B1863" s="4" t="s">
        <v>271</v>
      </c>
      <c r="C1863" s="5">
        <v>35812</v>
      </c>
      <c r="D1863" s="4" t="s">
        <v>33</v>
      </c>
      <c r="E1863" s="4" t="s">
        <v>35</v>
      </c>
      <c r="F1863" s="4" t="s">
        <v>35</v>
      </c>
      <c r="G1863" s="4" t="s">
        <v>26</v>
      </c>
      <c r="H1863" s="4" t="s">
        <v>27</v>
      </c>
      <c r="I1863" s="4" t="s">
        <v>715</v>
      </c>
      <c r="J1863" s="4" t="s">
        <v>715</v>
      </c>
      <c r="K1863" s="5">
        <v>6136868</v>
      </c>
      <c r="L1863" s="5">
        <v>301820</v>
      </c>
      <c r="M1863" s="5">
        <v>19</v>
      </c>
      <c r="N1863" s="5">
        <v>1</v>
      </c>
      <c r="O1863" s="5">
        <v>6.2</v>
      </c>
      <c r="P1863" s="5"/>
    </row>
    <row r="1864" spans="1:16" x14ac:dyDescent="0.25">
      <c r="A1864" s="4" t="s">
        <v>13</v>
      </c>
      <c r="B1864" s="4" t="s">
        <v>271</v>
      </c>
      <c r="C1864" s="5">
        <v>35815</v>
      </c>
      <c r="D1864" s="4" t="s">
        <v>37</v>
      </c>
      <c r="E1864" s="4" t="s">
        <v>38</v>
      </c>
      <c r="F1864" s="4" t="s">
        <v>269</v>
      </c>
      <c r="G1864" s="4" t="s">
        <v>26</v>
      </c>
      <c r="H1864" s="4" t="s">
        <v>27</v>
      </c>
      <c r="I1864" s="4" t="s">
        <v>715</v>
      </c>
      <c r="J1864" s="4" t="s">
        <v>638</v>
      </c>
      <c r="K1864" s="5">
        <v>6172117</v>
      </c>
      <c r="L1864" s="5">
        <v>314449</v>
      </c>
      <c r="M1864" s="5">
        <v>19</v>
      </c>
      <c r="N1864" s="5">
        <v>1</v>
      </c>
      <c r="O1864" s="5">
        <v>7</v>
      </c>
      <c r="P1864" s="5"/>
    </row>
    <row r="1865" spans="1:16" x14ac:dyDescent="0.25">
      <c r="A1865" s="4" t="s">
        <v>21</v>
      </c>
      <c r="B1865" s="4" t="s">
        <v>271</v>
      </c>
      <c r="C1865" s="5">
        <v>35819</v>
      </c>
      <c r="D1865" s="4" t="s">
        <v>37</v>
      </c>
      <c r="E1865" s="4" t="s">
        <v>349</v>
      </c>
      <c r="F1865" s="4" t="s">
        <v>350</v>
      </c>
      <c r="G1865" s="4" t="s">
        <v>26</v>
      </c>
      <c r="H1865" s="4" t="s">
        <v>27</v>
      </c>
      <c r="I1865" s="4" t="s">
        <v>715</v>
      </c>
      <c r="J1865" s="4" t="s">
        <v>638</v>
      </c>
      <c r="K1865" s="5">
        <v>6165567</v>
      </c>
      <c r="L1865" s="5">
        <v>287265</v>
      </c>
      <c r="M1865" s="5">
        <v>19</v>
      </c>
      <c r="N1865" s="5">
        <v>1</v>
      </c>
      <c r="O1865" s="5">
        <v>38.4</v>
      </c>
      <c r="P1865" s="5"/>
    </row>
    <row r="1866" spans="1:16" x14ac:dyDescent="0.25">
      <c r="A1866" s="4" t="s">
        <v>13</v>
      </c>
      <c r="B1866" s="4" t="s">
        <v>271</v>
      </c>
      <c r="C1866" s="5">
        <v>35823</v>
      </c>
      <c r="D1866" s="4" t="s">
        <v>33</v>
      </c>
      <c r="E1866" s="4" t="s">
        <v>35</v>
      </c>
      <c r="F1866" s="4" t="s">
        <v>324</v>
      </c>
      <c r="G1866" s="4" t="s">
        <v>26</v>
      </c>
      <c r="H1866" s="4" t="s">
        <v>27</v>
      </c>
      <c r="I1866" s="4" t="s">
        <v>715</v>
      </c>
      <c r="J1866" s="4" t="s">
        <v>638</v>
      </c>
      <c r="K1866" s="5">
        <v>6116999</v>
      </c>
      <c r="L1866" s="5">
        <v>294127</v>
      </c>
      <c r="M1866" s="5">
        <v>19</v>
      </c>
      <c r="N1866" s="5">
        <v>2</v>
      </c>
      <c r="O1866" s="5">
        <v>22</v>
      </c>
      <c r="P1866" s="5"/>
    </row>
    <row r="1867" spans="1:16" x14ac:dyDescent="0.25">
      <c r="A1867" s="4" t="s">
        <v>13</v>
      </c>
      <c r="B1867" s="4" t="s">
        <v>271</v>
      </c>
      <c r="C1867" s="5">
        <v>35827</v>
      </c>
      <c r="D1867" s="4" t="s">
        <v>33</v>
      </c>
      <c r="E1867" s="4" t="s">
        <v>35</v>
      </c>
      <c r="F1867" s="4" t="s">
        <v>324</v>
      </c>
      <c r="G1867" s="4" t="s">
        <v>26</v>
      </c>
      <c r="H1867" s="4" t="s">
        <v>27</v>
      </c>
      <c r="I1867" s="4" t="s">
        <v>715</v>
      </c>
      <c r="J1867" s="4" t="s">
        <v>638</v>
      </c>
      <c r="K1867" s="5">
        <v>6119354</v>
      </c>
      <c r="L1867" s="5">
        <v>294329</v>
      </c>
      <c r="M1867" s="5">
        <v>19</v>
      </c>
      <c r="N1867" s="5">
        <v>4</v>
      </c>
      <c r="O1867" s="5">
        <v>17</v>
      </c>
      <c r="P1867" s="5"/>
    </row>
    <row r="1868" spans="1:16" x14ac:dyDescent="0.25">
      <c r="A1868" s="4" t="s">
        <v>13</v>
      </c>
      <c r="B1868" s="4" t="s">
        <v>271</v>
      </c>
      <c r="C1868" s="5">
        <v>35832</v>
      </c>
      <c r="D1868" s="4" t="s">
        <v>33</v>
      </c>
      <c r="E1868" s="4" t="s">
        <v>35</v>
      </c>
      <c r="F1868" s="4" t="s">
        <v>317</v>
      </c>
      <c r="G1868" s="4" t="s">
        <v>26</v>
      </c>
      <c r="H1868" s="4" t="s">
        <v>27</v>
      </c>
      <c r="I1868" s="4" t="s">
        <v>638</v>
      </c>
      <c r="J1868" s="4" t="s">
        <v>715</v>
      </c>
      <c r="K1868" s="5">
        <v>6141854</v>
      </c>
      <c r="L1868" s="5">
        <v>293411</v>
      </c>
      <c r="M1868" s="5">
        <v>19</v>
      </c>
      <c r="N1868" s="5">
        <v>2</v>
      </c>
      <c r="O1868" s="5">
        <v>42.42</v>
      </c>
      <c r="P1868" s="5"/>
    </row>
    <row r="1869" spans="1:16" x14ac:dyDescent="0.25">
      <c r="A1869" s="4" t="s">
        <v>13</v>
      </c>
      <c r="B1869" s="4" t="s">
        <v>271</v>
      </c>
      <c r="C1869" s="5">
        <v>35848</v>
      </c>
      <c r="D1869" s="4" t="s">
        <v>37</v>
      </c>
      <c r="E1869" s="4" t="s">
        <v>295</v>
      </c>
      <c r="F1869" s="4" t="s">
        <v>271</v>
      </c>
      <c r="G1869" s="4" t="s">
        <v>26</v>
      </c>
      <c r="H1869" s="4" t="s">
        <v>27</v>
      </c>
      <c r="I1869" s="4" t="s">
        <v>715</v>
      </c>
      <c r="J1869" s="4" t="s">
        <v>638</v>
      </c>
      <c r="K1869" s="5">
        <v>6224273</v>
      </c>
      <c r="L1869" s="5">
        <v>338645</v>
      </c>
      <c r="M1869" s="5">
        <v>19</v>
      </c>
      <c r="N1869" s="5">
        <v>4</v>
      </c>
      <c r="O1869" s="5">
        <v>27.9</v>
      </c>
      <c r="P1869" s="5"/>
    </row>
    <row r="1870" spans="1:16" x14ac:dyDescent="0.25">
      <c r="A1870" s="4" t="s">
        <v>21</v>
      </c>
      <c r="B1870" s="4" t="s">
        <v>271</v>
      </c>
      <c r="C1870" s="5">
        <v>35857</v>
      </c>
      <c r="D1870" s="4" t="s">
        <v>37</v>
      </c>
      <c r="E1870" s="4" t="s">
        <v>577</v>
      </c>
      <c r="F1870" s="4" t="s">
        <v>580</v>
      </c>
      <c r="G1870" s="4" t="s">
        <v>26</v>
      </c>
      <c r="H1870" s="4" t="s">
        <v>27</v>
      </c>
      <c r="I1870" s="4" t="s">
        <v>715</v>
      </c>
      <c r="J1870" s="4" t="s">
        <v>715</v>
      </c>
      <c r="K1870" s="5">
        <v>6191345</v>
      </c>
      <c r="L1870" s="5">
        <v>284848</v>
      </c>
      <c r="M1870" s="5">
        <v>19</v>
      </c>
      <c r="N1870" s="5">
        <v>5</v>
      </c>
      <c r="O1870" s="5">
        <v>57.16</v>
      </c>
      <c r="P1870" s="5"/>
    </row>
    <row r="1871" spans="1:16" x14ac:dyDescent="0.25">
      <c r="A1871" s="4" t="s">
        <v>13</v>
      </c>
      <c r="B1871" s="4" t="s">
        <v>271</v>
      </c>
      <c r="C1871" s="5">
        <v>35866</v>
      </c>
      <c r="D1871" s="4" t="s">
        <v>33</v>
      </c>
      <c r="E1871" s="4" t="s">
        <v>178</v>
      </c>
      <c r="F1871" s="4" t="s">
        <v>375</v>
      </c>
      <c r="G1871" s="4" t="s">
        <v>26</v>
      </c>
      <c r="H1871" s="4" t="s">
        <v>27</v>
      </c>
      <c r="I1871" s="4" t="s">
        <v>715</v>
      </c>
      <c r="J1871" s="4" t="s">
        <v>715</v>
      </c>
      <c r="K1871" s="5">
        <v>6010105</v>
      </c>
      <c r="L1871" s="5">
        <v>245789</v>
      </c>
      <c r="M1871" s="5">
        <v>19</v>
      </c>
      <c r="N1871" s="5">
        <v>1</v>
      </c>
      <c r="O1871" s="5">
        <v>15.5</v>
      </c>
      <c r="P1871" s="5"/>
    </row>
    <row r="1872" spans="1:16" x14ac:dyDescent="0.25">
      <c r="A1872" s="4" t="s">
        <v>21</v>
      </c>
      <c r="B1872" s="4" t="s">
        <v>271</v>
      </c>
      <c r="C1872" s="5">
        <v>35868</v>
      </c>
      <c r="D1872" s="4" t="s">
        <v>33</v>
      </c>
      <c r="E1872" s="4" t="s">
        <v>34</v>
      </c>
      <c r="F1872" s="4" t="s">
        <v>581</v>
      </c>
      <c r="G1872" s="4" t="s">
        <v>26</v>
      </c>
      <c r="H1872" s="4" t="s">
        <v>27</v>
      </c>
      <c r="I1872" s="4" t="s">
        <v>715</v>
      </c>
      <c r="J1872" s="4" t="s">
        <v>638</v>
      </c>
      <c r="K1872" s="5">
        <v>6134609</v>
      </c>
      <c r="L1872" s="5">
        <v>299157</v>
      </c>
      <c r="M1872" s="5">
        <v>19</v>
      </c>
      <c r="N1872" s="5">
        <v>1</v>
      </c>
      <c r="O1872" s="5">
        <v>6</v>
      </c>
      <c r="P1872" s="5"/>
    </row>
    <row r="1873" spans="1:16" x14ac:dyDescent="0.25">
      <c r="A1873" s="4" t="s">
        <v>13</v>
      </c>
      <c r="B1873" s="4" t="s">
        <v>271</v>
      </c>
      <c r="C1873" s="5">
        <v>35869</v>
      </c>
      <c r="D1873" s="4" t="s">
        <v>33</v>
      </c>
      <c r="E1873" s="4" t="s">
        <v>118</v>
      </c>
      <c r="F1873" s="4" t="s">
        <v>582</v>
      </c>
      <c r="G1873" s="4" t="s">
        <v>26</v>
      </c>
      <c r="H1873" s="4" t="s">
        <v>27</v>
      </c>
      <c r="I1873" s="4" t="s">
        <v>715</v>
      </c>
      <c r="J1873" s="4" t="s">
        <v>638</v>
      </c>
      <c r="K1873" s="5">
        <v>6026100</v>
      </c>
      <c r="L1873" s="5">
        <v>264292</v>
      </c>
      <c r="M1873" s="5">
        <v>19</v>
      </c>
      <c r="N1873" s="5">
        <v>1</v>
      </c>
      <c r="O1873" s="5">
        <v>2.1</v>
      </c>
      <c r="P1873" s="5"/>
    </row>
    <row r="1874" spans="1:16" x14ac:dyDescent="0.25">
      <c r="A1874" s="4" t="s">
        <v>13</v>
      </c>
      <c r="B1874" s="4" t="s">
        <v>271</v>
      </c>
      <c r="C1874" s="5">
        <v>35971</v>
      </c>
      <c r="D1874" s="4" t="s">
        <v>33</v>
      </c>
      <c r="E1874" s="4" t="s">
        <v>118</v>
      </c>
      <c r="F1874" s="4" t="s">
        <v>582</v>
      </c>
      <c r="G1874" s="4" t="s">
        <v>26</v>
      </c>
      <c r="H1874" s="4" t="s">
        <v>27</v>
      </c>
      <c r="I1874" s="4" t="s">
        <v>715</v>
      </c>
      <c r="J1874" s="4" t="s">
        <v>638</v>
      </c>
      <c r="K1874" s="5">
        <v>6025933</v>
      </c>
      <c r="L1874" s="5">
        <v>264383</v>
      </c>
      <c r="M1874" s="5">
        <v>19</v>
      </c>
      <c r="N1874" s="5">
        <v>3</v>
      </c>
      <c r="O1874" s="5">
        <v>8.1999999999999993</v>
      </c>
      <c r="P1874" s="5"/>
    </row>
    <row r="1875" spans="1:16" x14ac:dyDescent="0.25">
      <c r="A1875" s="4" t="s">
        <v>54</v>
      </c>
      <c r="B1875" s="4" t="s">
        <v>271</v>
      </c>
      <c r="C1875" s="5">
        <v>36051</v>
      </c>
      <c r="D1875" s="4" t="s">
        <v>37</v>
      </c>
      <c r="E1875" s="4" t="s">
        <v>295</v>
      </c>
      <c r="F1875" s="4" t="s">
        <v>295</v>
      </c>
      <c r="G1875" s="4" t="s">
        <v>26</v>
      </c>
      <c r="H1875" s="4" t="s">
        <v>641</v>
      </c>
      <c r="I1875" s="4" t="s">
        <v>715</v>
      </c>
      <c r="J1875" s="4" t="s">
        <v>715</v>
      </c>
      <c r="K1875" s="5">
        <v>6224916</v>
      </c>
      <c r="L1875" s="5">
        <v>339151</v>
      </c>
      <c r="M1875" s="5">
        <v>19</v>
      </c>
      <c r="N1875" s="5">
        <v>1</v>
      </c>
      <c r="O1875" s="5">
        <v>7.0000000000000007E-2</v>
      </c>
      <c r="P1875" s="5"/>
    </row>
    <row r="1876" spans="1:16" x14ac:dyDescent="0.25">
      <c r="A1876" s="4" t="s">
        <v>21</v>
      </c>
      <c r="B1876" s="4" t="s">
        <v>271</v>
      </c>
      <c r="C1876" s="5">
        <v>36065</v>
      </c>
      <c r="D1876" s="4" t="s">
        <v>33</v>
      </c>
      <c r="E1876" s="4" t="s">
        <v>35</v>
      </c>
      <c r="F1876" s="4" t="s">
        <v>583</v>
      </c>
      <c r="G1876" s="4" t="s">
        <v>26</v>
      </c>
      <c r="H1876" s="4" t="s">
        <v>27</v>
      </c>
      <c r="I1876" s="4" t="s">
        <v>715</v>
      </c>
      <c r="J1876" s="4" t="s">
        <v>638</v>
      </c>
      <c r="K1876" s="5">
        <v>6138800</v>
      </c>
      <c r="L1876" s="5">
        <v>315367</v>
      </c>
      <c r="M1876" s="5">
        <v>19</v>
      </c>
      <c r="N1876" s="5">
        <v>1</v>
      </c>
      <c r="O1876" s="5">
        <v>14.9</v>
      </c>
      <c r="P1876" s="5"/>
    </row>
    <row r="1877" spans="1:16" x14ac:dyDescent="0.25">
      <c r="A1877" s="4" t="s">
        <v>13</v>
      </c>
      <c r="B1877" s="4" t="s">
        <v>271</v>
      </c>
      <c r="C1877" s="5">
        <v>36263</v>
      </c>
      <c r="D1877" s="4" t="s">
        <v>33</v>
      </c>
      <c r="E1877" s="4" t="s">
        <v>137</v>
      </c>
      <c r="F1877" s="4" t="s">
        <v>537</v>
      </c>
      <c r="G1877" s="4" t="s">
        <v>26</v>
      </c>
      <c r="H1877" s="4" t="s">
        <v>27</v>
      </c>
      <c r="I1877" s="4" t="s">
        <v>715</v>
      </c>
      <c r="J1877" s="4" t="s">
        <v>715</v>
      </c>
      <c r="K1877" s="5">
        <v>6045987</v>
      </c>
      <c r="L1877" s="5">
        <v>272802</v>
      </c>
      <c r="M1877" s="5">
        <v>19</v>
      </c>
      <c r="N1877" s="5">
        <v>5</v>
      </c>
      <c r="O1877" s="5">
        <v>17</v>
      </c>
      <c r="P1877" s="5"/>
    </row>
    <row r="1878" spans="1:16" x14ac:dyDescent="0.25">
      <c r="A1878" s="4" t="s">
        <v>54</v>
      </c>
      <c r="B1878" s="4" t="s">
        <v>271</v>
      </c>
      <c r="C1878" s="5">
        <v>36284</v>
      </c>
      <c r="D1878" s="4" t="s">
        <v>37</v>
      </c>
      <c r="E1878" s="4" t="s">
        <v>295</v>
      </c>
      <c r="F1878" s="4" t="s">
        <v>295</v>
      </c>
      <c r="G1878" s="4" t="s">
        <v>26</v>
      </c>
      <c r="H1878" s="4" t="s">
        <v>641</v>
      </c>
      <c r="I1878" s="4" t="s">
        <v>715</v>
      </c>
      <c r="J1878" s="4" t="s">
        <v>715</v>
      </c>
      <c r="K1878" s="5">
        <v>6224916</v>
      </c>
      <c r="L1878" s="5">
        <v>339151</v>
      </c>
      <c r="M1878" s="5">
        <v>19</v>
      </c>
      <c r="N1878" s="5">
        <v>1</v>
      </c>
      <c r="O1878" s="5">
        <v>0.21</v>
      </c>
      <c r="P1878" s="5"/>
    </row>
    <row r="1879" spans="1:16" x14ac:dyDescent="0.25">
      <c r="A1879" s="4" t="s">
        <v>21</v>
      </c>
      <c r="B1879" s="4" t="s">
        <v>271</v>
      </c>
      <c r="C1879" s="5">
        <v>36303</v>
      </c>
      <c r="D1879" s="4" t="s">
        <v>33</v>
      </c>
      <c r="E1879" s="4" t="s">
        <v>137</v>
      </c>
      <c r="F1879" s="4" t="s">
        <v>45</v>
      </c>
      <c r="G1879" s="4" t="s">
        <v>26</v>
      </c>
      <c r="H1879" s="4" t="s">
        <v>27</v>
      </c>
      <c r="I1879" s="4" t="s">
        <v>715</v>
      </c>
      <c r="J1879" s="4" t="s">
        <v>715</v>
      </c>
      <c r="K1879" s="5">
        <v>6042316</v>
      </c>
      <c r="L1879" s="5">
        <v>276852</v>
      </c>
      <c r="M1879" s="5">
        <v>19</v>
      </c>
      <c r="N1879" s="5">
        <v>7</v>
      </c>
      <c r="O1879" s="5">
        <v>48.9</v>
      </c>
      <c r="P1879" s="5"/>
    </row>
    <row r="1880" spans="1:16" x14ac:dyDescent="0.25">
      <c r="A1880" s="4" t="s">
        <v>21</v>
      </c>
      <c r="B1880" s="4" t="s">
        <v>271</v>
      </c>
      <c r="C1880" s="5">
        <v>36366</v>
      </c>
      <c r="D1880" s="4" t="s">
        <v>15</v>
      </c>
      <c r="E1880" s="4" t="s">
        <v>277</v>
      </c>
      <c r="F1880" s="4" t="s">
        <v>277</v>
      </c>
      <c r="G1880" s="4" t="s">
        <v>26</v>
      </c>
      <c r="H1880" s="4" t="s">
        <v>18</v>
      </c>
      <c r="I1880" s="4" t="s">
        <v>715</v>
      </c>
      <c r="J1880" s="4" t="s">
        <v>715</v>
      </c>
      <c r="K1880" s="5">
        <v>6372144</v>
      </c>
      <c r="L1880" s="5">
        <v>322900</v>
      </c>
      <c r="M1880" s="5">
        <v>19</v>
      </c>
      <c r="N1880" s="5">
        <v>1</v>
      </c>
      <c r="O1880" s="5">
        <v>3</v>
      </c>
      <c r="P1880" s="5"/>
    </row>
    <row r="1881" spans="1:16" x14ac:dyDescent="0.25">
      <c r="A1881" s="4" t="s">
        <v>54</v>
      </c>
      <c r="B1881" s="4" t="s">
        <v>271</v>
      </c>
      <c r="C1881" s="5">
        <v>36375</v>
      </c>
      <c r="D1881" s="4" t="s">
        <v>37</v>
      </c>
      <c r="E1881" s="4" t="s">
        <v>295</v>
      </c>
      <c r="F1881" s="4" t="s">
        <v>295</v>
      </c>
      <c r="G1881" s="4" t="s">
        <v>26</v>
      </c>
      <c r="H1881" s="4" t="s">
        <v>641</v>
      </c>
      <c r="I1881" s="4" t="s">
        <v>715</v>
      </c>
      <c r="J1881" s="4" t="s">
        <v>715</v>
      </c>
      <c r="K1881" s="5">
        <v>6224916</v>
      </c>
      <c r="L1881" s="5">
        <v>339151</v>
      </c>
      <c r="M1881" s="5">
        <v>19</v>
      </c>
      <c r="N1881" s="5">
        <v>1</v>
      </c>
      <c r="O1881" s="5">
        <v>1.08</v>
      </c>
      <c r="P1881" s="5"/>
    </row>
    <row r="1882" spans="1:16" x14ac:dyDescent="0.25">
      <c r="A1882" s="4" t="s">
        <v>21</v>
      </c>
      <c r="B1882" s="4" t="s">
        <v>271</v>
      </c>
      <c r="C1882" s="5">
        <v>36425</v>
      </c>
      <c r="D1882" s="4" t="s">
        <v>37</v>
      </c>
      <c r="E1882" s="4" t="s">
        <v>295</v>
      </c>
      <c r="F1882" s="4" t="s">
        <v>271</v>
      </c>
      <c r="G1882" s="4" t="s">
        <v>26</v>
      </c>
      <c r="H1882" s="4" t="s">
        <v>27</v>
      </c>
      <c r="I1882" s="4" t="s">
        <v>715</v>
      </c>
      <c r="J1882" s="4" t="s">
        <v>715</v>
      </c>
      <c r="K1882" s="5">
        <v>6221845</v>
      </c>
      <c r="L1882" s="5">
        <v>336556</v>
      </c>
      <c r="M1882" s="5">
        <v>19</v>
      </c>
      <c r="N1882" s="5">
        <v>3</v>
      </c>
      <c r="O1882" s="5">
        <v>52.4</v>
      </c>
      <c r="P1882" s="5"/>
    </row>
    <row r="1883" spans="1:16" x14ac:dyDescent="0.25">
      <c r="A1883" s="4" t="s">
        <v>21</v>
      </c>
      <c r="B1883" s="4" t="s">
        <v>271</v>
      </c>
      <c r="C1883" s="5">
        <v>36475</v>
      </c>
      <c r="D1883" s="4" t="s">
        <v>33</v>
      </c>
      <c r="E1883" s="4" t="s">
        <v>178</v>
      </c>
      <c r="F1883" s="4" t="s">
        <v>178</v>
      </c>
      <c r="G1883" s="4" t="s">
        <v>26</v>
      </c>
      <c r="H1883" s="4" t="s">
        <v>27</v>
      </c>
      <c r="I1883" s="4" t="s">
        <v>715</v>
      </c>
      <c r="J1883" s="4" t="s">
        <v>715</v>
      </c>
      <c r="K1883" s="5">
        <v>6010395</v>
      </c>
      <c r="L1883" s="5">
        <v>245913</v>
      </c>
      <c r="M1883" s="5">
        <v>19</v>
      </c>
      <c r="N1883" s="5">
        <v>2</v>
      </c>
      <c r="O1883" s="5">
        <v>24</v>
      </c>
      <c r="P1883" s="5"/>
    </row>
    <row r="1884" spans="1:16" x14ac:dyDescent="0.25">
      <c r="A1884" s="4" t="s">
        <v>21</v>
      </c>
      <c r="B1884" s="4" t="s">
        <v>271</v>
      </c>
      <c r="C1884" s="5">
        <v>36495</v>
      </c>
      <c r="D1884" s="4" t="s">
        <v>33</v>
      </c>
      <c r="E1884" s="4" t="s">
        <v>118</v>
      </c>
      <c r="F1884" s="4" t="s">
        <v>179</v>
      </c>
      <c r="G1884" s="4" t="s">
        <v>26</v>
      </c>
      <c r="H1884" s="4" t="s">
        <v>27</v>
      </c>
      <c r="I1884" s="4" t="s">
        <v>715</v>
      </c>
      <c r="J1884" s="4" t="s">
        <v>715</v>
      </c>
      <c r="K1884" s="5">
        <v>6031985</v>
      </c>
      <c r="L1884" s="5">
        <v>281339</v>
      </c>
      <c r="M1884" s="5">
        <v>19</v>
      </c>
      <c r="N1884" s="5">
        <v>1</v>
      </c>
      <c r="O1884" s="5">
        <v>26</v>
      </c>
      <c r="P1884" s="5"/>
    </row>
    <row r="1885" spans="1:16" x14ac:dyDescent="0.25">
      <c r="A1885" s="4" t="s">
        <v>13</v>
      </c>
      <c r="B1885" s="4" t="s">
        <v>271</v>
      </c>
      <c r="C1885" s="5">
        <v>36502</v>
      </c>
      <c r="D1885" s="4" t="s">
        <v>33</v>
      </c>
      <c r="E1885" s="4" t="s">
        <v>122</v>
      </c>
      <c r="F1885" s="4" t="s">
        <v>122</v>
      </c>
      <c r="G1885" s="4" t="s">
        <v>26</v>
      </c>
      <c r="H1885" s="4" t="s">
        <v>27</v>
      </c>
      <c r="I1885" s="4" t="s">
        <v>715</v>
      </c>
      <c r="J1885" s="4" t="s">
        <v>715</v>
      </c>
      <c r="K1885" s="5">
        <v>6115597</v>
      </c>
      <c r="L1885" s="5">
        <v>294716</v>
      </c>
      <c r="M1885" s="5">
        <v>19</v>
      </c>
      <c r="N1885" s="5">
        <v>5</v>
      </c>
      <c r="O1885" s="5">
        <v>22.9</v>
      </c>
      <c r="P1885" s="5"/>
    </row>
    <row r="1886" spans="1:16" x14ac:dyDescent="0.25">
      <c r="A1886" s="4" t="s">
        <v>21</v>
      </c>
      <c r="B1886" s="4" t="s">
        <v>271</v>
      </c>
      <c r="C1886" s="5">
        <v>36506</v>
      </c>
      <c r="D1886" s="4" t="s">
        <v>37</v>
      </c>
      <c r="E1886" s="4" t="s">
        <v>73</v>
      </c>
      <c r="F1886" s="4" t="s">
        <v>73</v>
      </c>
      <c r="G1886" s="4" t="s">
        <v>26</v>
      </c>
      <c r="H1886" s="4" t="s">
        <v>27</v>
      </c>
      <c r="I1886" s="4" t="s">
        <v>715</v>
      </c>
      <c r="J1886" s="4" t="s">
        <v>715</v>
      </c>
      <c r="K1886" s="5">
        <v>6153354</v>
      </c>
      <c r="L1886" s="5">
        <v>319039</v>
      </c>
      <c r="M1886" s="5">
        <v>19</v>
      </c>
      <c r="N1886" s="5">
        <v>1</v>
      </c>
      <c r="O1886" s="5">
        <v>5.36</v>
      </c>
      <c r="P1886" s="5"/>
    </row>
    <row r="1887" spans="1:16" x14ac:dyDescent="0.25">
      <c r="A1887" s="4" t="s">
        <v>13</v>
      </c>
      <c r="B1887" s="4" t="s">
        <v>271</v>
      </c>
      <c r="C1887" s="5">
        <v>36530</v>
      </c>
      <c r="D1887" s="4" t="s">
        <v>33</v>
      </c>
      <c r="E1887" s="4" t="s">
        <v>137</v>
      </c>
      <c r="F1887" s="4" t="s">
        <v>146</v>
      </c>
      <c r="G1887" s="4" t="s">
        <v>26</v>
      </c>
      <c r="H1887" s="4" t="s">
        <v>27</v>
      </c>
      <c r="I1887" s="4" t="s">
        <v>715</v>
      </c>
      <c r="J1887" s="4" t="s">
        <v>715</v>
      </c>
      <c r="K1887" s="5">
        <v>6045000</v>
      </c>
      <c r="L1887" s="5">
        <v>274004</v>
      </c>
      <c r="M1887" s="5">
        <v>19</v>
      </c>
      <c r="N1887" s="5">
        <v>3</v>
      </c>
      <c r="O1887" s="5">
        <v>24.02</v>
      </c>
      <c r="P1887" s="5"/>
    </row>
    <row r="1888" spans="1:16" x14ac:dyDescent="0.25">
      <c r="A1888" s="4" t="s">
        <v>21</v>
      </c>
      <c r="B1888" s="4" t="s">
        <v>271</v>
      </c>
      <c r="C1888" s="5">
        <v>36543</v>
      </c>
      <c r="D1888" s="4" t="s">
        <v>33</v>
      </c>
      <c r="E1888" s="4" t="s">
        <v>34</v>
      </c>
      <c r="F1888" s="4" t="s">
        <v>34</v>
      </c>
      <c r="G1888" s="4" t="s">
        <v>26</v>
      </c>
      <c r="H1888" s="4" t="s">
        <v>27</v>
      </c>
      <c r="I1888" s="4" t="s">
        <v>715</v>
      </c>
      <c r="J1888" s="4" t="s">
        <v>638</v>
      </c>
      <c r="K1888" s="5">
        <v>6126670</v>
      </c>
      <c r="L1888" s="5">
        <v>299329</v>
      </c>
      <c r="M1888" s="5">
        <v>19</v>
      </c>
      <c r="N1888" s="5">
        <v>1</v>
      </c>
      <c r="O1888" s="5">
        <v>3.2</v>
      </c>
      <c r="P1888" s="5"/>
    </row>
    <row r="1889" spans="1:16" x14ac:dyDescent="0.25">
      <c r="A1889" s="4" t="s">
        <v>21</v>
      </c>
      <c r="B1889" s="4" t="s">
        <v>271</v>
      </c>
      <c r="C1889" s="5">
        <v>36545</v>
      </c>
      <c r="D1889" s="4" t="s">
        <v>37</v>
      </c>
      <c r="E1889" s="4" t="s">
        <v>73</v>
      </c>
      <c r="F1889" s="4" t="s">
        <v>73</v>
      </c>
      <c r="G1889" s="4" t="s">
        <v>26</v>
      </c>
      <c r="H1889" s="4" t="s">
        <v>27</v>
      </c>
      <c r="I1889" s="4" t="s">
        <v>715</v>
      </c>
      <c r="J1889" s="4" t="s">
        <v>715</v>
      </c>
      <c r="K1889" s="5">
        <v>6153242</v>
      </c>
      <c r="L1889" s="5">
        <v>319253</v>
      </c>
      <c r="M1889" s="5">
        <v>19</v>
      </c>
      <c r="N1889" s="5">
        <v>1</v>
      </c>
      <c r="O1889" s="5">
        <v>4</v>
      </c>
      <c r="P1889" s="5"/>
    </row>
    <row r="1890" spans="1:16" x14ac:dyDescent="0.25">
      <c r="A1890" s="4" t="s">
        <v>21</v>
      </c>
      <c r="B1890" s="4" t="s">
        <v>271</v>
      </c>
      <c r="C1890" s="5">
        <v>36561</v>
      </c>
      <c r="D1890" s="4" t="s">
        <v>37</v>
      </c>
      <c r="E1890" s="4" t="s">
        <v>73</v>
      </c>
      <c r="F1890" s="4" t="s">
        <v>73</v>
      </c>
      <c r="G1890" s="4" t="s">
        <v>26</v>
      </c>
      <c r="H1890" s="4" t="s">
        <v>27</v>
      </c>
      <c r="I1890" s="4" t="s">
        <v>715</v>
      </c>
      <c r="J1890" s="4" t="s">
        <v>715</v>
      </c>
      <c r="K1890" s="5">
        <v>6153297</v>
      </c>
      <c r="L1890" s="5">
        <v>319169</v>
      </c>
      <c r="M1890" s="5">
        <v>19</v>
      </c>
      <c r="N1890" s="5">
        <v>1</v>
      </c>
      <c r="O1890" s="5">
        <v>2</v>
      </c>
      <c r="P1890" s="5"/>
    </row>
    <row r="1891" spans="1:16" x14ac:dyDescent="0.25">
      <c r="A1891" s="4" t="s">
        <v>21</v>
      </c>
      <c r="B1891" s="4" t="s">
        <v>271</v>
      </c>
      <c r="C1891" s="5">
        <v>36562</v>
      </c>
      <c r="D1891" s="4" t="s">
        <v>37</v>
      </c>
      <c r="E1891" s="4" t="s">
        <v>73</v>
      </c>
      <c r="F1891" s="4" t="s">
        <v>73</v>
      </c>
      <c r="G1891" s="4" t="s">
        <v>26</v>
      </c>
      <c r="H1891" s="4" t="s">
        <v>27</v>
      </c>
      <c r="I1891" s="4" t="s">
        <v>715</v>
      </c>
      <c r="J1891" s="4" t="s">
        <v>715</v>
      </c>
      <c r="K1891" s="5">
        <v>6129978</v>
      </c>
      <c r="L1891" s="5">
        <v>319059</v>
      </c>
      <c r="M1891" s="5">
        <v>19</v>
      </c>
      <c r="N1891" s="5">
        <v>1</v>
      </c>
      <c r="O1891" s="5">
        <v>5</v>
      </c>
      <c r="P1891" s="5"/>
    </row>
    <row r="1892" spans="1:16" x14ac:dyDescent="0.25">
      <c r="A1892" s="4" t="s">
        <v>21</v>
      </c>
      <c r="B1892" s="4" t="s">
        <v>271</v>
      </c>
      <c r="C1892" s="5">
        <v>36670</v>
      </c>
      <c r="D1892" s="4" t="s">
        <v>15</v>
      </c>
      <c r="E1892" s="4" t="s">
        <v>277</v>
      </c>
      <c r="F1892" s="4" t="s">
        <v>277</v>
      </c>
      <c r="G1892" s="4" t="s">
        <v>26</v>
      </c>
      <c r="H1892" s="4" t="s">
        <v>18</v>
      </c>
      <c r="I1892" s="4" t="s">
        <v>715</v>
      </c>
      <c r="J1892" s="4" t="s">
        <v>715</v>
      </c>
      <c r="K1892" s="5">
        <v>6370939</v>
      </c>
      <c r="L1892" s="5">
        <v>322716</v>
      </c>
      <c r="M1892" s="5">
        <v>19</v>
      </c>
      <c r="N1892" s="5">
        <v>1</v>
      </c>
      <c r="O1892" s="5">
        <v>3.5</v>
      </c>
      <c r="P1892" s="5"/>
    </row>
    <row r="1893" spans="1:16" x14ac:dyDescent="0.25">
      <c r="A1893" s="4" t="s">
        <v>21</v>
      </c>
      <c r="B1893" s="4" t="s">
        <v>271</v>
      </c>
      <c r="C1893" s="5">
        <v>36675</v>
      </c>
      <c r="D1893" s="4" t="s">
        <v>15</v>
      </c>
      <c r="E1893" s="4" t="s">
        <v>466</v>
      </c>
      <c r="F1893" s="4" t="s">
        <v>468</v>
      </c>
      <c r="G1893" s="4" t="s">
        <v>26</v>
      </c>
      <c r="H1893" s="4" t="s">
        <v>18</v>
      </c>
      <c r="I1893" s="4" t="s">
        <v>715</v>
      </c>
      <c r="J1893" s="4" t="s">
        <v>715</v>
      </c>
      <c r="K1893" s="5">
        <v>6363354</v>
      </c>
      <c r="L1893" s="5">
        <v>343108</v>
      </c>
      <c r="M1893" s="5">
        <v>19</v>
      </c>
      <c r="N1893" s="5">
        <v>1</v>
      </c>
      <c r="O1893" s="5">
        <v>3</v>
      </c>
      <c r="P1893" s="5"/>
    </row>
    <row r="1894" spans="1:16" x14ac:dyDescent="0.25">
      <c r="A1894" s="4" t="s">
        <v>54</v>
      </c>
      <c r="B1894" s="4" t="s">
        <v>271</v>
      </c>
      <c r="C1894" s="5">
        <v>36676</v>
      </c>
      <c r="D1894" s="4" t="s">
        <v>37</v>
      </c>
      <c r="E1894" s="4" t="s">
        <v>349</v>
      </c>
      <c r="F1894" s="4" t="s">
        <v>584</v>
      </c>
      <c r="G1894" s="4" t="s">
        <v>26</v>
      </c>
      <c r="H1894" s="4" t="s">
        <v>641</v>
      </c>
      <c r="I1894" s="4" t="s">
        <v>715</v>
      </c>
      <c r="J1894" s="4" t="s">
        <v>715</v>
      </c>
      <c r="K1894" s="5">
        <v>6158208</v>
      </c>
      <c r="L1894" s="5">
        <v>277919</v>
      </c>
      <c r="M1894" s="5">
        <v>19</v>
      </c>
      <c r="N1894" s="5">
        <v>1</v>
      </c>
      <c r="O1894" s="5">
        <v>0.7</v>
      </c>
      <c r="P1894" s="5"/>
    </row>
    <row r="1895" spans="1:16" x14ac:dyDescent="0.25">
      <c r="A1895" s="4" t="s">
        <v>54</v>
      </c>
      <c r="B1895" s="4" t="s">
        <v>271</v>
      </c>
      <c r="C1895" s="5">
        <v>36698</v>
      </c>
      <c r="D1895" s="4" t="s">
        <v>37</v>
      </c>
      <c r="E1895" s="4" t="s">
        <v>462</v>
      </c>
      <c r="F1895" s="4" t="s">
        <v>585</v>
      </c>
      <c r="G1895" s="4" t="s">
        <v>26</v>
      </c>
      <c r="H1895" s="4" t="s">
        <v>641</v>
      </c>
      <c r="I1895" s="4" t="s">
        <v>715</v>
      </c>
      <c r="J1895" s="4" t="s">
        <v>715</v>
      </c>
      <c r="K1895" s="5">
        <v>6186889</v>
      </c>
      <c r="L1895" s="5">
        <v>277563</v>
      </c>
      <c r="M1895" s="5">
        <v>19</v>
      </c>
      <c r="N1895" s="5">
        <v>1</v>
      </c>
      <c r="O1895" s="5">
        <v>1.1000000000000001</v>
      </c>
      <c r="P1895" s="5"/>
    </row>
    <row r="1896" spans="1:16" x14ac:dyDescent="0.25">
      <c r="A1896" s="4" t="s">
        <v>13</v>
      </c>
      <c r="B1896" s="4" t="s">
        <v>271</v>
      </c>
      <c r="C1896" s="5">
        <v>36719</v>
      </c>
      <c r="D1896" s="4" t="s">
        <v>33</v>
      </c>
      <c r="E1896" s="4" t="s">
        <v>118</v>
      </c>
      <c r="F1896" s="4" t="s">
        <v>586</v>
      </c>
      <c r="G1896" s="4" t="s">
        <v>26</v>
      </c>
      <c r="H1896" s="4" t="s">
        <v>27</v>
      </c>
      <c r="I1896" s="4" t="s">
        <v>715</v>
      </c>
      <c r="J1896" s="4" t="s">
        <v>715</v>
      </c>
      <c r="K1896" s="5">
        <v>6031561</v>
      </c>
      <c r="L1896" s="5">
        <v>274275</v>
      </c>
      <c r="M1896" s="5">
        <v>19</v>
      </c>
      <c r="N1896" s="5">
        <v>2</v>
      </c>
      <c r="O1896" s="5">
        <v>15.8</v>
      </c>
      <c r="P1896" s="5"/>
    </row>
    <row r="1897" spans="1:16" x14ac:dyDescent="0.25">
      <c r="A1897" s="4" t="s">
        <v>13</v>
      </c>
      <c r="B1897" s="4" t="s">
        <v>271</v>
      </c>
      <c r="C1897" s="5">
        <v>36720</v>
      </c>
      <c r="D1897" s="4" t="s">
        <v>33</v>
      </c>
      <c r="E1897" s="4" t="s">
        <v>118</v>
      </c>
      <c r="F1897" s="4" t="s">
        <v>118</v>
      </c>
      <c r="G1897" s="4" t="s">
        <v>26</v>
      </c>
      <c r="H1897" s="4" t="s">
        <v>27</v>
      </c>
      <c r="I1897" s="4" t="s">
        <v>638</v>
      </c>
      <c r="J1897" s="4" t="s">
        <v>638</v>
      </c>
      <c r="K1897" s="5">
        <v>6029366</v>
      </c>
      <c r="L1897" s="5">
        <v>277636</v>
      </c>
      <c r="M1897" s="5">
        <v>19</v>
      </c>
      <c r="N1897" s="5">
        <v>2</v>
      </c>
      <c r="O1897" s="5">
        <v>9.5299999999999994</v>
      </c>
      <c r="P1897" s="5"/>
    </row>
    <row r="1898" spans="1:16" x14ac:dyDescent="0.25">
      <c r="A1898" s="4" t="s">
        <v>54</v>
      </c>
      <c r="B1898" s="4" t="s">
        <v>271</v>
      </c>
      <c r="C1898" s="5">
        <v>36797</v>
      </c>
      <c r="D1898" s="4" t="s">
        <v>474</v>
      </c>
      <c r="E1898" s="4" t="s">
        <v>475</v>
      </c>
      <c r="F1898" s="4" t="s">
        <v>476</v>
      </c>
      <c r="G1898" s="4" t="s">
        <v>26</v>
      </c>
      <c r="H1898" s="4" t="s">
        <v>641</v>
      </c>
      <c r="I1898" s="4" t="s">
        <v>715</v>
      </c>
      <c r="J1898" s="4" t="s">
        <v>715</v>
      </c>
      <c r="K1898" s="5">
        <v>7953722</v>
      </c>
      <c r="L1898" s="5">
        <v>371209</v>
      </c>
      <c r="M1898" s="5">
        <v>19</v>
      </c>
      <c r="N1898" s="5">
        <v>1</v>
      </c>
      <c r="O1898" s="5">
        <v>0.47</v>
      </c>
      <c r="P1898" s="5"/>
    </row>
    <row r="1899" spans="1:16" x14ac:dyDescent="0.25">
      <c r="A1899" s="4" t="s">
        <v>54</v>
      </c>
      <c r="B1899" s="4" t="s">
        <v>271</v>
      </c>
      <c r="C1899" s="5">
        <v>36799</v>
      </c>
      <c r="D1899" s="4" t="s">
        <v>474</v>
      </c>
      <c r="E1899" s="4" t="s">
        <v>475</v>
      </c>
      <c r="F1899" s="4" t="s">
        <v>476</v>
      </c>
      <c r="G1899" s="4" t="s">
        <v>26</v>
      </c>
      <c r="H1899" s="4" t="s">
        <v>641</v>
      </c>
      <c r="I1899" s="4" t="s">
        <v>715</v>
      </c>
      <c r="J1899" s="4" t="s">
        <v>715</v>
      </c>
      <c r="K1899" s="5">
        <v>7953812</v>
      </c>
      <c r="L1899" s="5">
        <v>370948</v>
      </c>
      <c r="M1899" s="5">
        <v>19</v>
      </c>
      <c r="N1899" s="5">
        <v>1</v>
      </c>
      <c r="O1899" s="5">
        <v>0.47</v>
      </c>
      <c r="P1899" s="5"/>
    </row>
    <row r="1900" spans="1:16" x14ac:dyDescent="0.25">
      <c r="A1900" s="4" t="s">
        <v>13</v>
      </c>
      <c r="B1900" s="4" t="s">
        <v>271</v>
      </c>
      <c r="C1900" s="5">
        <v>36822</v>
      </c>
      <c r="D1900" s="4" t="s">
        <v>33</v>
      </c>
      <c r="E1900" s="4" t="s">
        <v>34</v>
      </c>
      <c r="F1900" s="4" t="s">
        <v>34</v>
      </c>
      <c r="G1900" s="4" t="s">
        <v>26</v>
      </c>
      <c r="H1900" s="4" t="s">
        <v>27</v>
      </c>
      <c r="I1900" s="4" t="s">
        <v>715</v>
      </c>
      <c r="J1900" s="4" t="s">
        <v>638</v>
      </c>
      <c r="K1900" s="5">
        <v>6133959</v>
      </c>
      <c r="L1900" s="5">
        <v>297675</v>
      </c>
      <c r="M1900" s="5">
        <v>19</v>
      </c>
      <c r="N1900" s="5">
        <v>2</v>
      </c>
      <c r="O1900" s="5">
        <v>7.7</v>
      </c>
      <c r="P1900" s="5"/>
    </row>
    <row r="1901" spans="1:16" x14ac:dyDescent="0.25">
      <c r="A1901" s="4" t="s">
        <v>21</v>
      </c>
      <c r="B1901" s="4" t="s">
        <v>271</v>
      </c>
      <c r="C1901" s="5">
        <v>36827</v>
      </c>
      <c r="D1901" s="4" t="s">
        <v>37</v>
      </c>
      <c r="E1901" s="4" t="s">
        <v>73</v>
      </c>
      <c r="F1901" s="4" t="s">
        <v>73</v>
      </c>
      <c r="G1901" s="4" t="s">
        <v>26</v>
      </c>
      <c r="H1901" s="4" t="s">
        <v>27</v>
      </c>
      <c r="I1901" s="4" t="s">
        <v>715</v>
      </c>
      <c r="J1901" s="4" t="s">
        <v>715</v>
      </c>
      <c r="K1901" s="5">
        <v>6152953</v>
      </c>
      <c r="L1901" s="5">
        <v>319177</v>
      </c>
      <c r="M1901" s="5">
        <v>19</v>
      </c>
      <c r="N1901" s="5">
        <v>2</v>
      </c>
      <c r="O1901" s="5">
        <v>12</v>
      </c>
      <c r="P1901" s="5"/>
    </row>
    <row r="1902" spans="1:16" x14ac:dyDescent="0.25">
      <c r="A1902" s="4" t="s">
        <v>21</v>
      </c>
      <c r="B1902" s="4" t="s">
        <v>271</v>
      </c>
      <c r="C1902" s="5">
        <v>36887</v>
      </c>
      <c r="D1902" s="4" t="s">
        <v>23</v>
      </c>
      <c r="E1902" s="4" t="s">
        <v>367</v>
      </c>
      <c r="F1902" s="4" t="s">
        <v>367</v>
      </c>
      <c r="G1902" s="4" t="s">
        <v>26</v>
      </c>
      <c r="H1902" s="4" t="s">
        <v>18</v>
      </c>
      <c r="I1902" s="4" t="s">
        <v>715</v>
      </c>
      <c r="J1902" s="4" t="s">
        <v>715</v>
      </c>
      <c r="K1902" s="5">
        <v>6276683</v>
      </c>
      <c r="L1902" s="5">
        <v>332128</v>
      </c>
      <c r="M1902" s="5">
        <v>19</v>
      </c>
      <c r="N1902" s="5">
        <v>1</v>
      </c>
      <c r="O1902" s="5">
        <v>0.7</v>
      </c>
      <c r="P1902" s="5"/>
    </row>
    <row r="1903" spans="1:16" x14ac:dyDescent="0.25">
      <c r="A1903" s="4" t="s">
        <v>54</v>
      </c>
      <c r="B1903" s="4" t="s">
        <v>271</v>
      </c>
      <c r="C1903" s="5">
        <v>37005</v>
      </c>
      <c r="D1903" s="4" t="s">
        <v>37</v>
      </c>
      <c r="E1903" s="4" t="s">
        <v>295</v>
      </c>
      <c r="F1903" s="4" t="s">
        <v>295</v>
      </c>
      <c r="G1903" s="4" t="s">
        <v>26</v>
      </c>
      <c r="H1903" s="4" t="s">
        <v>641</v>
      </c>
      <c r="I1903" s="4" t="s">
        <v>715</v>
      </c>
      <c r="J1903" s="4" t="s">
        <v>715</v>
      </c>
      <c r="K1903" s="5">
        <v>6224860</v>
      </c>
      <c r="L1903" s="5">
        <v>339754</v>
      </c>
      <c r="M1903" s="5">
        <v>19</v>
      </c>
      <c r="N1903" s="5">
        <v>1</v>
      </c>
      <c r="O1903" s="5">
        <v>0.02</v>
      </c>
      <c r="P1903" s="5"/>
    </row>
    <row r="1904" spans="1:16" x14ac:dyDescent="0.25">
      <c r="A1904" s="4" t="s">
        <v>21</v>
      </c>
      <c r="B1904" s="4" t="s">
        <v>271</v>
      </c>
      <c r="C1904" s="5">
        <v>37013</v>
      </c>
      <c r="D1904" s="4" t="s">
        <v>23</v>
      </c>
      <c r="E1904" s="4" t="s">
        <v>28</v>
      </c>
      <c r="F1904" s="4" t="s">
        <v>28</v>
      </c>
      <c r="G1904" s="4" t="s">
        <v>26</v>
      </c>
      <c r="H1904" s="4" t="s">
        <v>27</v>
      </c>
      <c r="I1904" s="4" t="s">
        <v>715</v>
      </c>
      <c r="J1904" s="4" t="s">
        <v>715</v>
      </c>
      <c r="K1904" s="5">
        <v>6264564</v>
      </c>
      <c r="L1904" s="5">
        <v>337388</v>
      </c>
      <c r="M1904" s="5">
        <v>19</v>
      </c>
      <c r="N1904" s="5">
        <v>5</v>
      </c>
      <c r="O1904" s="5">
        <v>31.5</v>
      </c>
      <c r="P1904" s="5"/>
    </row>
    <row r="1905" spans="1:16" x14ac:dyDescent="0.25">
      <c r="A1905" s="4" t="s">
        <v>54</v>
      </c>
      <c r="B1905" s="4" t="s">
        <v>271</v>
      </c>
      <c r="C1905" s="5">
        <v>37018</v>
      </c>
      <c r="D1905" s="4" t="s">
        <v>37</v>
      </c>
      <c r="E1905" s="4" t="s">
        <v>295</v>
      </c>
      <c r="F1905" s="4" t="s">
        <v>295</v>
      </c>
      <c r="G1905" s="4" t="s">
        <v>26</v>
      </c>
      <c r="H1905" s="4" t="s">
        <v>641</v>
      </c>
      <c r="I1905" s="4" t="s">
        <v>715</v>
      </c>
      <c r="J1905" s="4" t="s">
        <v>715</v>
      </c>
      <c r="K1905" s="5">
        <v>6224839</v>
      </c>
      <c r="L1905" s="5">
        <v>339750</v>
      </c>
      <c r="M1905" s="5">
        <v>19</v>
      </c>
      <c r="N1905" s="5">
        <v>1</v>
      </c>
      <c r="O1905" s="5">
        <v>0.12</v>
      </c>
      <c r="P1905" s="5"/>
    </row>
    <row r="1906" spans="1:16" x14ac:dyDescent="0.25">
      <c r="A1906" s="4" t="s">
        <v>21</v>
      </c>
      <c r="B1906" s="4" t="s">
        <v>271</v>
      </c>
      <c r="C1906" s="5">
        <v>37021</v>
      </c>
      <c r="D1906" s="4" t="s">
        <v>23</v>
      </c>
      <c r="E1906" s="4" t="s">
        <v>76</v>
      </c>
      <c r="F1906" s="4" t="s">
        <v>76</v>
      </c>
      <c r="G1906" s="4" t="s">
        <v>26</v>
      </c>
      <c r="H1906" s="4" t="s">
        <v>128</v>
      </c>
      <c r="I1906" s="4" t="s">
        <v>715</v>
      </c>
      <c r="J1906" s="4" t="s">
        <v>638</v>
      </c>
      <c r="K1906" s="5">
        <v>6269140</v>
      </c>
      <c r="L1906" s="5">
        <v>329873</v>
      </c>
      <c r="M1906" s="5">
        <v>19</v>
      </c>
      <c r="N1906" s="5">
        <v>1</v>
      </c>
      <c r="O1906" s="5">
        <v>2.41</v>
      </c>
      <c r="P1906" s="5"/>
    </row>
    <row r="1907" spans="1:16" x14ac:dyDescent="0.25">
      <c r="A1907" s="4" t="s">
        <v>21</v>
      </c>
      <c r="B1907" s="4" t="s">
        <v>271</v>
      </c>
      <c r="C1907" s="5">
        <v>37030</v>
      </c>
      <c r="D1907" s="4" t="s">
        <v>23</v>
      </c>
      <c r="E1907" s="4" t="s">
        <v>76</v>
      </c>
      <c r="F1907" s="4" t="s">
        <v>76</v>
      </c>
      <c r="G1907" s="4" t="s">
        <v>26</v>
      </c>
      <c r="H1907" s="4" t="s">
        <v>18</v>
      </c>
      <c r="I1907" s="4" t="s">
        <v>715</v>
      </c>
      <c r="J1907" s="4" t="s">
        <v>715</v>
      </c>
      <c r="K1907" s="5">
        <v>6269140</v>
      </c>
      <c r="L1907" s="5">
        <v>329873</v>
      </c>
      <c r="M1907" s="5">
        <v>19</v>
      </c>
      <c r="N1907" s="5">
        <v>1</v>
      </c>
      <c r="O1907" s="5">
        <v>0.81</v>
      </c>
      <c r="P1907" s="5"/>
    </row>
    <row r="1908" spans="1:16" x14ac:dyDescent="0.25">
      <c r="A1908" s="4" t="s">
        <v>54</v>
      </c>
      <c r="B1908" s="4" t="s">
        <v>271</v>
      </c>
      <c r="C1908" s="5">
        <v>37064</v>
      </c>
      <c r="D1908" s="4" t="s">
        <v>37</v>
      </c>
      <c r="E1908" s="4" t="s">
        <v>295</v>
      </c>
      <c r="F1908" s="4" t="s">
        <v>295</v>
      </c>
      <c r="G1908" s="4" t="s">
        <v>26</v>
      </c>
      <c r="H1908" s="4" t="s">
        <v>641</v>
      </c>
      <c r="I1908" s="4" t="s">
        <v>715</v>
      </c>
      <c r="J1908" s="4" t="s">
        <v>715</v>
      </c>
      <c r="K1908" s="5">
        <v>6224883</v>
      </c>
      <c r="L1908" s="5">
        <v>339762</v>
      </c>
      <c r="M1908" s="5">
        <v>19</v>
      </c>
      <c r="N1908" s="5">
        <v>1</v>
      </c>
      <c r="O1908" s="5">
        <v>0.17</v>
      </c>
      <c r="P1908" s="5"/>
    </row>
    <row r="1909" spans="1:16" x14ac:dyDescent="0.25">
      <c r="A1909" s="4" t="s">
        <v>54</v>
      </c>
      <c r="B1909" s="4" t="s">
        <v>271</v>
      </c>
      <c r="C1909" s="5">
        <v>37110</v>
      </c>
      <c r="D1909" s="4" t="s">
        <v>37</v>
      </c>
      <c r="E1909" s="4" t="s">
        <v>295</v>
      </c>
      <c r="F1909" s="4" t="s">
        <v>295</v>
      </c>
      <c r="G1909" s="4" t="s">
        <v>26</v>
      </c>
      <c r="H1909" s="4" t="s">
        <v>641</v>
      </c>
      <c r="I1909" s="4" t="s">
        <v>715</v>
      </c>
      <c r="J1909" s="4" t="s">
        <v>715</v>
      </c>
      <c r="K1909" s="5">
        <v>6224916</v>
      </c>
      <c r="L1909" s="5">
        <v>339151</v>
      </c>
      <c r="M1909" s="5">
        <v>19</v>
      </c>
      <c r="N1909" s="5">
        <v>1</v>
      </c>
      <c r="O1909" s="5">
        <v>0.14000000000000001</v>
      </c>
      <c r="P1909" s="5"/>
    </row>
    <row r="1910" spans="1:16" x14ac:dyDescent="0.25">
      <c r="A1910" s="4" t="s">
        <v>54</v>
      </c>
      <c r="B1910" s="4" t="s">
        <v>271</v>
      </c>
      <c r="C1910" s="5">
        <v>37116</v>
      </c>
      <c r="D1910" s="4" t="s">
        <v>37</v>
      </c>
      <c r="E1910" s="4" t="s">
        <v>295</v>
      </c>
      <c r="F1910" s="4" t="s">
        <v>295</v>
      </c>
      <c r="G1910" s="4" t="s">
        <v>26</v>
      </c>
      <c r="H1910" s="4" t="s">
        <v>641</v>
      </c>
      <c r="I1910" s="4" t="s">
        <v>715</v>
      </c>
      <c r="J1910" s="4" t="s">
        <v>715</v>
      </c>
      <c r="K1910" s="5">
        <v>6224916</v>
      </c>
      <c r="L1910" s="5">
        <v>339151</v>
      </c>
      <c r="M1910" s="5">
        <v>19</v>
      </c>
      <c r="N1910" s="5">
        <v>1</v>
      </c>
      <c r="O1910" s="5">
        <v>0.65</v>
      </c>
      <c r="P1910" s="5"/>
    </row>
    <row r="1911" spans="1:16" x14ac:dyDescent="0.25">
      <c r="A1911" s="4" t="s">
        <v>54</v>
      </c>
      <c r="B1911" s="4" t="s">
        <v>271</v>
      </c>
      <c r="C1911" s="5">
        <v>37134</v>
      </c>
      <c r="D1911" s="4" t="s">
        <v>37</v>
      </c>
      <c r="E1911" s="4" t="s">
        <v>295</v>
      </c>
      <c r="F1911" s="4" t="s">
        <v>295</v>
      </c>
      <c r="G1911" s="4" t="s">
        <v>26</v>
      </c>
      <c r="H1911" s="4" t="s">
        <v>641</v>
      </c>
      <c r="I1911" s="4" t="s">
        <v>715</v>
      </c>
      <c r="J1911" s="4" t="s">
        <v>715</v>
      </c>
      <c r="K1911" s="5">
        <v>6224916</v>
      </c>
      <c r="L1911" s="5">
        <v>339151</v>
      </c>
      <c r="M1911" s="5">
        <v>19</v>
      </c>
      <c r="N1911" s="5">
        <v>1</v>
      </c>
      <c r="O1911" s="5">
        <v>0.05</v>
      </c>
      <c r="P1911" s="5"/>
    </row>
    <row r="1912" spans="1:16" x14ac:dyDescent="0.25">
      <c r="A1912" s="4" t="s">
        <v>54</v>
      </c>
      <c r="B1912" s="4" t="s">
        <v>271</v>
      </c>
      <c r="C1912" s="5">
        <v>37217</v>
      </c>
      <c r="D1912" s="4" t="s">
        <v>37</v>
      </c>
      <c r="E1912" s="4" t="s">
        <v>370</v>
      </c>
      <c r="F1912" s="4" t="s">
        <v>370</v>
      </c>
      <c r="G1912" s="4" t="s">
        <v>26</v>
      </c>
      <c r="H1912" s="4" t="s">
        <v>641</v>
      </c>
      <c r="I1912" s="4" t="s">
        <v>715</v>
      </c>
      <c r="J1912" s="4" t="s">
        <v>715</v>
      </c>
      <c r="K1912" s="5">
        <v>6191848</v>
      </c>
      <c r="L1912" s="5">
        <v>327748</v>
      </c>
      <c r="M1912" s="5">
        <v>19</v>
      </c>
      <c r="N1912" s="5">
        <v>1</v>
      </c>
      <c r="O1912" s="5">
        <v>0.9</v>
      </c>
      <c r="P1912" s="5"/>
    </row>
    <row r="1913" spans="1:16" x14ac:dyDescent="0.25">
      <c r="A1913" s="4" t="s">
        <v>21</v>
      </c>
      <c r="B1913" s="4" t="s">
        <v>271</v>
      </c>
      <c r="C1913" s="5">
        <v>37218</v>
      </c>
      <c r="D1913" s="4" t="s">
        <v>33</v>
      </c>
      <c r="E1913" s="4" t="s">
        <v>43</v>
      </c>
      <c r="F1913" s="4" t="s">
        <v>43</v>
      </c>
      <c r="G1913" s="4" t="s">
        <v>26</v>
      </c>
      <c r="H1913" s="4" t="s">
        <v>27</v>
      </c>
      <c r="I1913" s="4" t="s">
        <v>715</v>
      </c>
      <c r="J1913" s="4" t="s">
        <v>638</v>
      </c>
      <c r="K1913" s="5">
        <v>6057895</v>
      </c>
      <c r="L1913" s="5">
        <v>283559</v>
      </c>
      <c r="M1913" s="5">
        <v>19</v>
      </c>
      <c r="N1913" s="5">
        <v>3</v>
      </c>
      <c r="O1913" s="5">
        <v>10</v>
      </c>
      <c r="P1913" s="5"/>
    </row>
    <row r="1914" spans="1:16" x14ac:dyDescent="0.25">
      <c r="A1914" s="4" t="s">
        <v>21</v>
      </c>
      <c r="B1914" s="4" t="s">
        <v>271</v>
      </c>
      <c r="C1914" s="5">
        <v>37324</v>
      </c>
      <c r="D1914" s="4" t="s">
        <v>37</v>
      </c>
      <c r="E1914" s="4" t="s">
        <v>73</v>
      </c>
      <c r="F1914" s="4" t="s">
        <v>73</v>
      </c>
      <c r="G1914" s="4" t="s">
        <v>26</v>
      </c>
      <c r="H1914" s="4" t="s">
        <v>27</v>
      </c>
      <c r="I1914" s="4" t="s">
        <v>715</v>
      </c>
      <c r="J1914" s="4" t="s">
        <v>715</v>
      </c>
      <c r="K1914" s="5">
        <v>6152894</v>
      </c>
      <c r="L1914" s="5">
        <v>319533</v>
      </c>
      <c r="M1914" s="5">
        <v>19</v>
      </c>
      <c r="N1914" s="5">
        <v>2</v>
      </c>
      <c r="O1914" s="5">
        <v>19.5</v>
      </c>
      <c r="P1914" s="5"/>
    </row>
    <row r="1915" spans="1:16" x14ac:dyDescent="0.25">
      <c r="A1915" s="4" t="s">
        <v>21</v>
      </c>
      <c r="B1915" s="4" t="s">
        <v>271</v>
      </c>
      <c r="C1915" s="5">
        <v>37335</v>
      </c>
      <c r="D1915" s="4" t="s">
        <v>23</v>
      </c>
      <c r="E1915" s="4" t="s">
        <v>367</v>
      </c>
      <c r="F1915" s="4" t="s">
        <v>367</v>
      </c>
      <c r="G1915" s="4" t="s">
        <v>26</v>
      </c>
      <c r="H1915" s="4" t="s">
        <v>27</v>
      </c>
      <c r="I1915" s="4" t="s">
        <v>715</v>
      </c>
      <c r="J1915" s="4" t="s">
        <v>715</v>
      </c>
      <c r="K1915" s="5">
        <v>6276436</v>
      </c>
      <c r="L1915" s="5">
        <v>337490</v>
      </c>
      <c r="M1915" s="5">
        <v>19</v>
      </c>
      <c r="N1915" s="5">
        <v>2</v>
      </c>
      <c r="O1915" s="5">
        <v>8.6</v>
      </c>
      <c r="P1915" s="5"/>
    </row>
    <row r="1916" spans="1:16" x14ac:dyDescent="0.25">
      <c r="A1916" s="4" t="s">
        <v>13</v>
      </c>
      <c r="B1916" s="4" t="s">
        <v>271</v>
      </c>
      <c r="C1916" s="5">
        <v>37346</v>
      </c>
      <c r="D1916" s="4" t="s">
        <v>33</v>
      </c>
      <c r="E1916" s="4" t="s">
        <v>66</v>
      </c>
      <c r="F1916" s="4" t="s">
        <v>66</v>
      </c>
      <c r="G1916" s="4" t="s">
        <v>26</v>
      </c>
      <c r="H1916" s="4" t="s">
        <v>27</v>
      </c>
      <c r="I1916" s="4" t="s">
        <v>715</v>
      </c>
      <c r="J1916" s="4" t="s">
        <v>715</v>
      </c>
      <c r="K1916" s="5">
        <v>6078725</v>
      </c>
      <c r="L1916" s="5">
        <v>305631</v>
      </c>
      <c r="M1916" s="5">
        <v>19</v>
      </c>
      <c r="N1916" s="5">
        <v>2</v>
      </c>
      <c r="O1916" s="5">
        <v>9.6</v>
      </c>
      <c r="P1916" s="5"/>
    </row>
    <row r="1917" spans="1:16" x14ac:dyDescent="0.25">
      <c r="A1917" s="4" t="s">
        <v>54</v>
      </c>
      <c r="B1917" s="4" t="s">
        <v>271</v>
      </c>
      <c r="C1917" s="5">
        <v>37357</v>
      </c>
      <c r="D1917" s="4" t="s">
        <v>37</v>
      </c>
      <c r="E1917" s="4" t="s">
        <v>295</v>
      </c>
      <c r="F1917" s="4" t="s">
        <v>295</v>
      </c>
      <c r="G1917" s="4" t="s">
        <v>26</v>
      </c>
      <c r="H1917" s="4" t="s">
        <v>641</v>
      </c>
      <c r="I1917" s="4" t="s">
        <v>715</v>
      </c>
      <c r="J1917" s="4" t="s">
        <v>715</v>
      </c>
      <c r="K1917" s="5">
        <v>6224916</v>
      </c>
      <c r="L1917" s="5">
        <v>339151</v>
      </c>
      <c r="M1917" s="5">
        <v>19</v>
      </c>
      <c r="N1917" s="5">
        <v>1</v>
      </c>
      <c r="O1917" s="5">
        <v>0.71</v>
      </c>
      <c r="P1917" s="5"/>
    </row>
    <row r="1918" spans="1:16" x14ac:dyDescent="0.25">
      <c r="A1918" s="4" t="s">
        <v>13</v>
      </c>
      <c r="B1918" s="4" t="s">
        <v>271</v>
      </c>
      <c r="C1918" s="5">
        <v>37376</v>
      </c>
      <c r="D1918" s="4" t="s">
        <v>23</v>
      </c>
      <c r="E1918" s="4" t="s">
        <v>357</v>
      </c>
      <c r="F1918" s="4" t="s">
        <v>259</v>
      </c>
      <c r="G1918" s="4" t="s">
        <v>26</v>
      </c>
      <c r="H1918" s="4" t="s">
        <v>27</v>
      </c>
      <c r="I1918" s="4" t="s">
        <v>715</v>
      </c>
      <c r="J1918" s="4" t="s">
        <v>638</v>
      </c>
      <c r="K1918" s="5">
        <v>6274345</v>
      </c>
      <c r="L1918" s="5">
        <v>341573</v>
      </c>
      <c r="M1918" s="5">
        <v>19</v>
      </c>
      <c r="N1918" s="5">
        <v>3</v>
      </c>
      <c r="O1918" s="5">
        <v>19.100000000000001</v>
      </c>
      <c r="P1918" s="5"/>
    </row>
    <row r="1919" spans="1:16" x14ac:dyDescent="0.25">
      <c r="A1919" s="4" t="s">
        <v>21</v>
      </c>
      <c r="B1919" s="4" t="s">
        <v>271</v>
      </c>
      <c r="C1919" s="5">
        <v>37391</v>
      </c>
      <c r="D1919" s="4" t="s">
        <v>33</v>
      </c>
      <c r="E1919" s="4" t="s">
        <v>66</v>
      </c>
      <c r="F1919" s="4" t="s">
        <v>155</v>
      </c>
      <c r="G1919" s="4" t="s">
        <v>26</v>
      </c>
      <c r="H1919" s="4" t="s">
        <v>27</v>
      </c>
      <c r="I1919" s="4" t="s">
        <v>715</v>
      </c>
      <c r="J1919" s="4" t="s">
        <v>715</v>
      </c>
      <c r="K1919" s="5">
        <v>6072195</v>
      </c>
      <c r="L1919" s="5">
        <v>269738</v>
      </c>
      <c r="M1919" s="5">
        <v>19</v>
      </c>
      <c r="N1919" s="5">
        <v>3</v>
      </c>
      <c r="O1919" s="5">
        <v>14.5</v>
      </c>
      <c r="P1919" s="5"/>
    </row>
    <row r="1920" spans="1:16" x14ac:dyDescent="0.25">
      <c r="A1920" s="4" t="s">
        <v>21</v>
      </c>
      <c r="B1920" s="4" t="s">
        <v>271</v>
      </c>
      <c r="C1920" s="5">
        <v>37399</v>
      </c>
      <c r="D1920" s="4" t="s">
        <v>33</v>
      </c>
      <c r="E1920" s="4" t="s">
        <v>34</v>
      </c>
      <c r="F1920" s="4" t="s">
        <v>247</v>
      </c>
      <c r="G1920" s="4" t="s">
        <v>26</v>
      </c>
      <c r="H1920" s="4" t="s">
        <v>27</v>
      </c>
      <c r="I1920" s="4" t="s">
        <v>715</v>
      </c>
      <c r="J1920" s="4" t="s">
        <v>638</v>
      </c>
      <c r="K1920" s="5">
        <v>6119210</v>
      </c>
      <c r="L1920" s="5">
        <v>277977</v>
      </c>
      <c r="M1920" s="5">
        <v>19</v>
      </c>
      <c r="N1920" s="5">
        <v>1</v>
      </c>
      <c r="O1920" s="5">
        <v>10</v>
      </c>
      <c r="P1920" s="5"/>
    </row>
    <row r="1921" spans="1:16" x14ac:dyDescent="0.25">
      <c r="A1921" s="4" t="s">
        <v>21</v>
      </c>
      <c r="B1921" s="4" t="s">
        <v>271</v>
      </c>
      <c r="C1921" s="5">
        <v>37456</v>
      </c>
      <c r="D1921" s="4" t="s">
        <v>33</v>
      </c>
      <c r="E1921" s="4" t="s">
        <v>43</v>
      </c>
      <c r="F1921" s="4" t="s">
        <v>43</v>
      </c>
      <c r="G1921" s="4" t="s">
        <v>26</v>
      </c>
      <c r="H1921" s="4" t="s">
        <v>27</v>
      </c>
      <c r="I1921" s="4" t="s">
        <v>715</v>
      </c>
      <c r="J1921" s="4" t="s">
        <v>638</v>
      </c>
      <c r="K1921" s="5">
        <v>6065996</v>
      </c>
      <c r="L1921" s="5">
        <v>278739</v>
      </c>
      <c r="M1921" s="5">
        <v>19</v>
      </c>
      <c r="N1921" s="5">
        <v>2</v>
      </c>
      <c r="O1921" s="5">
        <v>11.9</v>
      </c>
      <c r="P1921" s="5"/>
    </row>
    <row r="1922" spans="1:16" x14ac:dyDescent="0.25">
      <c r="A1922" s="4" t="s">
        <v>21</v>
      </c>
      <c r="B1922" s="4" t="s">
        <v>271</v>
      </c>
      <c r="C1922" s="5">
        <v>37469</v>
      </c>
      <c r="D1922" s="4" t="s">
        <v>37</v>
      </c>
      <c r="E1922" s="4" t="s">
        <v>73</v>
      </c>
      <c r="F1922" s="4" t="s">
        <v>587</v>
      </c>
      <c r="G1922" s="4" t="s">
        <v>26</v>
      </c>
      <c r="H1922" s="4" t="s">
        <v>27</v>
      </c>
      <c r="I1922" s="4" t="s">
        <v>715</v>
      </c>
      <c r="J1922" s="4" t="s">
        <v>715</v>
      </c>
      <c r="K1922" s="5">
        <v>6167040</v>
      </c>
      <c r="L1922" s="5">
        <v>318597</v>
      </c>
      <c r="M1922" s="5">
        <v>19</v>
      </c>
      <c r="N1922" s="5">
        <v>1</v>
      </c>
      <c r="O1922" s="5">
        <v>7</v>
      </c>
      <c r="P1922" s="5"/>
    </row>
    <row r="1923" spans="1:16" x14ac:dyDescent="0.25">
      <c r="A1923" s="4" t="s">
        <v>13</v>
      </c>
      <c r="B1923" s="4" t="s">
        <v>271</v>
      </c>
      <c r="C1923" s="5">
        <v>37483</v>
      </c>
      <c r="D1923" s="4" t="s">
        <v>23</v>
      </c>
      <c r="E1923" s="4" t="s">
        <v>357</v>
      </c>
      <c r="F1923" s="4" t="s">
        <v>259</v>
      </c>
      <c r="G1923" s="4" t="s">
        <v>26</v>
      </c>
      <c r="H1923" s="4" t="s">
        <v>27</v>
      </c>
      <c r="I1923" s="4" t="s">
        <v>715</v>
      </c>
      <c r="J1923" s="4" t="s">
        <v>638</v>
      </c>
      <c r="K1923" s="5">
        <v>6274607</v>
      </c>
      <c r="L1923" s="5">
        <v>341850</v>
      </c>
      <c r="M1923" s="5">
        <v>19</v>
      </c>
      <c r="N1923" s="5">
        <v>4</v>
      </c>
      <c r="O1923" s="5">
        <v>4.5</v>
      </c>
      <c r="P1923" s="5"/>
    </row>
    <row r="1924" spans="1:16" x14ac:dyDescent="0.25">
      <c r="A1924" s="4" t="s">
        <v>21</v>
      </c>
      <c r="B1924" s="4" t="s">
        <v>271</v>
      </c>
      <c r="C1924" s="5">
        <v>37523</v>
      </c>
      <c r="D1924" s="4" t="s">
        <v>33</v>
      </c>
      <c r="E1924" s="4" t="s">
        <v>43</v>
      </c>
      <c r="F1924" s="4" t="s">
        <v>43</v>
      </c>
      <c r="G1924" s="4" t="s">
        <v>26</v>
      </c>
      <c r="H1924" s="4" t="s">
        <v>27</v>
      </c>
      <c r="I1924" s="4" t="s">
        <v>715</v>
      </c>
      <c r="J1924" s="4" t="s">
        <v>715</v>
      </c>
      <c r="K1924" s="5">
        <v>6070771</v>
      </c>
      <c r="L1924" s="5">
        <v>289775</v>
      </c>
      <c r="M1924" s="5">
        <v>19</v>
      </c>
      <c r="N1924" s="5">
        <v>2</v>
      </c>
      <c r="O1924" s="5">
        <v>12</v>
      </c>
      <c r="P1924" s="5"/>
    </row>
    <row r="1925" spans="1:16" x14ac:dyDescent="0.25">
      <c r="A1925" s="4" t="s">
        <v>21</v>
      </c>
      <c r="B1925" s="4" t="s">
        <v>271</v>
      </c>
      <c r="C1925" s="5">
        <v>37529</v>
      </c>
      <c r="D1925" s="4" t="s">
        <v>33</v>
      </c>
      <c r="E1925" s="4" t="s">
        <v>50</v>
      </c>
      <c r="F1925" s="4" t="s">
        <v>50</v>
      </c>
      <c r="G1925" s="4" t="s">
        <v>26</v>
      </c>
      <c r="H1925" s="4" t="s">
        <v>18</v>
      </c>
      <c r="I1925" s="4" t="s">
        <v>715</v>
      </c>
      <c r="J1925" s="4" t="s">
        <v>715</v>
      </c>
      <c r="K1925" s="5">
        <v>6123754</v>
      </c>
      <c r="L1925" s="5">
        <v>310801</v>
      </c>
      <c r="M1925" s="5">
        <v>19</v>
      </c>
      <c r="N1925" s="5">
        <v>2</v>
      </c>
      <c r="O1925" s="5">
        <v>2.8</v>
      </c>
      <c r="P1925" s="5"/>
    </row>
    <row r="1926" spans="1:16" x14ac:dyDescent="0.25">
      <c r="A1926" s="4" t="s">
        <v>21</v>
      </c>
      <c r="B1926" s="4" t="s">
        <v>271</v>
      </c>
      <c r="C1926" s="5">
        <v>37530</v>
      </c>
      <c r="D1926" s="4" t="s">
        <v>23</v>
      </c>
      <c r="E1926" s="4" t="s">
        <v>76</v>
      </c>
      <c r="F1926" s="4" t="s">
        <v>588</v>
      </c>
      <c r="G1926" s="4" t="s">
        <v>26</v>
      </c>
      <c r="H1926" s="4" t="s">
        <v>18</v>
      </c>
      <c r="I1926" s="4" t="s">
        <v>715</v>
      </c>
      <c r="J1926" s="4" t="s">
        <v>715</v>
      </c>
      <c r="K1926" s="5">
        <v>6275587</v>
      </c>
      <c r="L1926" s="5">
        <v>323940</v>
      </c>
      <c r="M1926" s="5">
        <v>19</v>
      </c>
      <c r="N1926" s="5">
        <v>1</v>
      </c>
      <c r="O1926" s="5">
        <v>0.6</v>
      </c>
      <c r="P1926" s="5"/>
    </row>
    <row r="1927" spans="1:16" x14ac:dyDescent="0.25">
      <c r="A1927" s="4" t="s">
        <v>21</v>
      </c>
      <c r="B1927" s="4" t="s">
        <v>271</v>
      </c>
      <c r="C1927" s="5">
        <v>37543</v>
      </c>
      <c r="D1927" s="4" t="s">
        <v>37</v>
      </c>
      <c r="E1927" s="4" t="s">
        <v>589</v>
      </c>
      <c r="F1927" s="4" t="s">
        <v>590</v>
      </c>
      <c r="G1927" s="4" t="s">
        <v>26</v>
      </c>
      <c r="H1927" s="4" t="s">
        <v>27</v>
      </c>
      <c r="I1927" s="4" t="s">
        <v>715</v>
      </c>
      <c r="J1927" s="4" t="s">
        <v>715</v>
      </c>
      <c r="K1927" s="5">
        <v>6154269</v>
      </c>
      <c r="L1927" s="5">
        <v>300497</v>
      </c>
      <c r="M1927" s="5">
        <v>19</v>
      </c>
      <c r="N1927" s="5">
        <v>10</v>
      </c>
      <c r="O1927" s="5">
        <v>73.25</v>
      </c>
      <c r="P1927" s="5"/>
    </row>
    <row r="1928" spans="1:16" x14ac:dyDescent="0.25">
      <c r="A1928" s="4" t="s">
        <v>21</v>
      </c>
      <c r="B1928" s="4" t="s">
        <v>271</v>
      </c>
      <c r="C1928" s="5">
        <v>37551</v>
      </c>
      <c r="D1928" s="4" t="s">
        <v>33</v>
      </c>
      <c r="E1928" s="4" t="s">
        <v>34</v>
      </c>
      <c r="F1928" s="4" t="s">
        <v>251</v>
      </c>
      <c r="G1928" s="4" t="s">
        <v>26</v>
      </c>
      <c r="H1928" s="4" t="s">
        <v>18</v>
      </c>
      <c r="I1928" s="4" t="s">
        <v>715</v>
      </c>
      <c r="J1928" s="4" t="s">
        <v>715</v>
      </c>
      <c r="K1928" s="5">
        <v>6103281</v>
      </c>
      <c r="L1928" s="5">
        <v>306421</v>
      </c>
      <c r="M1928" s="5">
        <v>19</v>
      </c>
      <c r="N1928" s="5">
        <v>1</v>
      </c>
      <c r="O1928" s="5">
        <v>0.8</v>
      </c>
      <c r="P1928" s="5"/>
    </row>
    <row r="1929" spans="1:16" x14ac:dyDescent="0.25">
      <c r="A1929" s="4" t="s">
        <v>21</v>
      </c>
      <c r="B1929" s="4" t="s">
        <v>271</v>
      </c>
      <c r="C1929" s="5">
        <v>37556</v>
      </c>
      <c r="D1929" s="4" t="s">
        <v>33</v>
      </c>
      <c r="E1929" s="4" t="s">
        <v>43</v>
      </c>
      <c r="F1929" s="4" t="s">
        <v>135</v>
      </c>
      <c r="G1929" s="4" t="s">
        <v>26</v>
      </c>
      <c r="H1929" s="4" t="s">
        <v>27</v>
      </c>
      <c r="I1929" s="4" t="s">
        <v>715</v>
      </c>
      <c r="J1929" s="4" t="s">
        <v>638</v>
      </c>
      <c r="K1929" s="5">
        <v>6078037</v>
      </c>
      <c r="L1929" s="5">
        <v>261076</v>
      </c>
      <c r="M1929" s="5">
        <v>19</v>
      </c>
      <c r="N1929" s="5">
        <v>3</v>
      </c>
      <c r="O1929" s="5">
        <v>10.1</v>
      </c>
      <c r="P1929" s="5"/>
    </row>
    <row r="1930" spans="1:16" x14ac:dyDescent="0.25">
      <c r="A1930" s="4" t="s">
        <v>13</v>
      </c>
      <c r="B1930" s="4" t="s">
        <v>271</v>
      </c>
      <c r="C1930" s="5">
        <v>37557</v>
      </c>
      <c r="D1930" s="4" t="s">
        <v>33</v>
      </c>
      <c r="E1930" s="4" t="s">
        <v>34</v>
      </c>
      <c r="F1930" s="4" t="s">
        <v>34</v>
      </c>
      <c r="G1930" s="4" t="s">
        <v>26</v>
      </c>
      <c r="H1930" s="4" t="s">
        <v>27</v>
      </c>
      <c r="I1930" s="4" t="s">
        <v>715</v>
      </c>
      <c r="J1930" s="4" t="s">
        <v>715</v>
      </c>
      <c r="K1930" s="5">
        <v>6110322</v>
      </c>
      <c r="L1930" s="5">
        <v>292340</v>
      </c>
      <c r="M1930" s="5">
        <v>19</v>
      </c>
      <c r="N1930" s="5">
        <v>2</v>
      </c>
      <c r="O1930" s="5">
        <v>10.3</v>
      </c>
      <c r="P1930" s="5"/>
    </row>
    <row r="1931" spans="1:16" x14ac:dyDescent="0.25">
      <c r="A1931" s="4" t="s">
        <v>21</v>
      </c>
      <c r="B1931" s="4" t="s">
        <v>271</v>
      </c>
      <c r="C1931" s="5">
        <v>37560</v>
      </c>
      <c r="D1931" s="4" t="s">
        <v>33</v>
      </c>
      <c r="E1931" s="4" t="s">
        <v>43</v>
      </c>
      <c r="F1931" s="4" t="s">
        <v>67</v>
      </c>
      <c r="G1931" s="4" t="s">
        <v>26</v>
      </c>
      <c r="H1931" s="4" t="s">
        <v>27</v>
      </c>
      <c r="I1931" s="4" t="s">
        <v>715</v>
      </c>
      <c r="J1931" s="4" t="s">
        <v>638</v>
      </c>
      <c r="K1931" s="5">
        <v>6076179</v>
      </c>
      <c r="L1931" s="5">
        <v>262896</v>
      </c>
      <c r="M1931" s="5">
        <v>19</v>
      </c>
      <c r="N1931" s="5">
        <v>2</v>
      </c>
      <c r="O1931" s="5">
        <v>10</v>
      </c>
      <c r="P1931" s="5"/>
    </row>
    <row r="1932" spans="1:16" x14ac:dyDescent="0.25">
      <c r="A1932" s="4" t="s">
        <v>21</v>
      </c>
      <c r="B1932" s="4" t="s">
        <v>271</v>
      </c>
      <c r="C1932" s="5">
        <v>37562</v>
      </c>
      <c r="D1932" s="4" t="s">
        <v>33</v>
      </c>
      <c r="E1932" s="4" t="s">
        <v>43</v>
      </c>
      <c r="F1932" s="4" t="s">
        <v>66</v>
      </c>
      <c r="G1932" s="4" t="s">
        <v>26</v>
      </c>
      <c r="H1932" s="4" t="s">
        <v>27</v>
      </c>
      <c r="I1932" s="4" t="s">
        <v>715</v>
      </c>
      <c r="J1932" s="4" t="s">
        <v>715</v>
      </c>
      <c r="K1932" s="5">
        <v>6073110</v>
      </c>
      <c r="L1932" s="5">
        <v>288767</v>
      </c>
      <c r="M1932" s="5">
        <v>19</v>
      </c>
      <c r="N1932" s="5">
        <v>4</v>
      </c>
      <c r="O1932" s="5">
        <v>35.200000000000003</v>
      </c>
      <c r="P1932" s="5"/>
    </row>
    <row r="1933" spans="1:16" x14ac:dyDescent="0.25">
      <c r="A1933" s="4" t="s">
        <v>21</v>
      </c>
      <c r="B1933" s="4" t="s">
        <v>271</v>
      </c>
      <c r="C1933" s="5">
        <v>37568</v>
      </c>
      <c r="D1933" s="4" t="s">
        <v>33</v>
      </c>
      <c r="E1933" s="4" t="s">
        <v>66</v>
      </c>
      <c r="F1933" s="4" t="s">
        <v>47</v>
      </c>
      <c r="G1933" s="4" t="s">
        <v>26</v>
      </c>
      <c r="H1933" s="4" t="s">
        <v>27</v>
      </c>
      <c r="I1933" s="4" t="s">
        <v>715</v>
      </c>
      <c r="J1933" s="4" t="s">
        <v>638</v>
      </c>
      <c r="K1933" s="5">
        <v>6077408</v>
      </c>
      <c r="L1933" s="5">
        <v>276033</v>
      </c>
      <c r="M1933" s="5">
        <v>19</v>
      </c>
      <c r="N1933" s="5">
        <v>9</v>
      </c>
      <c r="O1933" s="5">
        <v>41</v>
      </c>
      <c r="P1933" s="5"/>
    </row>
    <row r="1934" spans="1:16" x14ac:dyDescent="0.25">
      <c r="A1934" s="4" t="s">
        <v>13</v>
      </c>
      <c r="B1934" s="4" t="s">
        <v>271</v>
      </c>
      <c r="C1934" s="5">
        <v>37569</v>
      </c>
      <c r="D1934" s="4" t="s">
        <v>33</v>
      </c>
      <c r="E1934" s="4" t="s">
        <v>43</v>
      </c>
      <c r="F1934" s="4" t="s">
        <v>43</v>
      </c>
      <c r="G1934" s="4" t="s">
        <v>26</v>
      </c>
      <c r="H1934" s="4" t="s">
        <v>27</v>
      </c>
      <c r="I1934" s="4" t="s">
        <v>715</v>
      </c>
      <c r="J1934" s="4" t="s">
        <v>715</v>
      </c>
      <c r="K1934" s="5">
        <v>6070139</v>
      </c>
      <c r="L1934" s="5">
        <v>287220</v>
      </c>
      <c r="M1934" s="5">
        <v>19</v>
      </c>
      <c r="N1934" s="5">
        <v>3</v>
      </c>
      <c r="O1934" s="5">
        <v>10</v>
      </c>
      <c r="P1934" s="5"/>
    </row>
    <row r="1935" spans="1:16" x14ac:dyDescent="0.25">
      <c r="A1935" s="4" t="s">
        <v>13</v>
      </c>
      <c r="B1935" s="4" t="s">
        <v>271</v>
      </c>
      <c r="C1935" s="5">
        <v>37570</v>
      </c>
      <c r="D1935" s="4" t="s">
        <v>33</v>
      </c>
      <c r="E1935" s="4" t="s">
        <v>43</v>
      </c>
      <c r="F1935" s="4" t="s">
        <v>43</v>
      </c>
      <c r="G1935" s="4" t="s">
        <v>26</v>
      </c>
      <c r="H1935" s="4" t="s">
        <v>27</v>
      </c>
      <c r="I1935" s="4" t="s">
        <v>715</v>
      </c>
      <c r="J1935" s="4" t="s">
        <v>715</v>
      </c>
      <c r="K1935" s="5">
        <v>6070790</v>
      </c>
      <c r="L1935" s="5">
        <v>287063</v>
      </c>
      <c r="M1935" s="5">
        <v>19</v>
      </c>
      <c r="N1935" s="5">
        <v>3</v>
      </c>
      <c r="O1935" s="5">
        <v>6</v>
      </c>
      <c r="P1935" s="5"/>
    </row>
    <row r="1936" spans="1:16" x14ac:dyDescent="0.25">
      <c r="A1936" s="4" t="s">
        <v>21</v>
      </c>
      <c r="B1936" s="4" t="s">
        <v>271</v>
      </c>
      <c r="C1936" s="5">
        <v>37573</v>
      </c>
      <c r="D1936" s="4" t="s">
        <v>33</v>
      </c>
      <c r="E1936" s="4" t="s">
        <v>118</v>
      </c>
      <c r="F1936" s="4" t="s">
        <v>591</v>
      </c>
      <c r="G1936" s="4" t="s">
        <v>26</v>
      </c>
      <c r="H1936" s="4" t="s">
        <v>27</v>
      </c>
      <c r="I1936" s="4" t="s">
        <v>715</v>
      </c>
      <c r="J1936" s="4" t="s">
        <v>638</v>
      </c>
      <c r="K1936" s="5">
        <v>6025236</v>
      </c>
      <c r="L1936" s="5">
        <v>272388</v>
      </c>
      <c r="M1936" s="5">
        <v>19</v>
      </c>
      <c r="N1936" s="5">
        <v>6</v>
      </c>
      <c r="O1936" s="5">
        <v>11.7</v>
      </c>
      <c r="P1936" s="5"/>
    </row>
    <row r="1937" spans="1:16" x14ac:dyDescent="0.25">
      <c r="A1937" s="4" t="s">
        <v>21</v>
      </c>
      <c r="B1937" s="4" t="s">
        <v>271</v>
      </c>
      <c r="C1937" s="5">
        <v>37579</v>
      </c>
      <c r="D1937" s="4" t="s">
        <v>15</v>
      </c>
      <c r="E1937" s="4" t="s">
        <v>252</v>
      </c>
      <c r="F1937" s="4" t="s">
        <v>592</v>
      </c>
      <c r="G1937" s="4" t="s">
        <v>26</v>
      </c>
      <c r="H1937" s="4" t="s">
        <v>18</v>
      </c>
      <c r="I1937" s="4" t="s">
        <v>715</v>
      </c>
      <c r="J1937" s="4" t="s">
        <v>715</v>
      </c>
      <c r="K1937" s="5">
        <v>6366764</v>
      </c>
      <c r="L1937" s="5">
        <v>310386</v>
      </c>
      <c r="M1937" s="5">
        <v>19</v>
      </c>
      <c r="N1937" s="5">
        <v>1</v>
      </c>
      <c r="O1937" s="5">
        <v>0.5</v>
      </c>
      <c r="P1937" s="5"/>
    </row>
    <row r="1938" spans="1:16" x14ac:dyDescent="0.25">
      <c r="A1938" s="4" t="s">
        <v>21</v>
      </c>
      <c r="B1938" s="4" t="s">
        <v>271</v>
      </c>
      <c r="C1938" s="5">
        <v>37580</v>
      </c>
      <c r="D1938" s="4" t="s">
        <v>15</v>
      </c>
      <c r="E1938" s="4" t="s">
        <v>277</v>
      </c>
      <c r="F1938" s="4" t="s">
        <v>593</v>
      </c>
      <c r="G1938" s="4" t="s">
        <v>26</v>
      </c>
      <c r="H1938" s="4" t="s">
        <v>18</v>
      </c>
      <c r="I1938" s="4" t="s">
        <v>715</v>
      </c>
      <c r="J1938" s="4" t="s">
        <v>715</v>
      </c>
      <c r="K1938" s="5">
        <v>6371833</v>
      </c>
      <c r="L1938" s="5">
        <v>322817</v>
      </c>
      <c r="M1938" s="5">
        <v>0</v>
      </c>
      <c r="N1938" s="5">
        <v>1</v>
      </c>
      <c r="O1938" s="5">
        <v>0.6</v>
      </c>
      <c r="P1938" s="5"/>
    </row>
    <row r="1939" spans="1:16" x14ac:dyDescent="0.25">
      <c r="A1939" s="4" t="s">
        <v>21</v>
      </c>
      <c r="B1939" s="4" t="s">
        <v>271</v>
      </c>
      <c r="C1939" s="5">
        <v>37595</v>
      </c>
      <c r="D1939" s="4" t="s">
        <v>15</v>
      </c>
      <c r="E1939" s="4" t="s">
        <v>277</v>
      </c>
      <c r="F1939" s="4" t="s">
        <v>277</v>
      </c>
      <c r="G1939" s="4" t="s">
        <v>26</v>
      </c>
      <c r="H1939" s="4" t="s">
        <v>27</v>
      </c>
      <c r="I1939" s="4" t="s">
        <v>715</v>
      </c>
      <c r="J1939" s="4" t="s">
        <v>715</v>
      </c>
      <c r="K1939" s="5">
        <v>6371833</v>
      </c>
      <c r="L1939" s="5">
        <v>322817</v>
      </c>
      <c r="M1939" s="5">
        <v>19</v>
      </c>
      <c r="N1939" s="5">
        <v>1</v>
      </c>
      <c r="O1939" s="5">
        <v>0.4</v>
      </c>
      <c r="P1939" s="5"/>
    </row>
    <row r="1940" spans="1:16" x14ac:dyDescent="0.25">
      <c r="A1940" s="4" t="s">
        <v>21</v>
      </c>
      <c r="B1940" s="4" t="s">
        <v>271</v>
      </c>
      <c r="C1940" s="5">
        <v>37627</v>
      </c>
      <c r="D1940" s="4" t="s">
        <v>37</v>
      </c>
      <c r="E1940" s="4" t="s">
        <v>73</v>
      </c>
      <c r="F1940" s="4" t="s">
        <v>74</v>
      </c>
      <c r="G1940" s="4" t="s">
        <v>26</v>
      </c>
      <c r="H1940" s="4" t="s">
        <v>27</v>
      </c>
      <c r="I1940" s="4" t="s">
        <v>715</v>
      </c>
      <c r="J1940" s="4" t="s">
        <v>715</v>
      </c>
      <c r="K1940" s="5">
        <v>6151387</v>
      </c>
      <c r="L1940" s="5">
        <v>316892</v>
      </c>
      <c r="M1940" s="5">
        <v>19</v>
      </c>
      <c r="N1940" s="5">
        <v>5</v>
      </c>
      <c r="O1940" s="5">
        <v>55</v>
      </c>
      <c r="P1940" s="5"/>
    </row>
    <row r="1941" spans="1:16" x14ac:dyDescent="0.25">
      <c r="A1941" s="4" t="s">
        <v>21</v>
      </c>
      <c r="B1941" s="4" t="s">
        <v>271</v>
      </c>
      <c r="C1941" s="5">
        <v>37629</v>
      </c>
      <c r="D1941" s="4" t="s">
        <v>33</v>
      </c>
      <c r="E1941" s="4" t="s">
        <v>50</v>
      </c>
      <c r="F1941" s="4" t="s">
        <v>594</v>
      </c>
      <c r="G1941" s="4" t="s">
        <v>26</v>
      </c>
      <c r="H1941" s="4" t="s">
        <v>27</v>
      </c>
      <c r="I1941" s="4" t="s">
        <v>715</v>
      </c>
      <c r="J1941" s="4" t="s">
        <v>715</v>
      </c>
      <c r="K1941" s="5">
        <v>6123016</v>
      </c>
      <c r="L1941" s="5">
        <v>311350</v>
      </c>
      <c r="M1941" s="5">
        <v>19</v>
      </c>
      <c r="N1941" s="5">
        <v>2</v>
      </c>
      <c r="O1941" s="5">
        <v>11.8</v>
      </c>
      <c r="P1941" s="5"/>
    </row>
    <row r="1942" spans="1:16" x14ac:dyDescent="0.25">
      <c r="A1942" s="4" t="s">
        <v>21</v>
      </c>
      <c r="B1942" s="4" t="s">
        <v>271</v>
      </c>
      <c r="C1942" s="5">
        <v>37658</v>
      </c>
      <c r="D1942" s="4" t="s">
        <v>33</v>
      </c>
      <c r="E1942" s="4" t="s">
        <v>43</v>
      </c>
      <c r="F1942" s="4" t="s">
        <v>595</v>
      </c>
      <c r="G1942" s="4" t="s">
        <v>26</v>
      </c>
      <c r="H1942" s="4" t="s">
        <v>27</v>
      </c>
      <c r="I1942" s="4" t="s">
        <v>715</v>
      </c>
      <c r="J1942" s="4" t="s">
        <v>638</v>
      </c>
      <c r="K1942" s="5">
        <v>6069177</v>
      </c>
      <c r="L1942" s="5">
        <v>278563</v>
      </c>
      <c r="M1942" s="5">
        <v>19</v>
      </c>
      <c r="N1942" s="5">
        <v>1</v>
      </c>
      <c r="O1942" s="5">
        <v>10</v>
      </c>
      <c r="P1942" s="5"/>
    </row>
    <row r="1943" spans="1:16" x14ac:dyDescent="0.25">
      <c r="A1943" s="4" t="s">
        <v>13</v>
      </c>
      <c r="B1943" s="4" t="s">
        <v>271</v>
      </c>
      <c r="C1943" s="5">
        <v>37660</v>
      </c>
      <c r="D1943" s="4" t="s">
        <v>37</v>
      </c>
      <c r="E1943" s="4" t="s">
        <v>73</v>
      </c>
      <c r="F1943" s="4" t="s">
        <v>73</v>
      </c>
      <c r="G1943" s="4" t="s">
        <v>26</v>
      </c>
      <c r="H1943" s="4" t="s">
        <v>27</v>
      </c>
      <c r="I1943" s="4" t="s">
        <v>715</v>
      </c>
      <c r="J1943" s="4" t="s">
        <v>715</v>
      </c>
      <c r="K1943" s="5">
        <v>6152696</v>
      </c>
      <c r="L1943" s="5">
        <v>322025</v>
      </c>
      <c r="M1943" s="5">
        <v>19</v>
      </c>
      <c r="N1943" s="5">
        <v>2</v>
      </c>
      <c r="O1943" s="5">
        <v>8.48</v>
      </c>
      <c r="P1943" s="5"/>
    </row>
    <row r="1944" spans="1:16" x14ac:dyDescent="0.25">
      <c r="A1944" s="4" t="s">
        <v>21</v>
      </c>
      <c r="B1944" s="4" t="s">
        <v>271</v>
      </c>
      <c r="C1944" s="5">
        <v>37662</v>
      </c>
      <c r="D1944" s="4" t="s">
        <v>33</v>
      </c>
      <c r="E1944" s="4" t="s">
        <v>34</v>
      </c>
      <c r="F1944" s="4" t="s">
        <v>167</v>
      </c>
      <c r="G1944" s="4" t="s">
        <v>26</v>
      </c>
      <c r="H1944" s="4" t="s">
        <v>27</v>
      </c>
      <c r="I1944" s="4" t="s">
        <v>715</v>
      </c>
      <c r="J1944" s="4" t="s">
        <v>638</v>
      </c>
      <c r="K1944" s="5">
        <v>6102273</v>
      </c>
      <c r="L1944" s="5">
        <v>289323</v>
      </c>
      <c r="M1944" s="5">
        <v>19</v>
      </c>
      <c r="N1944" s="5">
        <v>3</v>
      </c>
      <c r="O1944" s="5">
        <v>7</v>
      </c>
      <c r="P1944" s="5"/>
    </row>
    <row r="1945" spans="1:16" x14ac:dyDescent="0.25">
      <c r="A1945" s="4" t="s">
        <v>21</v>
      </c>
      <c r="B1945" s="4" t="s">
        <v>271</v>
      </c>
      <c r="C1945" s="5">
        <v>37666</v>
      </c>
      <c r="D1945" s="4" t="s">
        <v>33</v>
      </c>
      <c r="E1945" s="4" t="s">
        <v>122</v>
      </c>
      <c r="F1945" s="4" t="s">
        <v>596</v>
      </c>
      <c r="G1945" s="4" t="s">
        <v>26</v>
      </c>
      <c r="H1945" s="4" t="s">
        <v>27</v>
      </c>
      <c r="I1945" s="4" t="s">
        <v>715</v>
      </c>
      <c r="J1945" s="4" t="s">
        <v>638</v>
      </c>
      <c r="K1945" s="5">
        <v>6106208</v>
      </c>
      <c r="L1945" s="5">
        <v>296296</v>
      </c>
      <c r="M1945" s="5">
        <v>19</v>
      </c>
      <c r="N1945" s="5">
        <v>2</v>
      </c>
      <c r="O1945" s="5">
        <v>17</v>
      </c>
      <c r="P1945" s="5"/>
    </row>
    <row r="1946" spans="1:16" x14ac:dyDescent="0.25">
      <c r="A1946" s="4" t="s">
        <v>21</v>
      </c>
      <c r="B1946" s="4" t="s">
        <v>271</v>
      </c>
      <c r="C1946" s="5">
        <v>37676</v>
      </c>
      <c r="D1946" s="4" t="s">
        <v>37</v>
      </c>
      <c r="E1946" s="4" t="s">
        <v>38</v>
      </c>
      <c r="F1946" s="4" t="s">
        <v>269</v>
      </c>
      <c r="G1946" s="4" t="s">
        <v>26</v>
      </c>
      <c r="H1946" s="4" t="s">
        <v>27</v>
      </c>
      <c r="I1946" s="4" t="s">
        <v>715</v>
      </c>
      <c r="J1946" s="4" t="s">
        <v>638</v>
      </c>
      <c r="K1946" s="5">
        <v>6170267</v>
      </c>
      <c r="L1946" s="5">
        <v>310412</v>
      </c>
      <c r="M1946" s="5">
        <v>19</v>
      </c>
      <c r="N1946" s="5">
        <v>1</v>
      </c>
      <c r="O1946" s="5">
        <v>5</v>
      </c>
      <c r="P1946" s="5"/>
    </row>
    <row r="1947" spans="1:16" x14ac:dyDescent="0.25">
      <c r="A1947" s="4" t="s">
        <v>13</v>
      </c>
      <c r="B1947" s="4" t="s">
        <v>271</v>
      </c>
      <c r="C1947" s="5">
        <v>37679</v>
      </c>
      <c r="D1947" s="4" t="s">
        <v>23</v>
      </c>
      <c r="E1947" s="4" t="s">
        <v>357</v>
      </c>
      <c r="F1947" s="4" t="s">
        <v>259</v>
      </c>
      <c r="G1947" s="4" t="s">
        <v>26</v>
      </c>
      <c r="H1947" s="4" t="s">
        <v>27</v>
      </c>
      <c r="I1947" s="4" t="s">
        <v>715</v>
      </c>
      <c r="J1947" s="4" t="s">
        <v>638</v>
      </c>
      <c r="K1947" s="5">
        <v>6274459</v>
      </c>
      <c r="L1947" s="5">
        <v>341595</v>
      </c>
      <c r="M1947" s="5">
        <v>19</v>
      </c>
      <c r="N1947" s="5">
        <v>1</v>
      </c>
      <c r="O1947" s="5">
        <v>5.9</v>
      </c>
      <c r="P1947" s="5"/>
    </row>
    <row r="1948" spans="1:16" x14ac:dyDescent="0.25">
      <c r="A1948" s="4" t="s">
        <v>21</v>
      </c>
      <c r="B1948" s="4" t="s">
        <v>271</v>
      </c>
      <c r="C1948" s="5">
        <v>37681</v>
      </c>
      <c r="D1948" s="4" t="s">
        <v>37</v>
      </c>
      <c r="E1948" s="4" t="s">
        <v>292</v>
      </c>
      <c r="F1948" s="4" t="s">
        <v>292</v>
      </c>
      <c r="G1948" s="4" t="s">
        <v>26</v>
      </c>
      <c r="H1948" s="4" t="s">
        <v>27</v>
      </c>
      <c r="I1948" s="4" t="s">
        <v>715</v>
      </c>
      <c r="J1948" s="4" t="s">
        <v>715</v>
      </c>
      <c r="K1948" s="5">
        <v>6169288</v>
      </c>
      <c r="L1948" s="5">
        <v>284549</v>
      </c>
      <c r="M1948" s="5">
        <v>19</v>
      </c>
      <c r="N1948" s="5">
        <v>1</v>
      </c>
      <c r="O1948" s="5">
        <v>10</v>
      </c>
      <c r="P1948" s="5"/>
    </row>
    <row r="1949" spans="1:16" x14ac:dyDescent="0.25">
      <c r="A1949" s="4" t="s">
        <v>21</v>
      </c>
      <c r="B1949" s="4" t="s">
        <v>271</v>
      </c>
      <c r="C1949" s="5">
        <v>37697</v>
      </c>
      <c r="D1949" s="4" t="s">
        <v>33</v>
      </c>
      <c r="E1949" s="4" t="s">
        <v>118</v>
      </c>
      <c r="F1949" s="4" t="s">
        <v>118</v>
      </c>
      <c r="G1949" s="4" t="s">
        <v>26</v>
      </c>
      <c r="H1949" s="4" t="s">
        <v>27</v>
      </c>
      <c r="I1949" s="4" t="s">
        <v>715</v>
      </c>
      <c r="J1949" s="4" t="s">
        <v>715</v>
      </c>
      <c r="K1949" s="11">
        <v>6026177</v>
      </c>
      <c r="L1949" s="11">
        <v>273050</v>
      </c>
      <c r="M1949" s="12">
        <v>19</v>
      </c>
      <c r="N1949" s="5">
        <v>2</v>
      </c>
      <c r="O1949" s="5">
        <v>53.77</v>
      </c>
      <c r="P1949" s="5" t="s">
        <v>650</v>
      </c>
    </row>
    <row r="1950" spans="1:16" x14ac:dyDescent="0.25">
      <c r="A1950" s="4" t="s">
        <v>21</v>
      </c>
      <c r="B1950" s="4" t="s">
        <v>271</v>
      </c>
      <c r="C1950" s="5">
        <v>37699</v>
      </c>
      <c r="D1950" s="4" t="s">
        <v>33</v>
      </c>
      <c r="E1950" s="4" t="s">
        <v>122</v>
      </c>
      <c r="F1950" s="4" t="s">
        <v>122</v>
      </c>
      <c r="G1950" s="4" t="s">
        <v>26</v>
      </c>
      <c r="H1950" s="4" t="s">
        <v>27</v>
      </c>
      <c r="I1950" s="4" t="s">
        <v>715</v>
      </c>
      <c r="J1950" s="4" t="s">
        <v>638</v>
      </c>
      <c r="K1950" s="11">
        <v>6112625</v>
      </c>
      <c r="L1950" s="11">
        <v>296005</v>
      </c>
      <c r="M1950" s="12">
        <v>19</v>
      </c>
      <c r="N1950" s="5">
        <v>3</v>
      </c>
      <c r="O1950" s="5">
        <v>29</v>
      </c>
      <c r="P1950" s="5" t="s">
        <v>650</v>
      </c>
    </row>
    <row r="1951" spans="1:16" x14ac:dyDescent="0.25">
      <c r="A1951" s="4" t="s">
        <v>21</v>
      </c>
      <c r="B1951" s="4" t="s">
        <v>271</v>
      </c>
      <c r="C1951" s="5">
        <v>37706</v>
      </c>
      <c r="D1951" s="4" t="s">
        <v>23</v>
      </c>
      <c r="E1951" s="4" t="s">
        <v>445</v>
      </c>
      <c r="F1951" s="4" t="s">
        <v>445</v>
      </c>
      <c r="G1951" s="4" t="s">
        <v>26</v>
      </c>
      <c r="H1951" s="4" t="s">
        <v>18</v>
      </c>
      <c r="I1951" s="4" t="s">
        <v>715</v>
      </c>
      <c r="J1951" s="4" t="s">
        <v>715</v>
      </c>
      <c r="K1951" s="5">
        <v>6268175</v>
      </c>
      <c r="L1951" s="5">
        <v>327715</v>
      </c>
      <c r="M1951" s="5">
        <v>19</v>
      </c>
      <c r="N1951" s="5">
        <v>1</v>
      </c>
      <c r="O1951" s="5">
        <v>4</v>
      </c>
      <c r="P1951" s="5"/>
    </row>
    <row r="1952" spans="1:16" x14ac:dyDescent="0.25">
      <c r="A1952" s="4" t="s">
        <v>54</v>
      </c>
      <c r="B1952" s="4" t="s">
        <v>271</v>
      </c>
      <c r="C1952" s="5">
        <v>37712</v>
      </c>
      <c r="D1952" s="4" t="s">
        <v>474</v>
      </c>
      <c r="E1952" s="4" t="s">
        <v>475</v>
      </c>
      <c r="F1952" s="4" t="s">
        <v>476</v>
      </c>
      <c r="G1952" s="4" t="s">
        <v>26</v>
      </c>
      <c r="H1952" s="4" t="s">
        <v>641</v>
      </c>
      <c r="I1952" s="4" t="s">
        <v>715</v>
      </c>
      <c r="J1952" s="4" t="s">
        <v>715</v>
      </c>
      <c r="K1952" s="5">
        <v>7953810</v>
      </c>
      <c r="L1952" s="5">
        <v>371187</v>
      </c>
      <c r="M1952" s="5">
        <v>19</v>
      </c>
      <c r="N1952" s="5">
        <v>1</v>
      </c>
      <c r="O1952" s="5">
        <v>0.53</v>
      </c>
      <c r="P1952" s="5"/>
    </row>
    <row r="1953" spans="1:16" x14ac:dyDescent="0.25">
      <c r="A1953" s="4" t="s">
        <v>54</v>
      </c>
      <c r="B1953" s="4" t="s">
        <v>271</v>
      </c>
      <c r="C1953" s="5">
        <v>37722</v>
      </c>
      <c r="D1953" s="4" t="s">
        <v>474</v>
      </c>
      <c r="E1953" s="4" t="s">
        <v>475</v>
      </c>
      <c r="F1953" s="4" t="s">
        <v>476</v>
      </c>
      <c r="G1953" s="4" t="s">
        <v>26</v>
      </c>
      <c r="H1953" s="4" t="s">
        <v>641</v>
      </c>
      <c r="I1953" s="4" t="s">
        <v>715</v>
      </c>
      <c r="J1953" s="4" t="s">
        <v>715</v>
      </c>
      <c r="K1953" s="5">
        <v>7952452</v>
      </c>
      <c r="L1953" s="5">
        <v>375184</v>
      </c>
      <c r="M1953" s="5">
        <v>19</v>
      </c>
      <c r="N1953" s="5">
        <v>6</v>
      </c>
      <c r="O1953" s="5">
        <v>0.98</v>
      </c>
      <c r="P1953" s="5"/>
    </row>
    <row r="1954" spans="1:16" x14ac:dyDescent="0.25">
      <c r="A1954" s="4" t="s">
        <v>54</v>
      </c>
      <c r="B1954" s="4" t="s">
        <v>271</v>
      </c>
      <c r="C1954" s="5">
        <v>37724</v>
      </c>
      <c r="D1954" s="4" t="s">
        <v>474</v>
      </c>
      <c r="E1954" s="4" t="s">
        <v>475</v>
      </c>
      <c r="F1954" s="4" t="s">
        <v>476</v>
      </c>
      <c r="G1954" s="4" t="s">
        <v>26</v>
      </c>
      <c r="H1954" s="4" t="s">
        <v>641</v>
      </c>
      <c r="I1954" s="4" t="s">
        <v>715</v>
      </c>
      <c r="J1954" s="4" t="s">
        <v>715</v>
      </c>
      <c r="K1954" s="5">
        <v>7952452</v>
      </c>
      <c r="L1954" s="5">
        <v>375184</v>
      </c>
      <c r="M1954" s="5">
        <v>19</v>
      </c>
      <c r="N1954" s="5">
        <v>3</v>
      </c>
      <c r="O1954" s="5">
        <v>0.98</v>
      </c>
      <c r="P1954" s="5"/>
    </row>
    <row r="1955" spans="1:16" x14ac:dyDescent="0.25">
      <c r="A1955" s="4" t="s">
        <v>13</v>
      </c>
      <c r="B1955" s="4" t="s">
        <v>271</v>
      </c>
      <c r="C1955" s="5">
        <v>37733</v>
      </c>
      <c r="D1955" s="4" t="s">
        <v>37</v>
      </c>
      <c r="E1955" s="4" t="s">
        <v>73</v>
      </c>
      <c r="F1955" s="4" t="s">
        <v>311</v>
      </c>
      <c r="G1955" s="4" t="s">
        <v>26</v>
      </c>
      <c r="H1955" s="4" t="s">
        <v>27</v>
      </c>
      <c r="I1955" s="4" t="s">
        <v>715</v>
      </c>
      <c r="J1955" s="4" t="s">
        <v>638</v>
      </c>
      <c r="K1955" s="5">
        <v>6151119</v>
      </c>
      <c r="L1955" s="5">
        <v>322116</v>
      </c>
      <c r="M1955" s="5">
        <v>19</v>
      </c>
      <c r="N1955" s="5">
        <v>1</v>
      </c>
      <c r="O1955" s="5">
        <v>1.5</v>
      </c>
      <c r="P1955" s="5"/>
    </row>
    <row r="1956" spans="1:16" x14ac:dyDescent="0.25">
      <c r="A1956" s="4" t="s">
        <v>21</v>
      </c>
      <c r="B1956" s="4" t="s">
        <v>271</v>
      </c>
      <c r="C1956" s="5">
        <v>37778</v>
      </c>
      <c r="D1956" s="4" t="s">
        <v>33</v>
      </c>
      <c r="E1956" s="4" t="s">
        <v>47</v>
      </c>
      <c r="F1956" s="4" t="s">
        <v>158</v>
      </c>
      <c r="G1956" s="4" t="s">
        <v>26</v>
      </c>
      <c r="H1956" s="4" t="s">
        <v>27</v>
      </c>
      <c r="I1956" s="4" t="s">
        <v>715</v>
      </c>
      <c r="J1956" s="4" t="s">
        <v>638</v>
      </c>
      <c r="K1956" s="5">
        <v>6074430</v>
      </c>
      <c r="L1956" s="5">
        <v>290813</v>
      </c>
      <c r="M1956" s="5">
        <v>19</v>
      </c>
      <c r="N1956" s="5">
        <v>9</v>
      </c>
      <c r="O1956" s="5">
        <v>29.9</v>
      </c>
      <c r="P1956" s="5"/>
    </row>
    <row r="1957" spans="1:16" x14ac:dyDescent="0.25">
      <c r="A1957" s="4" t="s">
        <v>21</v>
      </c>
      <c r="B1957" s="4" t="s">
        <v>271</v>
      </c>
      <c r="C1957" s="5">
        <v>37780</v>
      </c>
      <c r="D1957" s="4" t="s">
        <v>33</v>
      </c>
      <c r="E1957" s="4" t="s">
        <v>43</v>
      </c>
      <c r="F1957" s="4" t="s">
        <v>597</v>
      </c>
      <c r="G1957" s="4" t="s">
        <v>26</v>
      </c>
      <c r="H1957" s="4" t="s">
        <v>27</v>
      </c>
      <c r="I1957" s="4" t="s">
        <v>715</v>
      </c>
      <c r="J1957" s="4" t="s">
        <v>715</v>
      </c>
      <c r="K1957" s="5">
        <v>6072797</v>
      </c>
      <c r="L1957" s="5">
        <v>289516</v>
      </c>
      <c r="M1957" s="5">
        <v>19</v>
      </c>
      <c r="N1957" s="5">
        <v>4</v>
      </c>
      <c r="O1957" s="5">
        <v>22</v>
      </c>
      <c r="P1957" s="5"/>
    </row>
    <row r="1958" spans="1:16" x14ac:dyDescent="0.25">
      <c r="A1958" s="4" t="s">
        <v>13</v>
      </c>
      <c r="B1958" s="4" t="s">
        <v>271</v>
      </c>
      <c r="C1958" s="5">
        <v>37784</v>
      </c>
      <c r="D1958" s="4" t="s">
        <v>37</v>
      </c>
      <c r="E1958" s="4" t="s">
        <v>73</v>
      </c>
      <c r="F1958" s="4" t="s">
        <v>73</v>
      </c>
      <c r="G1958" s="4" t="s">
        <v>26</v>
      </c>
      <c r="H1958" s="4" t="s">
        <v>27</v>
      </c>
      <c r="I1958" s="4" t="s">
        <v>715</v>
      </c>
      <c r="J1958" s="4" t="s">
        <v>638</v>
      </c>
      <c r="K1958" s="5">
        <v>6152696</v>
      </c>
      <c r="L1958" s="5">
        <v>322025</v>
      </c>
      <c r="M1958" s="5">
        <v>19</v>
      </c>
      <c r="N1958" s="5">
        <v>1</v>
      </c>
      <c r="O1958" s="5">
        <v>7</v>
      </c>
      <c r="P1958" s="5"/>
    </row>
    <row r="1959" spans="1:16" x14ac:dyDescent="0.25">
      <c r="A1959" s="4" t="s">
        <v>13</v>
      </c>
      <c r="B1959" s="4" t="s">
        <v>271</v>
      </c>
      <c r="C1959" s="5">
        <v>37785</v>
      </c>
      <c r="D1959" s="4" t="s">
        <v>37</v>
      </c>
      <c r="E1959" s="4" t="s">
        <v>73</v>
      </c>
      <c r="F1959" s="4" t="s">
        <v>387</v>
      </c>
      <c r="G1959" s="4" t="s">
        <v>26</v>
      </c>
      <c r="H1959" s="4" t="s">
        <v>27</v>
      </c>
      <c r="I1959" s="4" t="s">
        <v>715</v>
      </c>
      <c r="J1959" s="4" t="s">
        <v>638</v>
      </c>
      <c r="K1959" s="5">
        <v>6156736</v>
      </c>
      <c r="L1959" s="5">
        <v>318277</v>
      </c>
      <c r="M1959" s="5">
        <v>19</v>
      </c>
      <c r="N1959" s="5">
        <v>1</v>
      </c>
      <c r="O1959" s="5">
        <v>3.8</v>
      </c>
      <c r="P1959" s="5"/>
    </row>
    <row r="1960" spans="1:16" x14ac:dyDescent="0.25">
      <c r="A1960" s="4" t="s">
        <v>54</v>
      </c>
      <c r="B1960" s="4" t="s">
        <v>271</v>
      </c>
      <c r="C1960" s="5">
        <v>37787</v>
      </c>
      <c r="D1960" s="4" t="s">
        <v>37</v>
      </c>
      <c r="E1960" s="4" t="s">
        <v>295</v>
      </c>
      <c r="F1960" s="4" t="s">
        <v>295</v>
      </c>
      <c r="G1960" s="4" t="s">
        <v>26</v>
      </c>
      <c r="H1960" s="4" t="s">
        <v>641</v>
      </c>
      <c r="I1960" s="4" t="s">
        <v>715</v>
      </c>
      <c r="J1960" s="4" t="s">
        <v>715</v>
      </c>
      <c r="K1960" s="5">
        <v>6224916</v>
      </c>
      <c r="L1960" s="5">
        <v>339151</v>
      </c>
      <c r="M1960" s="5">
        <v>19</v>
      </c>
      <c r="N1960" s="5">
        <v>1</v>
      </c>
      <c r="O1960" s="5">
        <v>0.8</v>
      </c>
      <c r="P1960" s="5"/>
    </row>
    <row r="1961" spans="1:16" x14ac:dyDescent="0.25">
      <c r="A1961" s="4" t="s">
        <v>21</v>
      </c>
      <c r="B1961" s="4" t="s">
        <v>271</v>
      </c>
      <c r="C1961" s="5">
        <v>37789</v>
      </c>
      <c r="D1961" s="4" t="s">
        <v>37</v>
      </c>
      <c r="E1961" s="4" t="s">
        <v>73</v>
      </c>
      <c r="F1961" s="4" t="s">
        <v>311</v>
      </c>
      <c r="G1961" s="4" t="s">
        <v>26</v>
      </c>
      <c r="H1961" s="4" t="s">
        <v>27</v>
      </c>
      <c r="I1961" s="4" t="s">
        <v>715</v>
      </c>
      <c r="J1961" s="4" t="s">
        <v>715</v>
      </c>
      <c r="K1961" s="5">
        <v>6152365</v>
      </c>
      <c r="L1961" s="5">
        <v>322871</v>
      </c>
      <c r="M1961" s="5">
        <v>19</v>
      </c>
      <c r="N1961" s="5">
        <v>4</v>
      </c>
      <c r="O1961" s="5">
        <v>30.5</v>
      </c>
      <c r="P1961" s="5"/>
    </row>
    <row r="1962" spans="1:16" x14ac:dyDescent="0.25">
      <c r="A1962" s="4" t="s">
        <v>21</v>
      </c>
      <c r="B1962" s="4" t="s">
        <v>271</v>
      </c>
      <c r="C1962" s="5">
        <v>37790</v>
      </c>
      <c r="D1962" s="4" t="s">
        <v>33</v>
      </c>
      <c r="E1962" s="4" t="s">
        <v>35</v>
      </c>
      <c r="F1962" s="4" t="s">
        <v>35</v>
      </c>
      <c r="G1962" s="4" t="s">
        <v>26</v>
      </c>
      <c r="H1962" s="4" t="s">
        <v>27</v>
      </c>
      <c r="I1962" s="4" t="s">
        <v>715</v>
      </c>
      <c r="J1962" s="4" t="s">
        <v>715</v>
      </c>
      <c r="K1962" s="5">
        <v>6130062</v>
      </c>
      <c r="L1962" s="5">
        <v>318755</v>
      </c>
      <c r="M1962" s="5">
        <v>19</v>
      </c>
      <c r="N1962" s="5">
        <v>2</v>
      </c>
      <c r="O1962" s="5">
        <v>28.5</v>
      </c>
      <c r="P1962" s="5"/>
    </row>
    <row r="1963" spans="1:16" x14ac:dyDescent="0.25">
      <c r="A1963" s="4" t="s">
        <v>21</v>
      </c>
      <c r="B1963" s="4" t="s">
        <v>271</v>
      </c>
      <c r="C1963" s="5">
        <v>37791</v>
      </c>
      <c r="D1963" s="4" t="s">
        <v>33</v>
      </c>
      <c r="E1963" s="4" t="s">
        <v>66</v>
      </c>
      <c r="F1963" s="4" t="s">
        <v>155</v>
      </c>
      <c r="G1963" s="4" t="s">
        <v>26</v>
      </c>
      <c r="H1963" s="4" t="s">
        <v>27</v>
      </c>
      <c r="I1963" s="4" t="s">
        <v>715</v>
      </c>
      <c r="J1963" s="4" t="s">
        <v>715</v>
      </c>
      <c r="K1963" s="5">
        <v>6073102</v>
      </c>
      <c r="L1963" s="5">
        <v>269816</v>
      </c>
      <c r="M1963" s="5">
        <v>19</v>
      </c>
      <c r="N1963" s="5">
        <v>7</v>
      </c>
      <c r="O1963" s="5">
        <v>91.31</v>
      </c>
      <c r="P1963" s="5"/>
    </row>
    <row r="1964" spans="1:16" x14ac:dyDescent="0.25">
      <c r="A1964" s="4" t="s">
        <v>21</v>
      </c>
      <c r="B1964" s="4" t="s">
        <v>271</v>
      </c>
      <c r="C1964" s="5">
        <v>37792</v>
      </c>
      <c r="D1964" s="4" t="s">
        <v>33</v>
      </c>
      <c r="E1964" s="4" t="s">
        <v>137</v>
      </c>
      <c r="F1964" s="4" t="s">
        <v>142</v>
      </c>
      <c r="G1964" s="4" t="s">
        <v>26</v>
      </c>
      <c r="H1964" s="4" t="s">
        <v>27</v>
      </c>
      <c r="I1964" s="4" t="s">
        <v>715</v>
      </c>
      <c r="J1964" s="4" t="s">
        <v>638</v>
      </c>
      <c r="K1964" s="5">
        <v>6044216</v>
      </c>
      <c r="L1964" s="5">
        <v>278916</v>
      </c>
      <c r="M1964" s="5">
        <v>19</v>
      </c>
      <c r="N1964" s="5">
        <v>3</v>
      </c>
      <c r="O1964" s="5">
        <v>9.9</v>
      </c>
      <c r="P1964" s="5"/>
    </row>
    <row r="1965" spans="1:16" x14ac:dyDescent="0.25">
      <c r="A1965" s="4" t="s">
        <v>13</v>
      </c>
      <c r="B1965" s="4" t="s">
        <v>271</v>
      </c>
      <c r="C1965" s="5">
        <v>37793</v>
      </c>
      <c r="D1965" s="4" t="s">
        <v>37</v>
      </c>
      <c r="E1965" s="4" t="s">
        <v>75</v>
      </c>
      <c r="F1965" s="4" t="s">
        <v>75</v>
      </c>
      <c r="G1965" s="4" t="s">
        <v>26</v>
      </c>
      <c r="H1965" s="4" t="s">
        <v>27</v>
      </c>
      <c r="I1965" s="4" t="s">
        <v>715</v>
      </c>
      <c r="J1965" s="4" t="s">
        <v>638</v>
      </c>
      <c r="K1965" s="5">
        <v>6230803</v>
      </c>
      <c r="L1965" s="5">
        <v>346289</v>
      </c>
      <c r="M1965" s="5">
        <v>19</v>
      </c>
      <c r="N1965" s="5">
        <v>2</v>
      </c>
      <c r="O1965" s="5">
        <v>40.44</v>
      </c>
      <c r="P1965" s="5"/>
    </row>
    <row r="1966" spans="1:16" x14ac:dyDescent="0.25">
      <c r="A1966" s="4" t="s">
        <v>21</v>
      </c>
      <c r="B1966" s="4" t="s">
        <v>271</v>
      </c>
      <c r="C1966" s="5">
        <v>37794</v>
      </c>
      <c r="D1966" s="4" t="s">
        <v>33</v>
      </c>
      <c r="E1966" s="4" t="s">
        <v>35</v>
      </c>
      <c r="F1966" s="4" t="s">
        <v>166</v>
      </c>
      <c r="G1966" s="4" t="s">
        <v>26</v>
      </c>
      <c r="H1966" s="4" t="s">
        <v>18</v>
      </c>
      <c r="I1966" s="4" t="s">
        <v>715</v>
      </c>
      <c r="J1966" s="4" t="s">
        <v>715</v>
      </c>
      <c r="K1966" s="5">
        <v>6143993</v>
      </c>
      <c r="L1966" s="5">
        <v>313722</v>
      </c>
      <c r="M1966" s="5">
        <v>19</v>
      </c>
      <c r="N1966" s="5">
        <v>1</v>
      </c>
      <c r="O1966" s="5">
        <v>7</v>
      </c>
      <c r="P1966" s="5"/>
    </row>
    <row r="1967" spans="1:16" x14ac:dyDescent="0.25">
      <c r="A1967" s="4" t="s">
        <v>21</v>
      </c>
      <c r="B1967" s="4" t="s">
        <v>271</v>
      </c>
      <c r="C1967" s="5">
        <v>37795</v>
      </c>
      <c r="D1967" s="4" t="s">
        <v>23</v>
      </c>
      <c r="E1967" s="4" t="s">
        <v>357</v>
      </c>
      <c r="F1967" s="4" t="s">
        <v>367</v>
      </c>
      <c r="G1967" s="4" t="s">
        <v>26</v>
      </c>
      <c r="H1967" s="4" t="s">
        <v>128</v>
      </c>
      <c r="I1967" s="4" t="s">
        <v>715</v>
      </c>
      <c r="J1967" s="4" t="s">
        <v>638</v>
      </c>
      <c r="K1967" s="5">
        <v>6278779</v>
      </c>
      <c r="L1967" s="5">
        <v>334993</v>
      </c>
      <c r="M1967" s="5">
        <v>19</v>
      </c>
      <c r="N1967" s="5">
        <v>1</v>
      </c>
      <c r="O1967" s="5">
        <v>2</v>
      </c>
      <c r="P1967" s="5"/>
    </row>
    <row r="1968" spans="1:16" x14ac:dyDescent="0.25">
      <c r="A1968" s="4" t="s">
        <v>13</v>
      </c>
      <c r="B1968" s="4" t="s">
        <v>271</v>
      </c>
      <c r="C1968" s="5">
        <v>37796</v>
      </c>
      <c r="D1968" s="4" t="s">
        <v>33</v>
      </c>
      <c r="E1968" s="4" t="s">
        <v>43</v>
      </c>
      <c r="F1968" s="4" t="s">
        <v>43</v>
      </c>
      <c r="G1968" s="4" t="s">
        <v>26</v>
      </c>
      <c r="H1968" s="4" t="s">
        <v>27</v>
      </c>
      <c r="I1968" s="4" t="s">
        <v>715</v>
      </c>
      <c r="J1968" s="4" t="s">
        <v>638</v>
      </c>
      <c r="K1968" s="5">
        <v>6069809</v>
      </c>
      <c r="L1968" s="5">
        <v>289327</v>
      </c>
      <c r="M1968" s="5">
        <v>19</v>
      </c>
      <c r="N1968" s="5">
        <v>4</v>
      </c>
      <c r="O1968" s="5">
        <v>10.7</v>
      </c>
      <c r="P1968" s="5"/>
    </row>
    <row r="1969" spans="1:16" x14ac:dyDescent="0.25">
      <c r="A1969" s="4" t="s">
        <v>13</v>
      </c>
      <c r="B1969" s="4" t="s">
        <v>271</v>
      </c>
      <c r="C1969" s="5">
        <v>37797</v>
      </c>
      <c r="D1969" s="4" t="s">
        <v>37</v>
      </c>
      <c r="E1969" s="4" t="s">
        <v>295</v>
      </c>
      <c r="F1969" s="4" t="s">
        <v>295</v>
      </c>
      <c r="G1969" s="4" t="s">
        <v>26</v>
      </c>
      <c r="H1969" s="4" t="s">
        <v>27</v>
      </c>
      <c r="I1969" s="4" t="s">
        <v>715</v>
      </c>
      <c r="J1969" s="4" t="s">
        <v>638</v>
      </c>
      <c r="K1969" s="5">
        <v>6224925</v>
      </c>
      <c r="L1969" s="5">
        <v>336944</v>
      </c>
      <c r="M1969" s="5">
        <v>19</v>
      </c>
      <c r="N1969" s="5">
        <v>1</v>
      </c>
      <c r="O1969" s="5">
        <v>3.5</v>
      </c>
      <c r="P1969" s="5"/>
    </row>
    <row r="1970" spans="1:16" x14ac:dyDescent="0.25">
      <c r="A1970" s="4" t="s">
        <v>21</v>
      </c>
      <c r="B1970" s="4" t="s">
        <v>271</v>
      </c>
      <c r="C1970" s="5">
        <v>37798</v>
      </c>
      <c r="D1970" s="4" t="s">
        <v>37</v>
      </c>
      <c r="E1970" s="4" t="s">
        <v>295</v>
      </c>
      <c r="F1970" s="4" t="s">
        <v>271</v>
      </c>
      <c r="G1970" s="4" t="s">
        <v>26</v>
      </c>
      <c r="H1970" s="4" t="s">
        <v>27</v>
      </c>
      <c r="I1970" s="4" t="s">
        <v>715</v>
      </c>
      <c r="J1970" s="4" t="s">
        <v>638</v>
      </c>
      <c r="K1970" s="5">
        <v>6225793</v>
      </c>
      <c r="L1970" s="5">
        <v>336912</v>
      </c>
      <c r="M1970" s="5">
        <v>19</v>
      </c>
      <c r="N1970" s="5">
        <v>7</v>
      </c>
      <c r="O1970" s="5">
        <v>68.400000000000006</v>
      </c>
      <c r="P1970" s="5"/>
    </row>
    <row r="1971" spans="1:16" x14ac:dyDescent="0.25">
      <c r="A1971" s="4" t="s">
        <v>21</v>
      </c>
      <c r="B1971" s="4" t="s">
        <v>271</v>
      </c>
      <c r="C1971" s="5">
        <v>37801</v>
      </c>
      <c r="D1971" s="4" t="s">
        <v>37</v>
      </c>
      <c r="E1971" s="4" t="s">
        <v>73</v>
      </c>
      <c r="F1971" s="4" t="s">
        <v>311</v>
      </c>
      <c r="G1971" s="4" t="s">
        <v>26</v>
      </c>
      <c r="H1971" s="4" t="s">
        <v>27</v>
      </c>
      <c r="I1971" s="4" t="s">
        <v>715</v>
      </c>
      <c r="J1971" s="4" t="s">
        <v>638</v>
      </c>
      <c r="K1971" s="5">
        <v>6151124</v>
      </c>
      <c r="L1971" s="5">
        <v>321895</v>
      </c>
      <c r="M1971" s="5">
        <v>19</v>
      </c>
      <c r="N1971" s="5">
        <v>3</v>
      </c>
      <c r="O1971" s="5">
        <v>6.4</v>
      </c>
      <c r="P1971" s="5"/>
    </row>
    <row r="1972" spans="1:16" x14ac:dyDescent="0.25">
      <c r="A1972" s="4" t="s">
        <v>13</v>
      </c>
      <c r="B1972" s="4" t="s">
        <v>271</v>
      </c>
      <c r="C1972" s="5">
        <v>37802</v>
      </c>
      <c r="D1972" s="4" t="s">
        <v>37</v>
      </c>
      <c r="E1972" s="4" t="s">
        <v>73</v>
      </c>
      <c r="F1972" s="4" t="s">
        <v>73</v>
      </c>
      <c r="G1972" s="4" t="s">
        <v>26</v>
      </c>
      <c r="H1972" s="4" t="s">
        <v>27</v>
      </c>
      <c r="I1972" s="4" t="s">
        <v>715</v>
      </c>
      <c r="J1972" s="4" t="s">
        <v>638</v>
      </c>
      <c r="K1972" s="5">
        <v>6156782</v>
      </c>
      <c r="L1972" s="5">
        <v>318020</v>
      </c>
      <c r="M1972" s="5">
        <v>19</v>
      </c>
      <c r="N1972" s="5">
        <v>2</v>
      </c>
      <c r="O1972" s="5">
        <v>3.8</v>
      </c>
      <c r="P1972" s="5"/>
    </row>
    <row r="1973" spans="1:16" x14ac:dyDescent="0.25">
      <c r="A1973" s="4" t="s">
        <v>21</v>
      </c>
      <c r="B1973" s="4" t="s">
        <v>271</v>
      </c>
      <c r="C1973" s="5">
        <v>37803</v>
      </c>
      <c r="D1973" s="4" t="s">
        <v>33</v>
      </c>
      <c r="E1973" s="4" t="s">
        <v>43</v>
      </c>
      <c r="F1973" s="4" t="s">
        <v>43</v>
      </c>
      <c r="G1973" s="4" t="s">
        <v>26</v>
      </c>
      <c r="H1973" s="4" t="s">
        <v>27</v>
      </c>
      <c r="I1973" s="4" t="s">
        <v>715</v>
      </c>
      <c r="J1973" s="4" t="s">
        <v>715</v>
      </c>
      <c r="K1973" s="5">
        <v>6071590</v>
      </c>
      <c r="L1973" s="5">
        <v>289814</v>
      </c>
      <c r="M1973" s="5">
        <v>19</v>
      </c>
      <c r="N1973" s="5">
        <v>4</v>
      </c>
      <c r="O1973" s="5">
        <v>10.1</v>
      </c>
      <c r="P1973" s="5"/>
    </row>
    <row r="1974" spans="1:16" x14ac:dyDescent="0.25">
      <c r="A1974" s="4" t="s">
        <v>21</v>
      </c>
      <c r="B1974" s="4" t="s">
        <v>271</v>
      </c>
      <c r="C1974" s="5">
        <v>37805</v>
      </c>
      <c r="D1974" s="4" t="s">
        <v>23</v>
      </c>
      <c r="E1974" s="4" t="s">
        <v>76</v>
      </c>
      <c r="F1974" s="4" t="s">
        <v>76</v>
      </c>
      <c r="G1974" s="4" t="s">
        <v>26</v>
      </c>
      <c r="H1974" s="4" t="s">
        <v>18</v>
      </c>
      <c r="I1974" s="4" t="s">
        <v>715</v>
      </c>
      <c r="J1974" s="4" t="s">
        <v>715</v>
      </c>
      <c r="K1974" s="5">
        <v>6266479</v>
      </c>
      <c r="L1974" s="5">
        <v>317315</v>
      </c>
      <c r="M1974" s="5">
        <v>19</v>
      </c>
      <c r="N1974" s="5">
        <v>1</v>
      </c>
      <c r="O1974" s="5">
        <v>2.7</v>
      </c>
      <c r="P1974" s="5"/>
    </row>
    <row r="1975" spans="1:16" x14ac:dyDescent="0.25">
      <c r="A1975" s="4" t="s">
        <v>13</v>
      </c>
      <c r="B1975" s="4" t="s">
        <v>271</v>
      </c>
      <c r="C1975" s="5">
        <v>37809</v>
      </c>
      <c r="D1975" s="4" t="s">
        <v>37</v>
      </c>
      <c r="E1975" s="4" t="s">
        <v>169</v>
      </c>
      <c r="F1975" s="4" t="s">
        <v>169</v>
      </c>
      <c r="G1975" s="4" t="s">
        <v>26</v>
      </c>
      <c r="H1975" s="4" t="s">
        <v>27</v>
      </c>
      <c r="I1975" s="4" t="s">
        <v>715</v>
      </c>
      <c r="J1975" s="4" t="s">
        <v>638</v>
      </c>
      <c r="K1975" s="5">
        <v>6224941</v>
      </c>
      <c r="L1975" s="5">
        <v>336763</v>
      </c>
      <c r="M1975" s="5">
        <v>19</v>
      </c>
      <c r="N1975" s="5">
        <v>1</v>
      </c>
      <c r="O1975" s="5">
        <v>6.5</v>
      </c>
      <c r="P1975" s="5"/>
    </row>
    <row r="1976" spans="1:16" x14ac:dyDescent="0.25">
      <c r="A1976" s="4" t="s">
        <v>21</v>
      </c>
      <c r="B1976" s="4" t="s">
        <v>271</v>
      </c>
      <c r="C1976" s="5">
        <v>37815</v>
      </c>
      <c r="D1976" s="4" t="s">
        <v>33</v>
      </c>
      <c r="E1976" s="4" t="s">
        <v>167</v>
      </c>
      <c r="F1976" s="4" t="s">
        <v>598</v>
      </c>
      <c r="G1976" s="4" t="s">
        <v>26</v>
      </c>
      <c r="H1976" s="4" t="s">
        <v>18</v>
      </c>
      <c r="I1976" s="4" t="s">
        <v>715</v>
      </c>
      <c r="J1976" s="4" t="s">
        <v>715</v>
      </c>
      <c r="K1976" s="5">
        <v>6096741</v>
      </c>
      <c r="L1976" s="5">
        <v>301931</v>
      </c>
      <c r="M1976" s="5">
        <v>19</v>
      </c>
      <c r="N1976" s="5">
        <v>1</v>
      </c>
      <c r="O1976" s="5">
        <v>2</v>
      </c>
      <c r="P1976" s="5"/>
    </row>
    <row r="1977" spans="1:16" x14ac:dyDescent="0.25">
      <c r="A1977" s="4" t="s">
        <v>21</v>
      </c>
      <c r="B1977" s="4" t="s">
        <v>271</v>
      </c>
      <c r="C1977" s="5">
        <v>37866</v>
      </c>
      <c r="D1977" s="4" t="s">
        <v>33</v>
      </c>
      <c r="E1977" s="4" t="s">
        <v>167</v>
      </c>
      <c r="F1977" s="4" t="s">
        <v>167</v>
      </c>
      <c r="G1977" s="4" t="s">
        <v>26</v>
      </c>
      <c r="H1977" s="4" t="s">
        <v>128</v>
      </c>
      <c r="I1977" s="4" t="s">
        <v>715</v>
      </c>
      <c r="J1977" s="4" t="s">
        <v>638</v>
      </c>
      <c r="K1977" s="5">
        <v>6099756</v>
      </c>
      <c r="L1977" s="5">
        <v>291726</v>
      </c>
      <c r="M1977" s="5">
        <v>19</v>
      </c>
      <c r="N1977" s="5">
        <v>1</v>
      </c>
      <c r="O1977" s="5">
        <v>4.2</v>
      </c>
      <c r="P1977" s="5"/>
    </row>
    <row r="1978" spans="1:16" x14ac:dyDescent="0.25">
      <c r="A1978" s="4" t="s">
        <v>21</v>
      </c>
      <c r="B1978" s="4" t="s">
        <v>271</v>
      </c>
      <c r="C1978" s="5">
        <v>37867</v>
      </c>
      <c r="D1978" s="4" t="s">
        <v>23</v>
      </c>
      <c r="E1978" s="4" t="s">
        <v>367</v>
      </c>
      <c r="F1978" s="4" t="s">
        <v>367</v>
      </c>
      <c r="G1978" s="4" t="s">
        <v>26</v>
      </c>
      <c r="H1978" s="4" t="s">
        <v>128</v>
      </c>
      <c r="I1978" s="4" t="s">
        <v>715</v>
      </c>
      <c r="J1978" s="4" t="s">
        <v>638</v>
      </c>
      <c r="K1978" s="5">
        <v>6278653</v>
      </c>
      <c r="L1978" s="5">
        <v>334829</v>
      </c>
      <c r="M1978" s="5">
        <v>19</v>
      </c>
      <c r="N1978" s="5">
        <v>1</v>
      </c>
      <c r="O1978" s="5">
        <v>3.5</v>
      </c>
      <c r="P1978" s="5"/>
    </row>
    <row r="1979" spans="1:16" x14ac:dyDescent="0.25">
      <c r="A1979" s="4" t="s">
        <v>13</v>
      </c>
      <c r="B1979" s="4" t="s">
        <v>271</v>
      </c>
      <c r="C1979" s="5">
        <v>37877</v>
      </c>
      <c r="D1979" s="4" t="s">
        <v>23</v>
      </c>
      <c r="E1979" s="4" t="s">
        <v>367</v>
      </c>
      <c r="F1979" s="4" t="s">
        <v>367</v>
      </c>
      <c r="G1979" s="4" t="s">
        <v>26</v>
      </c>
      <c r="H1979" s="4" t="s">
        <v>27</v>
      </c>
      <c r="I1979" s="4" t="s">
        <v>715</v>
      </c>
      <c r="J1979" s="4" t="s">
        <v>638</v>
      </c>
      <c r="K1979" s="5">
        <v>6278619</v>
      </c>
      <c r="L1979" s="5">
        <v>340453</v>
      </c>
      <c r="M1979" s="5">
        <v>19</v>
      </c>
      <c r="N1979" s="5">
        <v>5</v>
      </c>
      <c r="O1979" s="5">
        <v>36.229999999999997</v>
      </c>
      <c r="P1979" s="5"/>
    </row>
    <row r="1980" spans="1:16" x14ac:dyDescent="0.25">
      <c r="A1980" s="4" t="s">
        <v>21</v>
      </c>
      <c r="B1980" s="4" t="s">
        <v>271</v>
      </c>
      <c r="C1980" s="5">
        <v>37910</v>
      </c>
      <c r="D1980" s="4" t="s">
        <v>37</v>
      </c>
      <c r="E1980" s="4" t="s">
        <v>462</v>
      </c>
      <c r="F1980" s="4" t="s">
        <v>462</v>
      </c>
      <c r="G1980" s="4" t="s">
        <v>26</v>
      </c>
      <c r="H1980" s="4" t="s">
        <v>27</v>
      </c>
      <c r="I1980" s="4" t="s">
        <v>715</v>
      </c>
      <c r="J1980" s="4" t="s">
        <v>638</v>
      </c>
      <c r="K1980" s="5">
        <v>6180530</v>
      </c>
      <c r="L1980" s="5">
        <v>278316</v>
      </c>
      <c r="M1980" s="5">
        <v>19</v>
      </c>
      <c r="N1980" s="5">
        <v>1</v>
      </c>
      <c r="O1980" s="5">
        <v>5.75</v>
      </c>
      <c r="P1980" s="5"/>
    </row>
    <row r="1981" spans="1:16" x14ac:dyDescent="0.25">
      <c r="A1981" s="4" t="s">
        <v>13</v>
      </c>
      <c r="B1981" s="4" t="s">
        <v>271</v>
      </c>
      <c r="C1981" s="5">
        <v>37915</v>
      </c>
      <c r="D1981" s="4" t="s">
        <v>37</v>
      </c>
      <c r="E1981" s="4" t="s">
        <v>73</v>
      </c>
      <c r="F1981" s="4" t="s">
        <v>73</v>
      </c>
      <c r="G1981" s="4" t="s">
        <v>26</v>
      </c>
      <c r="H1981" s="4" t="s">
        <v>27</v>
      </c>
      <c r="I1981" s="4" t="s">
        <v>715</v>
      </c>
      <c r="J1981" s="4" t="s">
        <v>638</v>
      </c>
      <c r="K1981" s="5">
        <v>6157279</v>
      </c>
      <c r="L1981" s="5">
        <v>318458</v>
      </c>
      <c r="M1981" s="5">
        <v>19</v>
      </c>
      <c r="N1981" s="5">
        <v>2</v>
      </c>
      <c r="O1981" s="5">
        <v>12.5</v>
      </c>
      <c r="P1981" s="5"/>
    </row>
    <row r="1982" spans="1:16" x14ac:dyDescent="0.25">
      <c r="A1982" s="4" t="s">
        <v>13</v>
      </c>
      <c r="B1982" s="4" t="s">
        <v>271</v>
      </c>
      <c r="C1982" s="5">
        <v>37948</v>
      </c>
      <c r="D1982" s="4" t="s">
        <v>37</v>
      </c>
      <c r="E1982" s="4" t="s">
        <v>73</v>
      </c>
      <c r="F1982" s="4" t="s">
        <v>73</v>
      </c>
      <c r="G1982" s="4" t="s">
        <v>26</v>
      </c>
      <c r="H1982" s="4" t="s">
        <v>27</v>
      </c>
      <c r="I1982" s="4" t="s">
        <v>715</v>
      </c>
      <c r="J1982" s="4" t="s">
        <v>638</v>
      </c>
      <c r="K1982" s="5">
        <v>6151768</v>
      </c>
      <c r="L1982" s="5">
        <v>322908</v>
      </c>
      <c r="M1982" s="5">
        <v>19</v>
      </c>
      <c r="N1982" s="5">
        <v>8</v>
      </c>
      <c r="O1982" s="5">
        <v>62.4</v>
      </c>
      <c r="P1982" s="5"/>
    </row>
    <row r="1983" spans="1:16" x14ac:dyDescent="0.25">
      <c r="A1983" s="4" t="s">
        <v>21</v>
      </c>
      <c r="B1983" s="4" t="s">
        <v>271</v>
      </c>
      <c r="C1983" s="5">
        <v>37952</v>
      </c>
      <c r="D1983" s="4" t="s">
        <v>37</v>
      </c>
      <c r="E1983" s="4" t="s">
        <v>73</v>
      </c>
      <c r="F1983" s="4" t="s">
        <v>73</v>
      </c>
      <c r="G1983" s="4" t="s">
        <v>26</v>
      </c>
      <c r="H1983" s="4" t="s">
        <v>27</v>
      </c>
      <c r="I1983" s="4" t="s">
        <v>715</v>
      </c>
      <c r="J1983" s="4" t="s">
        <v>638</v>
      </c>
      <c r="K1983" s="5">
        <v>6160221</v>
      </c>
      <c r="L1983" s="5">
        <v>314182</v>
      </c>
      <c r="M1983" s="5">
        <v>19</v>
      </c>
      <c r="N1983" s="5">
        <v>2</v>
      </c>
      <c r="O1983" s="5">
        <v>18.100000000000001</v>
      </c>
      <c r="P1983" s="5"/>
    </row>
    <row r="1984" spans="1:16" x14ac:dyDescent="0.25">
      <c r="A1984" s="4" t="s">
        <v>54</v>
      </c>
      <c r="B1984" s="4" t="s">
        <v>271</v>
      </c>
      <c r="C1984" s="5">
        <v>37957</v>
      </c>
      <c r="D1984" s="4" t="s">
        <v>474</v>
      </c>
      <c r="E1984" s="4" t="s">
        <v>475</v>
      </c>
      <c r="F1984" s="4" t="s">
        <v>476</v>
      </c>
      <c r="G1984" s="4" t="s">
        <v>26</v>
      </c>
      <c r="H1984" s="4" t="s">
        <v>641</v>
      </c>
      <c r="I1984" s="4" t="s">
        <v>715</v>
      </c>
      <c r="J1984" s="4" t="s">
        <v>715</v>
      </c>
      <c r="K1984" s="5">
        <v>7953798</v>
      </c>
      <c r="L1984" s="5">
        <v>371244</v>
      </c>
      <c r="M1984" s="5">
        <v>19</v>
      </c>
      <c r="N1984" s="5">
        <v>1</v>
      </c>
      <c r="O1984" s="5">
        <v>0.06</v>
      </c>
      <c r="P1984" s="5"/>
    </row>
    <row r="1985" spans="1:16" x14ac:dyDescent="0.25">
      <c r="A1985" s="4" t="s">
        <v>13</v>
      </c>
      <c r="B1985" s="4" t="s">
        <v>271</v>
      </c>
      <c r="C1985" s="5">
        <v>37960</v>
      </c>
      <c r="D1985" s="4" t="s">
        <v>37</v>
      </c>
      <c r="E1985" s="4" t="s">
        <v>169</v>
      </c>
      <c r="F1985" s="4" t="s">
        <v>46</v>
      </c>
      <c r="G1985" s="4" t="s">
        <v>26</v>
      </c>
      <c r="H1985" s="4" t="s">
        <v>27</v>
      </c>
      <c r="I1985" s="4" t="s">
        <v>638</v>
      </c>
      <c r="J1985" s="4" t="s">
        <v>715</v>
      </c>
      <c r="K1985" s="5">
        <v>6217385</v>
      </c>
      <c r="L1985" s="5">
        <v>333526</v>
      </c>
      <c r="M1985" s="5">
        <v>19</v>
      </c>
      <c r="N1985" s="5">
        <v>4</v>
      </c>
      <c r="O1985" s="5">
        <v>49.62</v>
      </c>
      <c r="P1985" s="5"/>
    </row>
    <row r="1986" spans="1:16" x14ac:dyDescent="0.25">
      <c r="A1986" s="4" t="s">
        <v>21</v>
      </c>
      <c r="B1986" s="4" t="s">
        <v>271</v>
      </c>
      <c r="C1986" s="5">
        <v>37962</v>
      </c>
      <c r="D1986" s="4" t="s">
        <v>37</v>
      </c>
      <c r="E1986" s="4" t="s">
        <v>295</v>
      </c>
      <c r="F1986" s="4" t="s">
        <v>271</v>
      </c>
      <c r="G1986" s="4" t="s">
        <v>26</v>
      </c>
      <c r="H1986" s="4" t="s">
        <v>27</v>
      </c>
      <c r="I1986" s="4" t="s">
        <v>715</v>
      </c>
      <c r="J1986" s="4" t="s">
        <v>715</v>
      </c>
      <c r="K1986" s="5">
        <v>6222396</v>
      </c>
      <c r="L1986" s="5">
        <v>335286</v>
      </c>
      <c r="M1986" s="5">
        <v>19</v>
      </c>
      <c r="N1986" s="5">
        <v>3</v>
      </c>
      <c r="O1986" s="5">
        <v>46.8</v>
      </c>
      <c r="P1986" s="5"/>
    </row>
    <row r="1987" spans="1:16" x14ac:dyDescent="0.25">
      <c r="A1987" s="4" t="s">
        <v>13</v>
      </c>
      <c r="B1987" s="4" t="s">
        <v>271</v>
      </c>
      <c r="C1987" s="5">
        <v>37965</v>
      </c>
      <c r="D1987" s="4" t="s">
        <v>23</v>
      </c>
      <c r="E1987" s="4" t="s">
        <v>28</v>
      </c>
      <c r="F1987" s="4" t="s">
        <v>77</v>
      </c>
      <c r="G1987" s="4" t="s">
        <v>26</v>
      </c>
      <c r="H1987" s="4" t="s">
        <v>27</v>
      </c>
      <c r="I1987" s="4" t="s">
        <v>715</v>
      </c>
      <c r="J1987" s="4" t="s">
        <v>638</v>
      </c>
      <c r="K1987" s="5">
        <v>6262605</v>
      </c>
      <c r="L1987" s="5">
        <v>343717</v>
      </c>
      <c r="M1987" s="5">
        <v>19</v>
      </c>
      <c r="N1987" s="5">
        <v>3</v>
      </c>
      <c r="O1987" s="5">
        <v>15.5</v>
      </c>
      <c r="P1987" s="5"/>
    </row>
    <row r="1988" spans="1:16" x14ac:dyDescent="0.25">
      <c r="A1988" s="4" t="s">
        <v>13</v>
      </c>
      <c r="B1988" s="4" t="s">
        <v>271</v>
      </c>
      <c r="C1988" s="5">
        <v>37970</v>
      </c>
      <c r="D1988" s="4" t="s">
        <v>37</v>
      </c>
      <c r="E1988" s="4" t="s">
        <v>399</v>
      </c>
      <c r="F1988" s="4" t="s">
        <v>399</v>
      </c>
      <c r="G1988" s="4" t="s">
        <v>26</v>
      </c>
      <c r="H1988" s="4" t="s">
        <v>27</v>
      </c>
      <c r="I1988" s="4" t="s">
        <v>715</v>
      </c>
      <c r="J1988" s="4" t="s">
        <v>715</v>
      </c>
      <c r="K1988" s="5">
        <v>6161348</v>
      </c>
      <c r="L1988" s="5">
        <v>294381</v>
      </c>
      <c r="M1988" s="5">
        <v>19</v>
      </c>
      <c r="N1988" s="5">
        <v>1</v>
      </c>
      <c r="O1988" s="5">
        <v>6</v>
      </c>
      <c r="P1988" s="5"/>
    </row>
    <row r="1989" spans="1:16" x14ac:dyDescent="0.25">
      <c r="A1989" s="4" t="s">
        <v>21</v>
      </c>
      <c r="B1989" s="4" t="s">
        <v>271</v>
      </c>
      <c r="C1989" s="5">
        <v>37972</v>
      </c>
      <c r="D1989" s="4" t="s">
        <v>33</v>
      </c>
      <c r="E1989" s="4" t="s">
        <v>178</v>
      </c>
      <c r="F1989" s="4" t="s">
        <v>178</v>
      </c>
      <c r="G1989" s="4" t="s">
        <v>26</v>
      </c>
      <c r="H1989" s="4" t="s">
        <v>27</v>
      </c>
      <c r="I1989" s="4" t="s">
        <v>715</v>
      </c>
      <c r="J1989" s="4" t="s">
        <v>638</v>
      </c>
      <c r="K1989" s="5">
        <v>6009215</v>
      </c>
      <c r="L1989" s="5">
        <v>246534</v>
      </c>
      <c r="M1989" s="5">
        <v>19</v>
      </c>
      <c r="N1989" s="5">
        <v>2</v>
      </c>
      <c r="O1989" s="5">
        <v>24.4</v>
      </c>
      <c r="P1989" s="5"/>
    </row>
    <row r="1990" spans="1:16" x14ac:dyDescent="0.25">
      <c r="A1990" s="4" t="s">
        <v>54</v>
      </c>
      <c r="B1990" s="4" t="s">
        <v>271</v>
      </c>
      <c r="C1990" s="5">
        <v>37973</v>
      </c>
      <c r="D1990" s="4" t="s">
        <v>37</v>
      </c>
      <c r="E1990" s="4" t="s">
        <v>462</v>
      </c>
      <c r="F1990" s="4" t="s">
        <v>585</v>
      </c>
      <c r="G1990" s="4" t="s">
        <v>26</v>
      </c>
      <c r="H1990" s="4" t="s">
        <v>641</v>
      </c>
      <c r="I1990" s="4" t="s">
        <v>715</v>
      </c>
      <c r="J1990" s="4" t="s">
        <v>715</v>
      </c>
      <c r="K1990" s="5">
        <v>6186889</v>
      </c>
      <c r="L1990" s="5">
        <v>278417</v>
      </c>
      <c r="M1990" s="5">
        <v>19</v>
      </c>
      <c r="N1990" s="5">
        <v>1</v>
      </c>
      <c r="O1990" s="5">
        <v>2.37</v>
      </c>
      <c r="P1990" s="5"/>
    </row>
    <row r="1991" spans="1:16" x14ac:dyDescent="0.25">
      <c r="A1991" s="4" t="s">
        <v>54</v>
      </c>
      <c r="B1991" s="4" t="s">
        <v>271</v>
      </c>
      <c r="C1991" s="5">
        <v>37975</v>
      </c>
      <c r="D1991" s="4" t="s">
        <v>37</v>
      </c>
      <c r="E1991" s="4" t="s">
        <v>84</v>
      </c>
      <c r="F1991" s="4" t="s">
        <v>84</v>
      </c>
      <c r="G1991" s="4" t="s">
        <v>26</v>
      </c>
      <c r="H1991" s="4" t="s">
        <v>641</v>
      </c>
      <c r="I1991" s="4" t="s">
        <v>715</v>
      </c>
      <c r="J1991" s="4" t="s">
        <v>715</v>
      </c>
      <c r="K1991" s="5">
        <v>6164623</v>
      </c>
      <c r="L1991" s="5">
        <v>304418</v>
      </c>
      <c r="M1991" s="5">
        <v>19</v>
      </c>
      <c r="N1991" s="5">
        <v>1</v>
      </c>
      <c r="O1991" s="5">
        <v>0.79</v>
      </c>
      <c r="P1991" s="5"/>
    </row>
    <row r="1992" spans="1:16" x14ac:dyDescent="0.25">
      <c r="A1992" s="4" t="s">
        <v>21</v>
      </c>
      <c r="B1992" s="4" t="s">
        <v>271</v>
      </c>
      <c r="C1992" s="5">
        <v>37977</v>
      </c>
      <c r="D1992" s="4" t="s">
        <v>23</v>
      </c>
      <c r="E1992" s="4" t="s">
        <v>42</v>
      </c>
      <c r="F1992" s="4" t="s">
        <v>481</v>
      </c>
      <c r="G1992" s="4" t="s">
        <v>26</v>
      </c>
      <c r="H1992" s="4" t="s">
        <v>18</v>
      </c>
      <c r="I1992" s="4" t="s">
        <v>715</v>
      </c>
      <c r="J1992" s="4" t="s">
        <v>715</v>
      </c>
      <c r="K1992" s="5">
        <v>6301732</v>
      </c>
      <c r="L1992" s="5">
        <v>325650</v>
      </c>
      <c r="M1992" s="5">
        <v>19</v>
      </c>
      <c r="N1992" s="5">
        <v>1</v>
      </c>
      <c r="O1992" s="5">
        <v>5</v>
      </c>
      <c r="P1992" s="5"/>
    </row>
    <row r="1993" spans="1:16" x14ac:dyDescent="0.25">
      <c r="A1993" s="4" t="s">
        <v>21</v>
      </c>
      <c r="B1993" s="4" t="s">
        <v>271</v>
      </c>
      <c r="C1993" s="5">
        <v>37991</v>
      </c>
      <c r="D1993" s="4" t="s">
        <v>33</v>
      </c>
      <c r="E1993" s="4" t="s">
        <v>167</v>
      </c>
      <c r="F1993" s="4" t="s">
        <v>339</v>
      </c>
      <c r="G1993" s="4" t="s">
        <v>26</v>
      </c>
      <c r="H1993" s="4" t="s">
        <v>27</v>
      </c>
      <c r="I1993" s="4" t="s">
        <v>715</v>
      </c>
      <c r="J1993" s="4" t="s">
        <v>638</v>
      </c>
      <c r="K1993" s="5">
        <v>6094843</v>
      </c>
      <c r="L1993" s="5">
        <v>294929</v>
      </c>
      <c r="M1993" s="5">
        <v>19</v>
      </c>
      <c r="N1993" s="5">
        <v>1</v>
      </c>
      <c r="O1993" s="5">
        <v>11</v>
      </c>
      <c r="P1993" s="5"/>
    </row>
    <row r="1994" spans="1:16" x14ac:dyDescent="0.25">
      <c r="A1994" s="4" t="s">
        <v>21</v>
      </c>
      <c r="B1994" s="4" t="s">
        <v>271</v>
      </c>
      <c r="C1994" s="5">
        <v>37992</v>
      </c>
      <c r="D1994" s="4" t="s">
        <v>33</v>
      </c>
      <c r="E1994" s="4" t="s">
        <v>50</v>
      </c>
      <c r="F1994" s="4" t="s">
        <v>594</v>
      </c>
      <c r="G1994" s="4" t="s">
        <v>26</v>
      </c>
      <c r="H1994" s="4" t="s">
        <v>27</v>
      </c>
      <c r="I1994" s="4" t="s">
        <v>715</v>
      </c>
      <c r="J1994" s="4" t="s">
        <v>638</v>
      </c>
      <c r="K1994" s="5">
        <v>6123238</v>
      </c>
      <c r="L1994" s="5">
        <v>311930</v>
      </c>
      <c r="M1994" s="5">
        <v>19</v>
      </c>
      <c r="N1994" s="5">
        <v>1</v>
      </c>
      <c r="O1994" s="5">
        <v>12.7</v>
      </c>
      <c r="P1994" s="5"/>
    </row>
    <row r="1995" spans="1:16" x14ac:dyDescent="0.25">
      <c r="A1995" s="4" t="s">
        <v>21</v>
      </c>
      <c r="B1995" s="4" t="s">
        <v>271</v>
      </c>
      <c r="C1995" s="5">
        <v>37998</v>
      </c>
      <c r="D1995" s="4" t="s">
        <v>33</v>
      </c>
      <c r="E1995" s="4" t="s">
        <v>69</v>
      </c>
      <c r="F1995" s="4" t="s">
        <v>187</v>
      </c>
      <c r="G1995" s="4" t="s">
        <v>26</v>
      </c>
      <c r="H1995" s="4" t="s">
        <v>27</v>
      </c>
      <c r="I1995" s="4" t="s">
        <v>715</v>
      </c>
      <c r="J1995" s="4" t="s">
        <v>715</v>
      </c>
      <c r="K1995" s="5">
        <v>6077607</v>
      </c>
      <c r="L1995" s="5">
        <v>244148</v>
      </c>
      <c r="M1995" s="5">
        <v>19</v>
      </c>
      <c r="N1995" s="5">
        <v>1</v>
      </c>
      <c r="O1995" s="5">
        <v>24</v>
      </c>
      <c r="P1995" s="5"/>
    </row>
    <row r="1996" spans="1:16" x14ac:dyDescent="0.25">
      <c r="A1996" s="4" t="s">
        <v>54</v>
      </c>
      <c r="B1996" s="4" t="s">
        <v>271</v>
      </c>
      <c r="C1996" s="5">
        <v>38052</v>
      </c>
      <c r="D1996" s="4" t="s">
        <v>37</v>
      </c>
      <c r="E1996" s="4" t="s">
        <v>295</v>
      </c>
      <c r="F1996" s="4" t="s">
        <v>599</v>
      </c>
      <c r="G1996" s="4" t="s">
        <v>26</v>
      </c>
      <c r="H1996" s="4" t="s">
        <v>641</v>
      </c>
      <c r="I1996" s="4" t="s">
        <v>715</v>
      </c>
      <c r="J1996" s="4" t="s">
        <v>715</v>
      </c>
      <c r="K1996" s="5">
        <v>6224564</v>
      </c>
      <c r="L1996" s="5">
        <v>338112</v>
      </c>
      <c r="M1996" s="5">
        <v>19</v>
      </c>
      <c r="N1996" s="5">
        <v>1</v>
      </c>
      <c r="O1996" s="5">
        <v>0.56000000000000005</v>
      </c>
      <c r="P1996" s="5"/>
    </row>
    <row r="1997" spans="1:16" x14ac:dyDescent="0.25">
      <c r="A1997" s="4" t="s">
        <v>21</v>
      </c>
      <c r="B1997" s="4" t="s">
        <v>271</v>
      </c>
      <c r="C1997" s="5">
        <v>38056</v>
      </c>
      <c r="D1997" s="4" t="s">
        <v>33</v>
      </c>
      <c r="E1997" s="4" t="s">
        <v>43</v>
      </c>
      <c r="F1997" s="4" t="s">
        <v>172</v>
      </c>
      <c r="G1997" s="4" t="s">
        <v>26</v>
      </c>
      <c r="H1997" s="4" t="s">
        <v>27</v>
      </c>
      <c r="I1997" s="4" t="s">
        <v>715</v>
      </c>
      <c r="J1997" s="4" t="s">
        <v>638</v>
      </c>
      <c r="K1997" s="5">
        <v>6060146</v>
      </c>
      <c r="L1997" s="5">
        <v>277017</v>
      </c>
      <c r="M1997" s="5">
        <v>19</v>
      </c>
      <c r="N1997" s="5">
        <v>1</v>
      </c>
      <c r="O1997" s="5">
        <v>11</v>
      </c>
      <c r="P1997" s="5"/>
    </row>
    <row r="1998" spans="1:16" x14ac:dyDescent="0.25">
      <c r="A1998" s="4" t="s">
        <v>54</v>
      </c>
      <c r="B1998" s="4" t="s">
        <v>271</v>
      </c>
      <c r="C1998" s="5">
        <v>38061</v>
      </c>
      <c r="D1998" s="4" t="s">
        <v>37</v>
      </c>
      <c r="E1998" s="4" t="s">
        <v>295</v>
      </c>
      <c r="F1998" s="4" t="s">
        <v>599</v>
      </c>
      <c r="G1998" s="4" t="s">
        <v>26</v>
      </c>
      <c r="H1998" s="4" t="s">
        <v>641</v>
      </c>
      <c r="I1998" s="4" t="s">
        <v>715</v>
      </c>
      <c r="J1998" s="4" t="s">
        <v>715</v>
      </c>
      <c r="K1998" s="5">
        <v>6224564</v>
      </c>
      <c r="L1998" s="5">
        <v>338112</v>
      </c>
      <c r="M1998" s="5">
        <v>19</v>
      </c>
      <c r="N1998" s="5">
        <v>2</v>
      </c>
      <c r="O1998" s="5">
        <v>1.25</v>
      </c>
      <c r="P1998" s="5"/>
    </row>
    <row r="1999" spans="1:16" x14ac:dyDescent="0.25">
      <c r="A1999" s="4" t="s">
        <v>21</v>
      </c>
      <c r="B1999" s="4" t="s">
        <v>271</v>
      </c>
      <c r="C1999" s="5">
        <v>38072</v>
      </c>
      <c r="D1999" s="4" t="s">
        <v>37</v>
      </c>
      <c r="E1999" s="4" t="s">
        <v>73</v>
      </c>
      <c r="F1999" s="4" t="s">
        <v>170</v>
      </c>
      <c r="G1999" s="4" t="s">
        <v>26</v>
      </c>
      <c r="H1999" s="4" t="s">
        <v>27</v>
      </c>
      <c r="I1999" s="4" t="s">
        <v>715</v>
      </c>
      <c r="J1999" s="4" t="s">
        <v>638</v>
      </c>
      <c r="K1999" s="5">
        <v>6163361</v>
      </c>
      <c r="L1999" s="5">
        <v>325178</v>
      </c>
      <c r="M1999" s="5">
        <v>19</v>
      </c>
      <c r="N1999" s="5">
        <v>7</v>
      </c>
      <c r="O1999" s="5">
        <v>13.38</v>
      </c>
      <c r="P1999" s="5"/>
    </row>
    <row r="2000" spans="1:16" x14ac:dyDescent="0.25">
      <c r="A2000" s="4" t="s">
        <v>21</v>
      </c>
      <c r="B2000" s="4" t="s">
        <v>271</v>
      </c>
      <c r="C2000" s="5">
        <v>38074</v>
      </c>
      <c r="D2000" s="4" t="s">
        <v>33</v>
      </c>
      <c r="E2000" s="4" t="s">
        <v>122</v>
      </c>
      <c r="F2000" s="4" t="s">
        <v>122</v>
      </c>
      <c r="G2000" s="4" t="s">
        <v>26</v>
      </c>
      <c r="H2000" s="4" t="s">
        <v>27</v>
      </c>
      <c r="I2000" s="4" t="s">
        <v>715</v>
      </c>
      <c r="J2000" s="4" t="s">
        <v>715</v>
      </c>
      <c r="K2000" s="5">
        <v>6120533</v>
      </c>
      <c r="L2000" s="5">
        <v>288377</v>
      </c>
      <c r="M2000" s="5">
        <v>19</v>
      </c>
      <c r="N2000" s="5">
        <v>1</v>
      </c>
      <c r="O2000" s="5">
        <v>9.6999999999999993</v>
      </c>
      <c r="P2000" s="5"/>
    </row>
    <row r="2001" spans="1:16" x14ac:dyDescent="0.25">
      <c r="A2001" s="4" t="s">
        <v>13</v>
      </c>
      <c r="B2001" s="4" t="s">
        <v>271</v>
      </c>
      <c r="C2001" s="5">
        <v>38076</v>
      </c>
      <c r="D2001" s="4" t="s">
        <v>33</v>
      </c>
      <c r="E2001" s="4" t="s">
        <v>34</v>
      </c>
      <c r="F2001" s="4" t="s">
        <v>449</v>
      </c>
      <c r="G2001" s="4" t="s">
        <v>26</v>
      </c>
      <c r="H2001" s="4" t="s">
        <v>27</v>
      </c>
      <c r="I2001" s="4" t="s">
        <v>638</v>
      </c>
      <c r="J2001" s="4" t="s">
        <v>715</v>
      </c>
      <c r="K2001" s="5">
        <v>6130835</v>
      </c>
      <c r="L2001" s="5">
        <v>288701</v>
      </c>
      <c r="M2001" s="5">
        <v>19</v>
      </c>
      <c r="N2001" s="5">
        <v>5</v>
      </c>
      <c r="O2001" s="5">
        <v>29.93</v>
      </c>
      <c r="P2001" s="5"/>
    </row>
    <row r="2002" spans="1:16" x14ac:dyDescent="0.25">
      <c r="A2002" s="4" t="s">
        <v>54</v>
      </c>
      <c r="B2002" s="4" t="s">
        <v>271</v>
      </c>
      <c r="C2002" s="5">
        <v>38078</v>
      </c>
      <c r="D2002" s="4" t="s">
        <v>37</v>
      </c>
      <c r="E2002" s="4" t="s">
        <v>295</v>
      </c>
      <c r="F2002" s="4" t="s">
        <v>295</v>
      </c>
      <c r="G2002" s="4" t="s">
        <v>26</v>
      </c>
      <c r="H2002" s="4" t="s">
        <v>641</v>
      </c>
      <c r="I2002" s="4" t="s">
        <v>715</v>
      </c>
      <c r="J2002" s="4" t="s">
        <v>715</v>
      </c>
      <c r="K2002" s="5">
        <v>6224966</v>
      </c>
      <c r="L2002" s="5">
        <v>339775</v>
      </c>
      <c r="M2002" s="5">
        <v>19</v>
      </c>
      <c r="N2002" s="5">
        <v>1</v>
      </c>
      <c r="O2002" s="5">
        <v>0.03</v>
      </c>
      <c r="P2002" s="5"/>
    </row>
    <row r="2003" spans="1:16" x14ac:dyDescent="0.25">
      <c r="A2003" s="4" t="s">
        <v>21</v>
      </c>
      <c r="B2003" s="4" t="s">
        <v>271</v>
      </c>
      <c r="C2003" s="5">
        <v>38081</v>
      </c>
      <c r="D2003" s="4" t="s">
        <v>33</v>
      </c>
      <c r="E2003" s="4" t="s">
        <v>34</v>
      </c>
      <c r="F2003" s="4" t="s">
        <v>167</v>
      </c>
      <c r="G2003" s="4" t="s">
        <v>26</v>
      </c>
      <c r="H2003" s="4" t="s">
        <v>27</v>
      </c>
      <c r="I2003" s="4" t="s">
        <v>715</v>
      </c>
      <c r="J2003" s="4" t="s">
        <v>638</v>
      </c>
      <c r="K2003" s="5">
        <v>6102144</v>
      </c>
      <c r="L2003" s="5">
        <v>297448</v>
      </c>
      <c r="M2003" s="5">
        <v>19</v>
      </c>
      <c r="N2003" s="5">
        <v>1</v>
      </c>
      <c r="O2003" s="5">
        <v>3.5</v>
      </c>
      <c r="P2003" s="5"/>
    </row>
    <row r="2004" spans="1:16" x14ac:dyDescent="0.25">
      <c r="A2004" s="4" t="s">
        <v>21</v>
      </c>
      <c r="B2004" s="4" t="s">
        <v>271</v>
      </c>
      <c r="C2004" s="5">
        <v>38106</v>
      </c>
      <c r="D2004" s="4" t="s">
        <v>37</v>
      </c>
      <c r="E2004" s="4" t="s">
        <v>73</v>
      </c>
      <c r="F2004" s="4" t="s">
        <v>311</v>
      </c>
      <c r="G2004" s="4" t="s">
        <v>26</v>
      </c>
      <c r="H2004" s="4" t="s">
        <v>27</v>
      </c>
      <c r="I2004" s="4" t="s">
        <v>715</v>
      </c>
      <c r="J2004" s="4" t="s">
        <v>715</v>
      </c>
      <c r="K2004" s="5">
        <v>6152963</v>
      </c>
      <c r="L2004" s="5">
        <v>322774</v>
      </c>
      <c r="M2004" s="5">
        <v>19</v>
      </c>
      <c r="N2004" s="5">
        <v>1</v>
      </c>
      <c r="O2004" s="5">
        <v>4.5199999999999996</v>
      </c>
      <c r="P2004" s="5"/>
    </row>
    <row r="2005" spans="1:16" x14ac:dyDescent="0.25">
      <c r="A2005" s="4" t="s">
        <v>21</v>
      </c>
      <c r="B2005" s="4" t="s">
        <v>271</v>
      </c>
      <c r="C2005" s="5">
        <v>38107</v>
      </c>
      <c r="D2005" s="4" t="s">
        <v>37</v>
      </c>
      <c r="E2005" s="4" t="s">
        <v>577</v>
      </c>
      <c r="F2005" s="4" t="s">
        <v>600</v>
      </c>
      <c r="G2005" s="4" t="s">
        <v>26</v>
      </c>
      <c r="H2005" s="4" t="s">
        <v>27</v>
      </c>
      <c r="I2005" s="4" t="s">
        <v>715</v>
      </c>
      <c r="J2005" s="4" t="s">
        <v>715</v>
      </c>
      <c r="K2005" s="5">
        <v>6184761</v>
      </c>
      <c r="L2005" s="5">
        <v>289660</v>
      </c>
      <c r="M2005" s="5">
        <v>19</v>
      </c>
      <c r="N2005" s="5">
        <v>3</v>
      </c>
      <c r="O2005" s="5">
        <v>9.5</v>
      </c>
      <c r="P2005" s="5"/>
    </row>
    <row r="2006" spans="1:16" x14ac:dyDescent="0.25">
      <c r="A2006" s="4" t="s">
        <v>13</v>
      </c>
      <c r="B2006" s="4" t="s">
        <v>271</v>
      </c>
      <c r="C2006" s="5">
        <v>38108</v>
      </c>
      <c r="D2006" s="4" t="s">
        <v>37</v>
      </c>
      <c r="E2006" s="4" t="s">
        <v>73</v>
      </c>
      <c r="F2006" s="4" t="s">
        <v>311</v>
      </c>
      <c r="G2006" s="4" t="s">
        <v>26</v>
      </c>
      <c r="H2006" s="4" t="s">
        <v>27</v>
      </c>
      <c r="I2006" s="4" t="s">
        <v>715</v>
      </c>
      <c r="J2006" s="4" t="s">
        <v>638</v>
      </c>
      <c r="K2006" s="5">
        <v>6156807</v>
      </c>
      <c r="L2006" s="5">
        <v>318571</v>
      </c>
      <c r="M2006" s="5">
        <v>19</v>
      </c>
      <c r="N2006" s="5">
        <v>1</v>
      </c>
      <c r="O2006" s="5">
        <v>2</v>
      </c>
      <c r="P2006" s="5"/>
    </row>
    <row r="2007" spans="1:16" x14ac:dyDescent="0.25">
      <c r="A2007" s="4" t="s">
        <v>54</v>
      </c>
      <c r="B2007" s="4" t="s">
        <v>271</v>
      </c>
      <c r="C2007" s="5">
        <v>38109</v>
      </c>
      <c r="D2007" s="4" t="s">
        <v>37</v>
      </c>
      <c r="E2007" s="4" t="s">
        <v>399</v>
      </c>
      <c r="F2007" s="4" t="s">
        <v>399</v>
      </c>
      <c r="G2007" s="4" t="s">
        <v>26</v>
      </c>
      <c r="H2007" s="4" t="s">
        <v>641</v>
      </c>
      <c r="I2007" s="4" t="s">
        <v>715</v>
      </c>
      <c r="J2007" s="4" t="s">
        <v>715</v>
      </c>
      <c r="K2007" s="5">
        <v>6163929</v>
      </c>
      <c r="L2007" s="5">
        <v>297903</v>
      </c>
      <c r="M2007" s="5">
        <v>19</v>
      </c>
      <c r="N2007" s="5">
        <v>1</v>
      </c>
      <c r="O2007" s="5">
        <v>1.75</v>
      </c>
      <c r="P2007" s="5"/>
    </row>
    <row r="2008" spans="1:16" x14ac:dyDescent="0.25">
      <c r="A2008" s="4" t="s">
        <v>54</v>
      </c>
      <c r="B2008" s="4" t="s">
        <v>271</v>
      </c>
      <c r="C2008" s="5">
        <v>38110</v>
      </c>
      <c r="D2008" s="4" t="s">
        <v>37</v>
      </c>
      <c r="E2008" s="4" t="s">
        <v>349</v>
      </c>
      <c r="F2008" s="4" t="s">
        <v>354</v>
      </c>
      <c r="G2008" s="4" t="s">
        <v>26</v>
      </c>
      <c r="H2008" s="4" t="s">
        <v>641</v>
      </c>
      <c r="I2008" s="4" t="s">
        <v>715</v>
      </c>
      <c r="J2008" s="4" t="s">
        <v>715</v>
      </c>
      <c r="K2008" s="5">
        <v>6164384</v>
      </c>
      <c r="L2008" s="5">
        <v>288215</v>
      </c>
      <c r="M2008" s="5">
        <v>19</v>
      </c>
      <c r="N2008" s="5">
        <v>1</v>
      </c>
      <c r="O2008" s="5">
        <v>0.64</v>
      </c>
      <c r="P2008" s="5"/>
    </row>
    <row r="2009" spans="1:16" x14ac:dyDescent="0.25">
      <c r="A2009" s="4" t="s">
        <v>21</v>
      </c>
      <c r="B2009" s="4" t="s">
        <v>271</v>
      </c>
      <c r="C2009" s="5">
        <v>38130</v>
      </c>
      <c r="D2009" s="4" t="s">
        <v>33</v>
      </c>
      <c r="E2009" s="4" t="s">
        <v>66</v>
      </c>
      <c r="F2009" s="4" t="s">
        <v>45</v>
      </c>
      <c r="G2009" s="4" t="s">
        <v>26</v>
      </c>
      <c r="H2009" s="4" t="s">
        <v>27</v>
      </c>
      <c r="I2009" s="4" t="s">
        <v>715</v>
      </c>
      <c r="J2009" s="4" t="s">
        <v>638</v>
      </c>
      <c r="K2009" s="5">
        <v>6084321</v>
      </c>
      <c r="L2009" s="5">
        <v>266724</v>
      </c>
      <c r="M2009" s="5">
        <v>19</v>
      </c>
      <c r="N2009" s="5">
        <v>2</v>
      </c>
      <c r="O2009" s="5">
        <v>1.6</v>
      </c>
      <c r="P2009" s="5"/>
    </row>
    <row r="2010" spans="1:16" x14ac:dyDescent="0.25">
      <c r="A2010" s="4" t="s">
        <v>21</v>
      </c>
      <c r="B2010" s="4" t="s">
        <v>271</v>
      </c>
      <c r="C2010" s="5">
        <v>38132</v>
      </c>
      <c r="D2010" s="4" t="s">
        <v>33</v>
      </c>
      <c r="E2010" s="4" t="s">
        <v>43</v>
      </c>
      <c r="F2010" s="4" t="s">
        <v>148</v>
      </c>
      <c r="G2010" s="4" t="s">
        <v>26</v>
      </c>
      <c r="H2010" s="4" t="s">
        <v>27</v>
      </c>
      <c r="I2010" s="4" t="s">
        <v>715</v>
      </c>
      <c r="J2010" s="4" t="s">
        <v>715</v>
      </c>
      <c r="K2010" s="5">
        <v>6058367</v>
      </c>
      <c r="L2010" s="5">
        <v>281635</v>
      </c>
      <c r="M2010" s="5">
        <v>19</v>
      </c>
      <c r="N2010" s="5">
        <v>2</v>
      </c>
      <c r="O2010" s="5">
        <v>8.8000000000000007</v>
      </c>
      <c r="P2010" s="5"/>
    </row>
    <row r="2011" spans="1:16" x14ac:dyDescent="0.25">
      <c r="A2011" s="4" t="s">
        <v>21</v>
      </c>
      <c r="B2011" s="4" t="s">
        <v>271</v>
      </c>
      <c r="C2011" s="5">
        <v>38133</v>
      </c>
      <c r="D2011" s="4" t="s">
        <v>33</v>
      </c>
      <c r="E2011" s="4" t="s">
        <v>66</v>
      </c>
      <c r="F2011" s="4" t="s">
        <v>43</v>
      </c>
      <c r="G2011" s="4" t="s">
        <v>26</v>
      </c>
      <c r="H2011" s="4" t="s">
        <v>18</v>
      </c>
      <c r="I2011" s="4" t="s">
        <v>715</v>
      </c>
      <c r="J2011" s="4" t="s">
        <v>715</v>
      </c>
      <c r="K2011" s="5">
        <v>6071976</v>
      </c>
      <c r="L2011" s="5">
        <v>290329</v>
      </c>
      <c r="M2011" s="5">
        <v>19</v>
      </c>
      <c r="N2011" s="5">
        <v>1</v>
      </c>
      <c r="O2011" s="5">
        <v>2</v>
      </c>
      <c r="P2011" s="5"/>
    </row>
    <row r="2012" spans="1:16" x14ac:dyDescent="0.25">
      <c r="A2012" s="4" t="s">
        <v>21</v>
      </c>
      <c r="B2012" s="4" t="s">
        <v>271</v>
      </c>
      <c r="C2012" s="5">
        <v>38139</v>
      </c>
      <c r="D2012" s="4" t="s">
        <v>33</v>
      </c>
      <c r="E2012" s="4" t="s">
        <v>34</v>
      </c>
      <c r="F2012" s="4" t="s">
        <v>167</v>
      </c>
      <c r="G2012" s="4" t="s">
        <v>26</v>
      </c>
      <c r="H2012" s="4" t="s">
        <v>27</v>
      </c>
      <c r="I2012" s="4" t="s">
        <v>715</v>
      </c>
      <c r="J2012" s="4" t="s">
        <v>638</v>
      </c>
      <c r="K2012" s="5">
        <v>6102062</v>
      </c>
      <c r="L2012" s="5">
        <v>297300</v>
      </c>
      <c r="M2012" s="5">
        <v>19</v>
      </c>
      <c r="N2012" s="5">
        <v>1</v>
      </c>
      <c r="O2012" s="5">
        <v>5</v>
      </c>
      <c r="P2012" s="5"/>
    </row>
    <row r="2013" spans="1:16" x14ac:dyDescent="0.25">
      <c r="A2013" s="4" t="s">
        <v>54</v>
      </c>
      <c r="B2013" s="4" t="s">
        <v>271</v>
      </c>
      <c r="C2013" s="5">
        <v>38154</v>
      </c>
      <c r="D2013" s="4" t="s">
        <v>33</v>
      </c>
      <c r="E2013" s="4" t="s">
        <v>35</v>
      </c>
      <c r="F2013" s="4" t="s">
        <v>166</v>
      </c>
      <c r="G2013" s="4" t="s">
        <v>26</v>
      </c>
      <c r="H2013" s="4" t="s">
        <v>641</v>
      </c>
      <c r="I2013" s="4" t="s">
        <v>715</v>
      </c>
      <c r="J2013" s="4" t="s">
        <v>715</v>
      </c>
      <c r="K2013" s="5">
        <v>6146710</v>
      </c>
      <c r="L2013" s="5">
        <v>313528</v>
      </c>
      <c r="M2013" s="5">
        <v>19</v>
      </c>
      <c r="N2013" s="5">
        <v>1</v>
      </c>
      <c r="O2013" s="5">
        <v>1.1399999999999999</v>
      </c>
      <c r="P2013" s="5"/>
    </row>
    <row r="2014" spans="1:16" x14ac:dyDescent="0.25">
      <c r="A2014" s="4" t="s">
        <v>13</v>
      </c>
      <c r="B2014" s="4" t="s">
        <v>271</v>
      </c>
      <c r="C2014" s="5">
        <v>38231</v>
      </c>
      <c r="D2014" s="4" t="s">
        <v>33</v>
      </c>
      <c r="E2014" s="4" t="s">
        <v>47</v>
      </c>
      <c r="F2014" s="4" t="s">
        <v>220</v>
      </c>
      <c r="G2014" s="4" t="s">
        <v>26</v>
      </c>
      <c r="H2014" s="4" t="s">
        <v>27</v>
      </c>
      <c r="I2014" s="4" t="s">
        <v>715</v>
      </c>
      <c r="J2014" s="4" t="s">
        <v>715</v>
      </c>
      <c r="K2014" s="5">
        <v>6078446</v>
      </c>
      <c r="L2014" s="5">
        <v>278482</v>
      </c>
      <c r="M2014" s="5">
        <v>19</v>
      </c>
      <c r="N2014" s="5">
        <v>3</v>
      </c>
      <c r="O2014" s="5">
        <v>15.3</v>
      </c>
      <c r="P2014" s="5"/>
    </row>
    <row r="2015" spans="1:16" x14ac:dyDescent="0.25">
      <c r="A2015" s="4" t="s">
        <v>13</v>
      </c>
      <c r="B2015" s="4" t="s">
        <v>271</v>
      </c>
      <c r="C2015" s="5">
        <v>38232</v>
      </c>
      <c r="D2015" s="4" t="s">
        <v>33</v>
      </c>
      <c r="E2015" s="4" t="s">
        <v>449</v>
      </c>
      <c r="F2015" s="4" t="s">
        <v>449</v>
      </c>
      <c r="G2015" s="4" t="s">
        <v>26</v>
      </c>
      <c r="H2015" s="4" t="s">
        <v>27</v>
      </c>
      <c r="I2015" s="4" t="s">
        <v>638</v>
      </c>
      <c r="J2015" s="4" t="s">
        <v>715</v>
      </c>
      <c r="K2015" s="5">
        <v>6130398</v>
      </c>
      <c r="L2015" s="5">
        <v>288663</v>
      </c>
      <c r="M2015" s="5">
        <v>19</v>
      </c>
      <c r="N2015" s="5">
        <v>3</v>
      </c>
      <c r="O2015" s="5">
        <v>18.5</v>
      </c>
      <c r="P2015" s="5"/>
    </row>
    <row r="2016" spans="1:16" x14ac:dyDescent="0.25">
      <c r="A2016" s="4" t="s">
        <v>21</v>
      </c>
      <c r="B2016" s="4" t="s">
        <v>271</v>
      </c>
      <c r="C2016" s="5">
        <v>38238</v>
      </c>
      <c r="D2016" s="4" t="s">
        <v>33</v>
      </c>
      <c r="E2016" s="4" t="s">
        <v>66</v>
      </c>
      <c r="F2016" s="4" t="s">
        <v>45</v>
      </c>
      <c r="G2016" s="4" t="s">
        <v>26</v>
      </c>
      <c r="H2016" s="4" t="s">
        <v>27</v>
      </c>
      <c r="I2016" s="4" t="s">
        <v>715</v>
      </c>
      <c r="J2016" s="4" t="s">
        <v>638</v>
      </c>
      <c r="K2016" s="5">
        <v>6084573</v>
      </c>
      <c r="L2016" s="5">
        <v>266576</v>
      </c>
      <c r="M2016" s="5">
        <v>19</v>
      </c>
      <c r="N2016" s="5">
        <v>2</v>
      </c>
      <c r="O2016" s="5">
        <v>7</v>
      </c>
      <c r="P2016" s="5"/>
    </row>
    <row r="2017" spans="1:16" x14ac:dyDescent="0.25">
      <c r="A2017" s="4" t="s">
        <v>21</v>
      </c>
      <c r="B2017" s="4" t="s">
        <v>271</v>
      </c>
      <c r="C2017" s="5">
        <v>38240</v>
      </c>
      <c r="D2017" s="4" t="s">
        <v>33</v>
      </c>
      <c r="E2017" s="4" t="s">
        <v>167</v>
      </c>
      <c r="F2017" s="4" t="s">
        <v>167</v>
      </c>
      <c r="G2017" s="4" t="s">
        <v>26</v>
      </c>
      <c r="H2017" s="4" t="s">
        <v>27</v>
      </c>
      <c r="I2017" s="4" t="s">
        <v>715</v>
      </c>
      <c r="J2017" s="4" t="s">
        <v>638</v>
      </c>
      <c r="K2017" s="5">
        <v>6096253</v>
      </c>
      <c r="L2017" s="5">
        <v>293248</v>
      </c>
      <c r="M2017" s="5">
        <v>19</v>
      </c>
      <c r="N2017" s="5">
        <v>1</v>
      </c>
      <c r="O2017" s="5">
        <v>11.17</v>
      </c>
      <c r="P2017" s="5"/>
    </row>
    <row r="2018" spans="1:16" x14ac:dyDescent="0.25">
      <c r="A2018" s="4" t="s">
        <v>21</v>
      </c>
      <c r="B2018" s="4" t="s">
        <v>271</v>
      </c>
      <c r="C2018" s="5">
        <v>38260</v>
      </c>
      <c r="D2018" s="4" t="s">
        <v>33</v>
      </c>
      <c r="E2018" s="4" t="s">
        <v>66</v>
      </c>
      <c r="F2018" s="4" t="s">
        <v>45</v>
      </c>
      <c r="G2018" s="4" t="s">
        <v>26</v>
      </c>
      <c r="H2018" s="4" t="s">
        <v>27</v>
      </c>
      <c r="I2018" s="4" t="s">
        <v>715</v>
      </c>
      <c r="J2018" s="4" t="s">
        <v>638</v>
      </c>
      <c r="K2018" s="5">
        <v>6083901</v>
      </c>
      <c r="L2018" s="5">
        <v>266721</v>
      </c>
      <c r="M2018" s="5">
        <v>19</v>
      </c>
      <c r="N2018" s="5">
        <v>1</v>
      </c>
      <c r="O2018" s="5">
        <v>2.4</v>
      </c>
      <c r="P2018" s="5"/>
    </row>
    <row r="2019" spans="1:16" x14ac:dyDescent="0.25">
      <c r="A2019" s="4" t="s">
        <v>21</v>
      </c>
      <c r="B2019" s="4" t="s">
        <v>271</v>
      </c>
      <c r="C2019" s="5">
        <v>38271</v>
      </c>
      <c r="D2019" s="4" t="s">
        <v>33</v>
      </c>
      <c r="E2019" s="4" t="s">
        <v>147</v>
      </c>
      <c r="F2019" s="4" t="s">
        <v>601</v>
      </c>
      <c r="G2019" s="4" t="s">
        <v>26</v>
      </c>
      <c r="H2019" s="4" t="s">
        <v>27</v>
      </c>
      <c r="I2019" s="4" t="s">
        <v>715</v>
      </c>
      <c r="J2019" s="4" t="s">
        <v>715</v>
      </c>
      <c r="K2019" s="5">
        <v>6043768</v>
      </c>
      <c r="L2019" s="5">
        <v>259504</v>
      </c>
      <c r="M2019" s="5">
        <v>19</v>
      </c>
      <c r="N2019" s="5">
        <v>4</v>
      </c>
      <c r="O2019" s="5">
        <v>27.3</v>
      </c>
      <c r="P2019" s="5"/>
    </row>
    <row r="2020" spans="1:16" x14ac:dyDescent="0.25">
      <c r="A2020" s="4" t="s">
        <v>21</v>
      </c>
      <c r="B2020" s="4" t="s">
        <v>271</v>
      </c>
      <c r="C2020" s="5">
        <v>38272</v>
      </c>
      <c r="D2020" s="4" t="s">
        <v>33</v>
      </c>
      <c r="E2020" s="4" t="s">
        <v>43</v>
      </c>
      <c r="F2020" s="4" t="s">
        <v>43</v>
      </c>
      <c r="G2020" s="4" t="s">
        <v>26</v>
      </c>
      <c r="H2020" s="4" t="s">
        <v>27</v>
      </c>
      <c r="I2020" s="4" t="s">
        <v>715</v>
      </c>
      <c r="J2020" s="4" t="s">
        <v>638</v>
      </c>
      <c r="K2020" s="5">
        <v>6066973</v>
      </c>
      <c r="L2020" s="5">
        <v>280770</v>
      </c>
      <c r="M2020" s="5">
        <v>19</v>
      </c>
      <c r="N2020" s="5">
        <v>1</v>
      </c>
      <c r="O2020" s="5">
        <v>2</v>
      </c>
      <c r="P2020" s="5"/>
    </row>
    <row r="2021" spans="1:16" x14ac:dyDescent="0.25">
      <c r="A2021" s="4" t="s">
        <v>21</v>
      </c>
      <c r="B2021" s="4" t="s">
        <v>271</v>
      </c>
      <c r="C2021" s="5">
        <v>38275</v>
      </c>
      <c r="D2021" s="4" t="s">
        <v>15</v>
      </c>
      <c r="E2021" s="4" t="s">
        <v>258</v>
      </c>
      <c r="F2021" s="4" t="s">
        <v>592</v>
      </c>
      <c r="G2021" s="4" t="s">
        <v>26</v>
      </c>
      <c r="H2021" s="4" t="s">
        <v>18</v>
      </c>
      <c r="I2021" s="4" t="s">
        <v>715</v>
      </c>
      <c r="J2021" s="4" t="s">
        <v>715</v>
      </c>
      <c r="K2021" s="5">
        <v>6364268</v>
      </c>
      <c r="L2021" s="5">
        <v>315267</v>
      </c>
      <c r="M2021" s="5">
        <v>19</v>
      </c>
      <c r="N2021" s="5">
        <v>1</v>
      </c>
      <c r="O2021" s="5">
        <v>2</v>
      </c>
      <c r="P2021" s="5"/>
    </row>
    <row r="2022" spans="1:16" x14ac:dyDescent="0.25">
      <c r="A2022" s="4" t="s">
        <v>54</v>
      </c>
      <c r="B2022" s="4" t="s">
        <v>271</v>
      </c>
      <c r="C2022" s="5">
        <v>38283</v>
      </c>
      <c r="D2022" s="4" t="s">
        <v>37</v>
      </c>
      <c r="E2022" s="4" t="s">
        <v>295</v>
      </c>
      <c r="F2022" s="4" t="s">
        <v>295</v>
      </c>
      <c r="G2022" s="4" t="s">
        <v>26</v>
      </c>
      <c r="H2022" s="4" t="s">
        <v>641</v>
      </c>
      <c r="I2022" s="4" t="s">
        <v>715</v>
      </c>
      <c r="J2022" s="4" t="s">
        <v>715</v>
      </c>
      <c r="K2022" s="5">
        <v>6224916</v>
      </c>
      <c r="L2022" s="5">
        <v>339151</v>
      </c>
      <c r="M2022" s="5">
        <v>19</v>
      </c>
      <c r="N2022" s="5">
        <v>1</v>
      </c>
      <c r="O2022" s="5">
        <v>0.7</v>
      </c>
      <c r="P2022" s="5"/>
    </row>
    <row r="2023" spans="1:16" x14ac:dyDescent="0.25">
      <c r="A2023" s="4" t="s">
        <v>21</v>
      </c>
      <c r="B2023" s="4" t="s">
        <v>271</v>
      </c>
      <c r="C2023" s="5">
        <v>38284</v>
      </c>
      <c r="D2023" s="4" t="s">
        <v>23</v>
      </c>
      <c r="E2023" s="4" t="s">
        <v>357</v>
      </c>
      <c r="F2023" s="4" t="s">
        <v>367</v>
      </c>
      <c r="G2023" s="4" t="s">
        <v>26</v>
      </c>
      <c r="H2023" s="4" t="s">
        <v>18</v>
      </c>
      <c r="I2023" s="4" t="s">
        <v>715</v>
      </c>
      <c r="J2023" s="4" t="s">
        <v>715</v>
      </c>
      <c r="K2023" s="5">
        <v>6278653</v>
      </c>
      <c r="L2023" s="5">
        <v>334993</v>
      </c>
      <c r="M2023" s="5">
        <v>19</v>
      </c>
      <c r="N2023" s="5">
        <v>1</v>
      </c>
      <c r="O2023" s="5">
        <v>2</v>
      </c>
      <c r="P2023" s="5"/>
    </row>
    <row r="2024" spans="1:16" x14ac:dyDescent="0.25">
      <c r="A2024" s="4" t="s">
        <v>21</v>
      </c>
      <c r="B2024" s="4" t="s">
        <v>271</v>
      </c>
      <c r="C2024" s="5">
        <v>38287</v>
      </c>
      <c r="D2024" s="4" t="s">
        <v>33</v>
      </c>
      <c r="E2024" s="4" t="s">
        <v>167</v>
      </c>
      <c r="F2024" s="4" t="s">
        <v>167</v>
      </c>
      <c r="G2024" s="4" t="s">
        <v>26</v>
      </c>
      <c r="H2024" s="4" t="s">
        <v>27</v>
      </c>
      <c r="I2024" s="4" t="s">
        <v>715</v>
      </c>
      <c r="J2024" s="4" t="s">
        <v>638</v>
      </c>
      <c r="K2024" s="5">
        <v>6098176</v>
      </c>
      <c r="L2024" s="5">
        <v>297899</v>
      </c>
      <c r="M2024" s="5">
        <v>19</v>
      </c>
      <c r="N2024" s="5">
        <v>2</v>
      </c>
      <c r="O2024" s="5">
        <v>11</v>
      </c>
      <c r="P2024" s="5"/>
    </row>
    <row r="2025" spans="1:16" x14ac:dyDescent="0.25">
      <c r="A2025" s="4" t="s">
        <v>21</v>
      </c>
      <c r="B2025" s="4" t="s">
        <v>271</v>
      </c>
      <c r="C2025" s="5">
        <v>38289</v>
      </c>
      <c r="D2025" s="4" t="s">
        <v>33</v>
      </c>
      <c r="E2025" s="4" t="s">
        <v>122</v>
      </c>
      <c r="F2025" s="4" t="s">
        <v>324</v>
      </c>
      <c r="G2025" s="4" t="s">
        <v>26</v>
      </c>
      <c r="H2025" s="4" t="s">
        <v>27</v>
      </c>
      <c r="I2025" s="4" t="s">
        <v>638</v>
      </c>
      <c r="J2025" s="4" t="s">
        <v>715</v>
      </c>
      <c r="K2025" s="5">
        <v>6118224</v>
      </c>
      <c r="L2025" s="5">
        <v>292067</v>
      </c>
      <c r="M2025" s="5">
        <v>19</v>
      </c>
      <c r="N2025" s="5">
        <v>5</v>
      </c>
      <c r="O2025" s="5">
        <v>26.76</v>
      </c>
      <c r="P2025" s="5"/>
    </row>
    <row r="2026" spans="1:16" x14ac:dyDescent="0.25">
      <c r="A2026" s="4" t="s">
        <v>21</v>
      </c>
      <c r="B2026" s="4" t="s">
        <v>271</v>
      </c>
      <c r="C2026" s="5">
        <v>38292</v>
      </c>
      <c r="D2026" s="4" t="s">
        <v>33</v>
      </c>
      <c r="E2026" s="4" t="s">
        <v>34</v>
      </c>
      <c r="F2026" s="4" t="s">
        <v>34</v>
      </c>
      <c r="G2026" s="4" t="s">
        <v>26</v>
      </c>
      <c r="H2026" s="4" t="s">
        <v>27</v>
      </c>
      <c r="I2026" s="4" t="s">
        <v>715</v>
      </c>
      <c r="J2026" s="4" t="s">
        <v>638</v>
      </c>
      <c r="K2026" s="5">
        <v>6125128</v>
      </c>
      <c r="L2026" s="5">
        <v>301927</v>
      </c>
      <c r="M2026" s="5">
        <v>19</v>
      </c>
      <c r="N2026" s="5">
        <v>4</v>
      </c>
      <c r="O2026" s="5">
        <v>11</v>
      </c>
      <c r="P2026" s="5"/>
    </row>
    <row r="2027" spans="1:16" x14ac:dyDescent="0.25">
      <c r="A2027" s="4" t="s">
        <v>13</v>
      </c>
      <c r="B2027" s="4" t="s">
        <v>271</v>
      </c>
      <c r="C2027" s="5">
        <v>38294</v>
      </c>
      <c r="D2027" s="4" t="s">
        <v>37</v>
      </c>
      <c r="E2027" s="4" t="s">
        <v>577</v>
      </c>
      <c r="F2027" s="4" t="s">
        <v>580</v>
      </c>
      <c r="G2027" s="4" t="s">
        <v>26</v>
      </c>
      <c r="H2027" s="4" t="s">
        <v>27</v>
      </c>
      <c r="I2027" s="4" t="s">
        <v>715</v>
      </c>
      <c r="J2027" s="4" t="s">
        <v>638</v>
      </c>
      <c r="K2027" s="5">
        <v>6188336</v>
      </c>
      <c r="L2027" s="5">
        <v>279519</v>
      </c>
      <c r="M2027" s="5">
        <v>19</v>
      </c>
      <c r="N2027" s="5">
        <v>1</v>
      </c>
      <c r="O2027" s="5">
        <v>6</v>
      </c>
      <c r="P2027" s="5"/>
    </row>
    <row r="2028" spans="1:16" x14ac:dyDescent="0.25">
      <c r="A2028" s="4" t="s">
        <v>13</v>
      </c>
      <c r="B2028" s="4" t="s">
        <v>271</v>
      </c>
      <c r="C2028" s="5">
        <v>38299</v>
      </c>
      <c r="D2028" s="4" t="s">
        <v>37</v>
      </c>
      <c r="E2028" s="4" t="s">
        <v>577</v>
      </c>
      <c r="F2028" s="4" t="s">
        <v>580</v>
      </c>
      <c r="G2028" s="4" t="s">
        <v>26</v>
      </c>
      <c r="H2028" s="4" t="s">
        <v>27</v>
      </c>
      <c r="I2028" s="4" t="s">
        <v>715</v>
      </c>
      <c r="J2028" s="4" t="s">
        <v>638</v>
      </c>
      <c r="K2028" s="5">
        <v>6188336</v>
      </c>
      <c r="L2028" s="5">
        <v>279519</v>
      </c>
      <c r="M2028" s="5">
        <v>19</v>
      </c>
      <c r="N2028" s="5">
        <v>1</v>
      </c>
      <c r="O2028" s="5">
        <v>6</v>
      </c>
      <c r="P2028" s="5"/>
    </row>
    <row r="2029" spans="1:16" x14ac:dyDescent="0.25">
      <c r="A2029" s="4" t="s">
        <v>13</v>
      </c>
      <c r="B2029" s="4" t="s">
        <v>271</v>
      </c>
      <c r="C2029" s="5">
        <v>38302</v>
      </c>
      <c r="D2029" s="4" t="s">
        <v>33</v>
      </c>
      <c r="E2029" s="4" t="s">
        <v>43</v>
      </c>
      <c r="F2029" s="4" t="s">
        <v>43</v>
      </c>
      <c r="G2029" s="4" t="s">
        <v>26</v>
      </c>
      <c r="H2029" s="4" t="s">
        <v>27</v>
      </c>
      <c r="I2029" s="4" t="s">
        <v>715</v>
      </c>
      <c r="J2029" s="4" t="s">
        <v>715</v>
      </c>
      <c r="K2029" s="5">
        <v>6069644</v>
      </c>
      <c r="L2029" s="5">
        <v>287289</v>
      </c>
      <c r="M2029" s="5">
        <v>19</v>
      </c>
      <c r="N2029" s="5">
        <v>11</v>
      </c>
      <c r="O2029" s="5">
        <v>26.15</v>
      </c>
      <c r="P2029" s="5"/>
    </row>
    <row r="2030" spans="1:16" x14ac:dyDescent="0.25">
      <c r="A2030" s="4" t="s">
        <v>54</v>
      </c>
      <c r="B2030" s="4" t="s">
        <v>271</v>
      </c>
      <c r="C2030" s="5">
        <v>38355</v>
      </c>
      <c r="D2030" s="4" t="s">
        <v>33</v>
      </c>
      <c r="E2030" s="4" t="s">
        <v>35</v>
      </c>
      <c r="F2030" s="4" t="s">
        <v>551</v>
      </c>
      <c r="G2030" s="4" t="s">
        <v>26</v>
      </c>
      <c r="H2030" s="4" t="s">
        <v>641</v>
      </c>
      <c r="I2030" s="4" t="s">
        <v>715</v>
      </c>
      <c r="J2030" s="4" t="s">
        <v>715</v>
      </c>
      <c r="K2030" s="5">
        <v>6137778</v>
      </c>
      <c r="L2030" s="5">
        <v>321077</v>
      </c>
      <c r="M2030" s="5">
        <v>19</v>
      </c>
      <c r="N2030" s="5">
        <v>1</v>
      </c>
      <c r="O2030" s="5">
        <v>0.44</v>
      </c>
      <c r="P2030" s="5"/>
    </row>
    <row r="2031" spans="1:16" x14ac:dyDescent="0.25">
      <c r="A2031" s="4" t="s">
        <v>21</v>
      </c>
      <c r="B2031" s="4" t="s">
        <v>271</v>
      </c>
      <c r="C2031" s="5">
        <v>38659</v>
      </c>
      <c r="D2031" s="4" t="s">
        <v>33</v>
      </c>
      <c r="E2031" s="4" t="s">
        <v>34</v>
      </c>
      <c r="F2031" s="4" t="s">
        <v>251</v>
      </c>
      <c r="G2031" s="4" t="s">
        <v>26</v>
      </c>
      <c r="H2031" s="4" t="s">
        <v>18</v>
      </c>
      <c r="I2031" s="4" t="s">
        <v>715</v>
      </c>
      <c r="J2031" s="4" t="s">
        <v>715</v>
      </c>
      <c r="K2031" s="5">
        <v>6106785</v>
      </c>
      <c r="L2031" s="5">
        <v>305798</v>
      </c>
      <c r="M2031" s="5">
        <v>19</v>
      </c>
      <c r="N2031" s="5">
        <v>1</v>
      </c>
      <c r="O2031" s="5">
        <v>2</v>
      </c>
      <c r="P2031" s="5"/>
    </row>
    <row r="2032" spans="1:16" x14ac:dyDescent="0.25">
      <c r="A2032" s="4" t="s">
        <v>21</v>
      </c>
      <c r="B2032" s="4" t="s">
        <v>271</v>
      </c>
      <c r="C2032" s="5">
        <v>38689</v>
      </c>
      <c r="D2032" s="4" t="s">
        <v>33</v>
      </c>
      <c r="E2032" s="4" t="s">
        <v>35</v>
      </c>
      <c r="F2032" s="4" t="s">
        <v>602</v>
      </c>
      <c r="G2032" s="4" t="s">
        <v>26</v>
      </c>
      <c r="H2032" s="4" t="s">
        <v>18</v>
      </c>
      <c r="I2032" s="4" t="s">
        <v>715</v>
      </c>
      <c r="J2032" s="4" t="s">
        <v>715</v>
      </c>
      <c r="K2032" s="5">
        <v>6128944</v>
      </c>
      <c r="L2032" s="5">
        <v>322827</v>
      </c>
      <c r="M2032" s="5">
        <v>19</v>
      </c>
      <c r="N2032" s="5">
        <v>1</v>
      </c>
      <c r="O2032" s="5">
        <v>2</v>
      </c>
      <c r="P2032" s="5"/>
    </row>
    <row r="2033" spans="1:16" x14ac:dyDescent="0.25">
      <c r="A2033" s="4" t="s">
        <v>21</v>
      </c>
      <c r="B2033" s="4" t="s">
        <v>271</v>
      </c>
      <c r="C2033" s="5">
        <v>38733</v>
      </c>
      <c r="D2033" s="4" t="s">
        <v>37</v>
      </c>
      <c r="E2033" s="4" t="s">
        <v>73</v>
      </c>
      <c r="F2033" s="4" t="s">
        <v>73</v>
      </c>
      <c r="G2033" s="4" t="s">
        <v>26</v>
      </c>
      <c r="H2033" s="4" t="s">
        <v>27</v>
      </c>
      <c r="I2033" s="4" t="s">
        <v>715</v>
      </c>
      <c r="J2033" s="4" t="s">
        <v>715</v>
      </c>
      <c r="K2033" s="5">
        <v>6152764</v>
      </c>
      <c r="L2033" s="5">
        <v>322329</v>
      </c>
      <c r="M2033" s="5">
        <v>19</v>
      </c>
      <c r="N2033" s="5">
        <v>1</v>
      </c>
      <c r="O2033" s="5">
        <v>6</v>
      </c>
      <c r="P2033" s="5"/>
    </row>
    <row r="2034" spans="1:16" x14ac:dyDescent="0.25">
      <c r="A2034" s="4" t="s">
        <v>21</v>
      </c>
      <c r="B2034" s="4" t="s">
        <v>271</v>
      </c>
      <c r="C2034" s="5">
        <v>38784</v>
      </c>
      <c r="D2034" s="4" t="s">
        <v>37</v>
      </c>
      <c r="E2034" s="4" t="s">
        <v>73</v>
      </c>
      <c r="F2034" s="4" t="s">
        <v>73</v>
      </c>
      <c r="G2034" s="4" t="s">
        <v>26</v>
      </c>
      <c r="H2034" s="4" t="s">
        <v>27</v>
      </c>
      <c r="I2034" s="4" t="s">
        <v>715</v>
      </c>
      <c r="J2034" s="4" t="s">
        <v>715</v>
      </c>
      <c r="K2034" s="5">
        <v>6152588</v>
      </c>
      <c r="L2034" s="5">
        <v>321845</v>
      </c>
      <c r="M2034" s="5">
        <v>19</v>
      </c>
      <c r="N2034" s="5">
        <v>2</v>
      </c>
      <c r="O2034" s="5">
        <v>4</v>
      </c>
      <c r="P2034" s="5"/>
    </row>
    <row r="2035" spans="1:16" x14ac:dyDescent="0.25">
      <c r="A2035" s="4" t="s">
        <v>21</v>
      </c>
      <c r="B2035" s="4" t="s">
        <v>271</v>
      </c>
      <c r="C2035" s="5">
        <v>38795</v>
      </c>
      <c r="D2035" s="4" t="s">
        <v>15</v>
      </c>
      <c r="E2035" s="4" t="s">
        <v>603</v>
      </c>
      <c r="F2035" s="4" t="s">
        <v>272</v>
      </c>
      <c r="G2035" s="4" t="s">
        <v>26</v>
      </c>
      <c r="H2035" s="4" t="s">
        <v>18</v>
      </c>
      <c r="I2035" s="4" t="s">
        <v>715</v>
      </c>
      <c r="J2035" s="4" t="s">
        <v>715</v>
      </c>
      <c r="K2035" s="5">
        <v>6363202</v>
      </c>
      <c r="L2035" s="5">
        <v>322912</v>
      </c>
      <c r="M2035" s="5">
        <v>19</v>
      </c>
      <c r="N2035" s="5">
        <v>1</v>
      </c>
      <c r="O2035" s="5">
        <v>5</v>
      </c>
      <c r="P2035" s="5"/>
    </row>
    <row r="2036" spans="1:16" x14ac:dyDescent="0.25">
      <c r="A2036" s="4" t="s">
        <v>21</v>
      </c>
      <c r="B2036" s="4" t="s">
        <v>271</v>
      </c>
      <c r="C2036" s="5">
        <v>38809</v>
      </c>
      <c r="D2036" s="4" t="s">
        <v>37</v>
      </c>
      <c r="E2036" s="4" t="s">
        <v>577</v>
      </c>
      <c r="F2036" s="4" t="s">
        <v>580</v>
      </c>
      <c r="G2036" s="4" t="s">
        <v>26</v>
      </c>
      <c r="H2036" s="4" t="s">
        <v>27</v>
      </c>
      <c r="I2036" s="4" t="s">
        <v>715</v>
      </c>
      <c r="J2036" s="4" t="s">
        <v>715</v>
      </c>
      <c r="K2036" s="5">
        <v>6129047</v>
      </c>
      <c r="L2036" s="5">
        <v>286141</v>
      </c>
      <c r="M2036" s="5">
        <v>19</v>
      </c>
      <c r="N2036" s="5">
        <v>1</v>
      </c>
      <c r="O2036" s="5">
        <v>9</v>
      </c>
      <c r="P2036" s="5"/>
    </row>
    <row r="2037" spans="1:16" x14ac:dyDescent="0.25">
      <c r="A2037" s="4" t="s">
        <v>21</v>
      </c>
      <c r="B2037" s="4" t="s">
        <v>271</v>
      </c>
      <c r="C2037" s="5">
        <v>38814</v>
      </c>
      <c r="D2037" s="4" t="s">
        <v>37</v>
      </c>
      <c r="E2037" s="4" t="s">
        <v>73</v>
      </c>
      <c r="F2037" s="4" t="s">
        <v>73</v>
      </c>
      <c r="G2037" s="4" t="s">
        <v>26</v>
      </c>
      <c r="H2037" s="4" t="s">
        <v>27</v>
      </c>
      <c r="I2037" s="4" t="s">
        <v>715</v>
      </c>
      <c r="J2037" s="4" t="s">
        <v>715</v>
      </c>
      <c r="K2037" s="5">
        <v>6152945</v>
      </c>
      <c r="L2037" s="5">
        <v>321854</v>
      </c>
      <c r="M2037" s="5">
        <v>19</v>
      </c>
      <c r="N2037" s="5">
        <v>2</v>
      </c>
      <c r="O2037" s="5">
        <v>9.1</v>
      </c>
      <c r="P2037" s="5"/>
    </row>
    <row r="2038" spans="1:16" x14ac:dyDescent="0.25">
      <c r="A2038" s="4" t="s">
        <v>13</v>
      </c>
      <c r="B2038" s="4" t="s">
        <v>271</v>
      </c>
      <c r="C2038" s="5">
        <v>38830</v>
      </c>
      <c r="D2038" s="4" t="s">
        <v>37</v>
      </c>
      <c r="E2038" s="4" t="s">
        <v>399</v>
      </c>
      <c r="F2038" s="4" t="s">
        <v>399</v>
      </c>
      <c r="G2038" s="4" t="s">
        <v>26</v>
      </c>
      <c r="H2038" s="4" t="s">
        <v>27</v>
      </c>
      <c r="I2038" s="4" t="s">
        <v>715</v>
      </c>
      <c r="J2038" s="4" t="s">
        <v>715</v>
      </c>
      <c r="K2038" s="5">
        <v>6161112</v>
      </c>
      <c r="L2038" s="5">
        <v>294073</v>
      </c>
      <c r="M2038" s="5">
        <v>19</v>
      </c>
      <c r="N2038" s="5">
        <v>1</v>
      </c>
      <c r="O2038" s="5">
        <v>5.3</v>
      </c>
      <c r="P2038" s="5"/>
    </row>
    <row r="2039" spans="1:16" x14ac:dyDescent="0.25">
      <c r="A2039" s="4" t="s">
        <v>13</v>
      </c>
      <c r="B2039" s="4" t="s">
        <v>271</v>
      </c>
      <c r="C2039" s="5">
        <v>38836</v>
      </c>
      <c r="D2039" s="4" t="s">
        <v>37</v>
      </c>
      <c r="E2039" s="4" t="s">
        <v>577</v>
      </c>
      <c r="F2039" s="4" t="s">
        <v>580</v>
      </c>
      <c r="G2039" s="4" t="s">
        <v>26</v>
      </c>
      <c r="H2039" s="4" t="s">
        <v>27</v>
      </c>
      <c r="I2039" s="4" t="s">
        <v>715</v>
      </c>
      <c r="J2039" s="4" t="s">
        <v>638</v>
      </c>
      <c r="K2039" s="5">
        <v>6189180</v>
      </c>
      <c r="L2039" s="5">
        <v>279322</v>
      </c>
      <c r="M2039" s="5">
        <v>19</v>
      </c>
      <c r="N2039" s="5">
        <v>1</v>
      </c>
      <c r="O2039" s="5">
        <v>1.2</v>
      </c>
      <c r="P2039" s="5"/>
    </row>
    <row r="2040" spans="1:16" x14ac:dyDescent="0.25">
      <c r="A2040" s="4" t="s">
        <v>21</v>
      </c>
      <c r="B2040" s="4" t="s">
        <v>271</v>
      </c>
      <c r="C2040" s="5">
        <v>38839</v>
      </c>
      <c r="D2040" s="4" t="s">
        <v>33</v>
      </c>
      <c r="E2040" s="4" t="s">
        <v>122</v>
      </c>
      <c r="F2040" s="4" t="s">
        <v>122</v>
      </c>
      <c r="G2040" s="4" t="s">
        <v>26</v>
      </c>
      <c r="H2040" s="4" t="s">
        <v>27</v>
      </c>
      <c r="I2040" s="4" t="s">
        <v>715</v>
      </c>
      <c r="J2040" s="4" t="s">
        <v>715</v>
      </c>
      <c r="K2040" s="5">
        <v>6119032</v>
      </c>
      <c r="L2040" s="5">
        <v>290135</v>
      </c>
      <c r="M2040" s="5">
        <v>19</v>
      </c>
      <c r="N2040" s="5">
        <v>3</v>
      </c>
      <c r="O2040" s="5">
        <v>38</v>
      </c>
      <c r="P2040" s="5"/>
    </row>
    <row r="2041" spans="1:16" x14ac:dyDescent="0.25">
      <c r="A2041" s="4" t="s">
        <v>21</v>
      </c>
      <c r="B2041" s="4" t="s">
        <v>271</v>
      </c>
      <c r="C2041" s="5">
        <v>38843</v>
      </c>
      <c r="D2041" s="4" t="s">
        <v>15</v>
      </c>
      <c r="E2041" s="4" t="s">
        <v>258</v>
      </c>
      <c r="F2041" s="4" t="s">
        <v>592</v>
      </c>
      <c r="G2041" s="4" t="s">
        <v>26</v>
      </c>
      <c r="H2041" s="4" t="s">
        <v>18</v>
      </c>
      <c r="I2041" s="4" t="s">
        <v>715</v>
      </c>
      <c r="J2041" s="4" t="s">
        <v>715</v>
      </c>
      <c r="K2041" s="5">
        <v>6364607</v>
      </c>
      <c r="L2041" s="5">
        <v>314247</v>
      </c>
      <c r="M2041" s="5">
        <v>19</v>
      </c>
      <c r="N2041" s="5">
        <v>1</v>
      </c>
      <c r="O2041" s="5">
        <v>1.6</v>
      </c>
      <c r="P2041" s="5"/>
    </row>
    <row r="2042" spans="1:16" x14ac:dyDescent="0.25">
      <c r="A2042" s="4" t="s">
        <v>54</v>
      </c>
      <c r="B2042" s="4" t="s">
        <v>271</v>
      </c>
      <c r="C2042" s="5">
        <v>38844</v>
      </c>
      <c r="D2042" s="4" t="s">
        <v>37</v>
      </c>
      <c r="E2042" s="4" t="s">
        <v>399</v>
      </c>
      <c r="F2042" s="4" t="s">
        <v>604</v>
      </c>
      <c r="G2042" s="4" t="s">
        <v>26</v>
      </c>
      <c r="H2042" s="4" t="s">
        <v>641</v>
      </c>
      <c r="I2042" s="4" t="s">
        <v>715</v>
      </c>
      <c r="J2042" s="4" t="s">
        <v>715</v>
      </c>
      <c r="K2042" s="5">
        <v>6163681</v>
      </c>
      <c r="L2042" s="5">
        <v>293045</v>
      </c>
      <c r="M2042" s="5">
        <v>19</v>
      </c>
      <c r="N2042" s="5">
        <v>1</v>
      </c>
      <c r="O2042" s="5">
        <v>0.44</v>
      </c>
      <c r="P2042" s="5"/>
    </row>
    <row r="2043" spans="1:16" x14ac:dyDescent="0.25">
      <c r="A2043" s="4" t="s">
        <v>21</v>
      </c>
      <c r="B2043" s="4" t="s">
        <v>271</v>
      </c>
      <c r="C2043" s="5">
        <v>38845</v>
      </c>
      <c r="D2043" s="4" t="s">
        <v>15</v>
      </c>
      <c r="E2043" s="4" t="s">
        <v>258</v>
      </c>
      <c r="F2043" s="4" t="s">
        <v>592</v>
      </c>
      <c r="G2043" s="4" t="s">
        <v>26</v>
      </c>
      <c r="H2043" s="4" t="s">
        <v>18</v>
      </c>
      <c r="I2043" s="4" t="s">
        <v>715</v>
      </c>
      <c r="J2043" s="4" t="s">
        <v>715</v>
      </c>
      <c r="K2043" s="5">
        <v>6365302</v>
      </c>
      <c r="L2043" s="5">
        <v>313031</v>
      </c>
      <c r="M2043" s="5">
        <v>19</v>
      </c>
      <c r="N2043" s="5">
        <v>1</v>
      </c>
      <c r="O2043" s="5">
        <v>2</v>
      </c>
      <c r="P2043" s="5"/>
    </row>
    <row r="2044" spans="1:16" x14ac:dyDescent="0.25">
      <c r="A2044" s="4" t="s">
        <v>21</v>
      </c>
      <c r="B2044" s="4" t="s">
        <v>271</v>
      </c>
      <c r="C2044" s="5">
        <v>38847</v>
      </c>
      <c r="D2044" s="4" t="s">
        <v>33</v>
      </c>
      <c r="E2044" s="4" t="s">
        <v>34</v>
      </c>
      <c r="F2044" s="4" t="s">
        <v>247</v>
      </c>
      <c r="G2044" s="4" t="s">
        <v>26</v>
      </c>
      <c r="H2044" s="4" t="s">
        <v>27</v>
      </c>
      <c r="I2044" s="4" t="s">
        <v>715</v>
      </c>
      <c r="J2044" s="4" t="s">
        <v>638</v>
      </c>
      <c r="K2044" s="5">
        <v>6119477</v>
      </c>
      <c r="L2044" s="5">
        <v>277825</v>
      </c>
      <c r="M2044" s="5">
        <v>19</v>
      </c>
      <c r="N2044" s="5">
        <v>2</v>
      </c>
      <c r="O2044" s="5">
        <v>18.5</v>
      </c>
      <c r="P2044" s="5"/>
    </row>
    <row r="2045" spans="1:16" x14ac:dyDescent="0.25">
      <c r="A2045" s="4" t="s">
        <v>21</v>
      </c>
      <c r="B2045" s="4" t="s">
        <v>271</v>
      </c>
      <c r="C2045" s="5">
        <v>38881</v>
      </c>
      <c r="D2045" s="4" t="s">
        <v>33</v>
      </c>
      <c r="E2045" s="4" t="s">
        <v>34</v>
      </c>
      <c r="F2045" s="4" t="s">
        <v>34</v>
      </c>
      <c r="G2045" s="4" t="s">
        <v>26</v>
      </c>
      <c r="H2045" s="4" t="s">
        <v>27</v>
      </c>
      <c r="I2045" s="4" t="s">
        <v>638</v>
      </c>
      <c r="J2045" s="4" t="s">
        <v>715</v>
      </c>
      <c r="K2045" s="5">
        <v>6126633</v>
      </c>
      <c r="L2045" s="5">
        <v>299517</v>
      </c>
      <c r="M2045" s="5">
        <v>19</v>
      </c>
      <c r="N2045" s="5">
        <v>3</v>
      </c>
      <c r="O2045" s="5">
        <v>27.3</v>
      </c>
      <c r="P2045" s="5"/>
    </row>
    <row r="2046" spans="1:16" x14ac:dyDescent="0.25">
      <c r="A2046" s="4" t="s">
        <v>13</v>
      </c>
      <c r="B2046" s="4" t="s">
        <v>271</v>
      </c>
      <c r="C2046" s="5">
        <v>39072</v>
      </c>
      <c r="D2046" s="4" t="s">
        <v>23</v>
      </c>
      <c r="E2046" s="4" t="s">
        <v>76</v>
      </c>
      <c r="F2046" s="4" t="s">
        <v>76</v>
      </c>
      <c r="G2046" s="4" t="s">
        <v>26</v>
      </c>
      <c r="H2046" s="4" t="s">
        <v>27</v>
      </c>
      <c r="I2046" s="4" t="s">
        <v>715</v>
      </c>
      <c r="J2046" s="4" t="s">
        <v>638</v>
      </c>
      <c r="K2046" s="5">
        <v>6277884</v>
      </c>
      <c r="L2046" s="5">
        <v>324644</v>
      </c>
      <c r="M2046" s="5">
        <v>19</v>
      </c>
      <c r="N2046" s="5">
        <v>1</v>
      </c>
      <c r="O2046" s="5">
        <v>5</v>
      </c>
      <c r="P2046" s="5"/>
    </row>
    <row r="2047" spans="1:16" x14ac:dyDescent="0.25">
      <c r="A2047" s="4" t="s">
        <v>21</v>
      </c>
      <c r="B2047" s="4" t="s">
        <v>271</v>
      </c>
      <c r="C2047" s="5">
        <v>39074</v>
      </c>
      <c r="D2047" s="4" t="s">
        <v>33</v>
      </c>
      <c r="E2047" s="4" t="s">
        <v>147</v>
      </c>
      <c r="F2047" s="4" t="s">
        <v>601</v>
      </c>
      <c r="G2047" s="4" t="s">
        <v>26</v>
      </c>
      <c r="H2047" s="4" t="s">
        <v>27</v>
      </c>
      <c r="I2047" s="4" t="s">
        <v>715</v>
      </c>
      <c r="J2047" s="4" t="s">
        <v>715</v>
      </c>
      <c r="K2047" s="5">
        <v>6043264</v>
      </c>
      <c r="L2047" s="5">
        <v>259049</v>
      </c>
      <c r="M2047" s="5">
        <v>19</v>
      </c>
      <c r="N2047" s="5">
        <v>3</v>
      </c>
      <c r="O2047" s="5">
        <v>25.9</v>
      </c>
      <c r="P2047" s="5"/>
    </row>
    <row r="2048" spans="1:16" x14ac:dyDescent="0.25">
      <c r="A2048" s="4" t="s">
        <v>21</v>
      </c>
      <c r="B2048" s="4" t="s">
        <v>271</v>
      </c>
      <c r="C2048" s="5">
        <v>39076</v>
      </c>
      <c r="D2048" s="4" t="s">
        <v>33</v>
      </c>
      <c r="E2048" s="4" t="s">
        <v>50</v>
      </c>
      <c r="F2048" s="4" t="s">
        <v>594</v>
      </c>
      <c r="G2048" s="4" t="s">
        <v>26</v>
      </c>
      <c r="H2048" s="4" t="s">
        <v>27</v>
      </c>
      <c r="I2048" s="4" t="s">
        <v>715</v>
      </c>
      <c r="J2048" s="4" t="s">
        <v>715</v>
      </c>
      <c r="K2048" s="5">
        <v>6125584</v>
      </c>
      <c r="L2048" s="5">
        <v>311859</v>
      </c>
      <c r="M2048" s="5">
        <v>19</v>
      </c>
      <c r="N2048" s="5">
        <v>10</v>
      </c>
      <c r="O2048" s="5">
        <v>46.88</v>
      </c>
      <c r="P2048" s="5"/>
    </row>
    <row r="2049" spans="1:16" x14ac:dyDescent="0.25">
      <c r="A2049" s="4" t="s">
        <v>21</v>
      </c>
      <c r="B2049" s="4" t="s">
        <v>271</v>
      </c>
      <c r="C2049" s="5">
        <v>39081</v>
      </c>
      <c r="D2049" s="4" t="s">
        <v>37</v>
      </c>
      <c r="E2049" s="4" t="s">
        <v>38</v>
      </c>
      <c r="F2049" s="4" t="s">
        <v>84</v>
      </c>
      <c r="G2049" s="4" t="s">
        <v>26</v>
      </c>
      <c r="H2049" s="4" t="s">
        <v>18</v>
      </c>
      <c r="I2049" s="4" t="s">
        <v>715</v>
      </c>
      <c r="J2049" s="4" t="s">
        <v>715</v>
      </c>
      <c r="K2049" s="5">
        <v>6166017</v>
      </c>
      <c r="L2049" s="5">
        <v>313394</v>
      </c>
      <c r="M2049" s="5">
        <v>19</v>
      </c>
      <c r="N2049" s="5">
        <v>1</v>
      </c>
      <c r="O2049" s="5">
        <v>1.4</v>
      </c>
      <c r="P2049" s="5"/>
    </row>
    <row r="2050" spans="1:16" x14ac:dyDescent="0.25">
      <c r="A2050" s="4" t="s">
        <v>21</v>
      </c>
      <c r="B2050" s="4" t="s">
        <v>271</v>
      </c>
      <c r="C2050" s="5">
        <v>39083</v>
      </c>
      <c r="D2050" s="4" t="s">
        <v>33</v>
      </c>
      <c r="E2050" s="4" t="s">
        <v>43</v>
      </c>
      <c r="F2050" s="4" t="s">
        <v>605</v>
      </c>
      <c r="G2050" s="4" t="s">
        <v>26</v>
      </c>
      <c r="H2050" s="4" t="s">
        <v>27</v>
      </c>
      <c r="I2050" s="4" t="s">
        <v>715</v>
      </c>
      <c r="J2050" s="4" t="s">
        <v>715</v>
      </c>
      <c r="K2050" s="5">
        <v>6058590</v>
      </c>
      <c r="L2050" s="5">
        <v>281941</v>
      </c>
      <c r="M2050" s="5">
        <v>19</v>
      </c>
      <c r="N2050" s="5">
        <v>1</v>
      </c>
      <c r="O2050" s="5">
        <v>6</v>
      </c>
      <c r="P2050" s="5"/>
    </row>
    <row r="2051" spans="1:16" x14ac:dyDescent="0.25">
      <c r="A2051" s="4" t="s">
        <v>21</v>
      </c>
      <c r="B2051" s="4" t="s">
        <v>271</v>
      </c>
      <c r="C2051" s="5">
        <v>39085</v>
      </c>
      <c r="D2051" s="4" t="s">
        <v>37</v>
      </c>
      <c r="E2051" s="4" t="s">
        <v>73</v>
      </c>
      <c r="F2051" s="4" t="s">
        <v>311</v>
      </c>
      <c r="G2051" s="4" t="s">
        <v>26</v>
      </c>
      <c r="H2051" s="4" t="s">
        <v>27</v>
      </c>
      <c r="I2051" s="4" t="s">
        <v>715</v>
      </c>
      <c r="J2051" s="4" t="s">
        <v>638</v>
      </c>
      <c r="K2051" s="5">
        <v>6151448</v>
      </c>
      <c r="L2051" s="5">
        <v>323481</v>
      </c>
      <c r="M2051" s="5">
        <v>19</v>
      </c>
      <c r="N2051" s="5">
        <v>1</v>
      </c>
      <c r="O2051" s="5">
        <v>18.96</v>
      </c>
      <c r="P2051" s="5"/>
    </row>
    <row r="2052" spans="1:16" x14ac:dyDescent="0.25">
      <c r="A2052" s="4" t="s">
        <v>21</v>
      </c>
      <c r="B2052" s="4" t="s">
        <v>271</v>
      </c>
      <c r="C2052" s="5">
        <v>39086</v>
      </c>
      <c r="D2052" s="4" t="s">
        <v>33</v>
      </c>
      <c r="E2052" s="4" t="s">
        <v>35</v>
      </c>
      <c r="F2052" s="4" t="s">
        <v>166</v>
      </c>
      <c r="G2052" s="4" t="s">
        <v>26</v>
      </c>
      <c r="H2052" s="4" t="s">
        <v>18</v>
      </c>
      <c r="I2052" s="4" t="s">
        <v>715</v>
      </c>
      <c r="J2052" s="4" t="s">
        <v>715</v>
      </c>
      <c r="K2052" s="5">
        <v>6143441</v>
      </c>
      <c r="L2052" s="5">
        <v>317662</v>
      </c>
      <c r="M2052" s="5">
        <v>19</v>
      </c>
      <c r="N2052" s="5">
        <v>1</v>
      </c>
      <c r="O2052" s="5">
        <v>4.9000000000000004</v>
      </c>
      <c r="P2052" s="5"/>
    </row>
    <row r="2053" spans="1:16" x14ac:dyDescent="0.25">
      <c r="A2053" s="4" t="s">
        <v>21</v>
      </c>
      <c r="B2053" s="4" t="s">
        <v>271</v>
      </c>
      <c r="C2053" s="5">
        <v>39087</v>
      </c>
      <c r="D2053" s="4" t="s">
        <v>37</v>
      </c>
      <c r="E2053" s="4" t="s">
        <v>38</v>
      </c>
      <c r="F2053" s="4" t="s">
        <v>84</v>
      </c>
      <c r="G2053" s="4" t="s">
        <v>26</v>
      </c>
      <c r="H2053" s="4" t="s">
        <v>18</v>
      </c>
      <c r="I2053" s="4" t="s">
        <v>715</v>
      </c>
      <c r="J2053" s="4" t="s">
        <v>715</v>
      </c>
      <c r="K2053" s="5">
        <v>6166058</v>
      </c>
      <c r="L2053" s="5">
        <v>313394</v>
      </c>
      <c r="M2053" s="5">
        <v>19</v>
      </c>
      <c r="N2053" s="5">
        <v>1</v>
      </c>
      <c r="O2053" s="5">
        <v>1.4</v>
      </c>
      <c r="P2053" s="5"/>
    </row>
    <row r="2054" spans="1:16" x14ac:dyDescent="0.25">
      <c r="A2054" s="4" t="s">
        <v>21</v>
      </c>
      <c r="B2054" s="4" t="s">
        <v>271</v>
      </c>
      <c r="C2054" s="5">
        <v>39132</v>
      </c>
      <c r="D2054" s="4" t="s">
        <v>33</v>
      </c>
      <c r="E2054" s="4" t="s">
        <v>35</v>
      </c>
      <c r="F2054" s="4" t="s">
        <v>166</v>
      </c>
      <c r="G2054" s="4" t="s">
        <v>26</v>
      </c>
      <c r="H2054" s="4" t="s">
        <v>27</v>
      </c>
      <c r="I2054" s="4" t="s">
        <v>715</v>
      </c>
      <c r="J2054" s="4" t="s">
        <v>638</v>
      </c>
      <c r="K2054" s="5">
        <v>6143286</v>
      </c>
      <c r="L2054" s="5">
        <v>317309</v>
      </c>
      <c r="M2054" s="5">
        <v>19</v>
      </c>
      <c r="N2054" s="5">
        <v>1</v>
      </c>
      <c r="O2054" s="5">
        <v>2</v>
      </c>
      <c r="P2054" s="5"/>
    </row>
    <row r="2055" spans="1:16" x14ac:dyDescent="0.25">
      <c r="A2055" s="4" t="s">
        <v>21</v>
      </c>
      <c r="B2055" s="4" t="s">
        <v>271</v>
      </c>
      <c r="C2055" s="5">
        <v>39227</v>
      </c>
      <c r="D2055" s="4" t="s">
        <v>33</v>
      </c>
      <c r="E2055" s="4" t="s">
        <v>35</v>
      </c>
      <c r="F2055" s="4" t="s">
        <v>35</v>
      </c>
      <c r="G2055" s="4" t="s">
        <v>26</v>
      </c>
      <c r="H2055" s="4" t="s">
        <v>27</v>
      </c>
      <c r="I2055" s="4" t="s">
        <v>715</v>
      </c>
      <c r="J2055" s="4" t="s">
        <v>638</v>
      </c>
      <c r="K2055" s="5">
        <v>6134663</v>
      </c>
      <c r="L2055" s="5">
        <v>311784</v>
      </c>
      <c r="M2055" s="5">
        <v>19</v>
      </c>
      <c r="N2055" s="5">
        <v>1</v>
      </c>
      <c r="O2055" s="5">
        <v>5.5</v>
      </c>
      <c r="P2055" s="5"/>
    </row>
    <row r="2056" spans="1:16" x14ac:dyDescent="0.25">
      <c r="A2056" s="4" t="s">
        <v>21</v>
      </c>
      <c r="B2056" s="4" t="s">
        <v>271</v>
      </c>
      <c r="C2056" s="5">
        <v>39231</v>
      </c>
      <c r="D2056" s="4" t="s">
        <v>33</v>
      </c>
      <c r="E2056" s="4" t="s">
        <v>34</v>
      </c>
      <c r="F2056" s="4" t="s">
        <v>167</v>
      </c>
      <c r="G2056" s="4" t="s">
        <v>26</v>
      </c>
      <c r="H2056" s="4" t="s">
        <v>27</v>
      </c>
      <c r="I2056" s="4" t="s">
        <v>715</v>
      </c>
      <c r="J2056" s="4" t="s">
        <v>638</v>
      </c>
      <c r="K2056" s="5">
        <v>6102359</v>
      </c>
      <c r="L2056" s="5">
        <v>289731</v>
      </c>
      <c r="M2056" s="5">
        <v>19</v>
      </c>
      <c r="N2056" s="5">
        <v>1</v>
      </c>
      <c r="O2056" s="5">
        <v>10</v>
      </c>
      <c r="P2056" s="5"/>
    </row>
    <row r="2057" spans="1:16" x14ac:dyDescent="0.25">
      <c r="A2057" s="4" t="s">
        <v>21</v>
      </c>
      <c r="B2057" s="4" t="s">
        <v>271</v>
      </c>
      <c r="C2057" s="5">
        <v>39236</v>
      </c>
      <c r="D2057" s="4" t="s">
        <v>33</v>
      </c>
      <c r="E2057" s="4" t="s">
        <v>43</v>
      </c>
      <c r="F2057" s="4" t="s">
        <v>135</v>
      </c>
      <c r="G2057" s="4" t="s">
        <v>26</v>
      </c>
      <c r="H2057" s="4" t="s">
        <v>27</v>
      </c>
      <c r="I2057" s="4" t="s">
        <v>715</v>
      </c>
      <c r="J2057" s="4" t="s">
        <v>715</v>
      </c>
      <c r="K2057" s="5">
        <v>6066899</v>
      </c>
      <c r="L2057" s="5">
        <v>286695</v>
      </c>
      <c r="M2057" s="5">
        <v>19</v>
      </c>
      <c r="N2057" s="5">
        <v>1</v>
      </c>
      <c r="O2057" s="5">
        <v>4</v>
      </c>
      <c r="P2057" s="5"/>
    </row>
    <row r="2058" spans="1:16" x14ac:dyDescent="0.25">
      <c r="A2058" s="4" t="s">
        <v>21</v>
      </c>
      <c r="B2058" s="4" t="s">
        <v>271</v>
      </c>
      <c r="C2058" s="5">
        <v>39238</v>
      </c>
      <c r="D2058" s="4" t="s">
        <v>33</v>
      </c>
      <c r="E2058" s="4" t="s">
        <v>70</v>
      </c>
      <c r="F2058" s="4" t="s">
        <v>606</v>
      </c>
      <c r="G2058" s="4" t="s">
        <v>26</v>
      </c>
      <c r="H2058" s="4" t="s">
        <v>27</v>
      </c>
      <c r="I2058" s="4" t="s">
        <v>715</v>
      </c>
      <c r="J2058" s="4" t="s">
        <v>715</v>
      </c>
      <c r="K2058" s="5">
        <v>6010590</v>
      </c>
      <c r="L2058" s="5">
        <v>270688</v>
      </c>
      <c r="M2058" s="5">
        <v>19</v>
      </c>
      <c r="N2058" s="5">
        <v>8</v>
      </c>
      <c r="O2058" s="5">
        <v>75.58</v>
      </c>
      <c r="P2058" s="5"/>
    </row>
    <row r="2059" spans="1:16" x14ac:dyDescent="0.25">
      <c r="A2059" s="4" t="s">
        <v>21</v>
      </c>
      <c r="B2059" s="4" t="s">
        <v>271</v>
      </c>
      <c r="C2059" s="5">
        <v>39242</v>
      </c>
      <c r="D2059" s="4" t="s">
        <v>33</v>
      </c>
      <c r="E2059" s="4" t="s">
        <v>43</v>
      </c>
      <c r="F2059" s="4" t="s">
        <v>607</v>
      </c>
      <c r="G2059" s="4" t="s">
        <v>26</v>
      </c>
      <c r="H2059" s="4" t="s">
        <v>27</v>
      </c>
      <c r="I2059" s="4" t="s">
        <v>715</v>
      </c>
      <c r="J2059" s="4" t="s">
        <v>715</v>
      </c>
      <c r="K2059" s="5">
        <v>6071093</v>
      </c>
      <c r="L2059" s="5">
        <v>286743</v>
      </c>
      <c r="M2059" s="5">
        <v>19</v>
      </c>
      <c r="N2059" s="5">
        <v>5</v>
      </c>
      <c r="O2059" s="5">
        <v>38.4</v>
      </c>
      <c r="P2059" s="5"/>
    </row>
    <row r="2060" spans="1:16" x14ac:dyDescent="0.25">
      <c r="A2060" s="4" t="s">
        <v>21</v>
      </c>
      <c r="B2060" s="4" t="s">
        <v>271</v>
      </c>
      <c r="C2060" s="5">
        <v>39247</v>
      </c>
      <c r="D2060" s="4" t="s">
        <v>33</v>
      </c>
      <c r="E2060" s="4" t="s">
        <v>35</v>
      </c>
      <c r="F2060" s="4" t="s">
        <v>35</v>
      </c>
      <c r="G2060" s="4" t="s">
        <v>26</v>
      </c>
      <c r="H2060" s="4" t="s">
        <v>27</v>
      </c>
      <c r="I2060" s="4" t="s">
        <v>715</v>
      </c>
      <c r="J2060" s="4" t="s">
        <v>715</v>
      </c>
      <c r="K2060" s="5">
        <v>6133472</v>
      </c>
      <c r="L2060" s="5">
        <v>313813</v>
      </c>
      <c r="M2060" s="5">
        <v>19</v>
      </c>
      <c r="N2060" s="5">
        <v>6</v>
      </c>
      <c r="O2060" s="5">
        <v>17</v>
      </c>
      <c r="P2060" s="5"/>
    </row>
    <row r="2061" spans="1:16" x14ac:dyDescent="0.25">
      <c r="A2061" s="4" t="s">
        <v>21</v>
      </c>
      <c r="B2061" s="4" t="s">
        <v>271</v>
      </c>
      <c r="C2061" s="5">
        <v>39251</v>
      </c>
      <c r="D2061" s="4" t="s">
        <v>33</v>
      </c>
      <c r="E2061" s="4" t="s">
        <v>137</v>
      </c>
      <c r="F2061" s="4" t="s">
        <v>608</v>
      </c>
      <c r="G2061" s="4" t="s">
        <v>26</v>
      </c>
      <c r="H2061" s="4" t="s">
        <v>27</v>
      </c>
      <c r="I2061" s="4" t="s">
        <v>715</v>
      </c>
      <c r="J2061" s="4" t="s">
        <v>715</v>
      </c>
      <c r="K2061" s="5">
        <v>6037455</v>
      </c>
      <c r="L2061" s="5">
        <v>276986</v>
      </c>
      <c r="M2061" s="5">
        <v>19</v>
      </c>
      <c r="N2061" s="5">
        <v>4</v>
      </c>
      <c r="O2061" s="5">
        <v>60</v>
      </c>
      <c r="P2061" s="5"/>
    </row>
    <row r="2062" spans="1:16" x14ac:dyDescent="0.25">
      <c r="A2062" s="4" t="s">
        <v>21</v>
      </c>
      <c r="B2062" s="4" t="s">
        <v>271</v>
      </c>
      <c r="C2062" s="5">
        <v>39258</v>
      </c>
      <c r="D2062" s="4" t="s">
        <v>33</v>
      </c>
      <c r="E2062" s="4" t="s">
        <v>35</v>
      </c>
      <c r="F2062" s="4" t="s">
        <v>35</v>
      </c>
      <c r="G2062" s="4" t="s">
        <v>26</v>
      </c>
      <c r="H2062" s="4" t="s">
        <v>27</v>
      </c>
      <c r="I2062" s="4" t="s">
        <v>715</v>
      </c>
      <c r="J2062" s="4" t="s">
        <v>638</v>
      </c>
      <c r="K2062" s="5">
        <v>6134489</v>
      </c>
      <c r="L2062" s="5">
        <v>311873</v>
      </c>
      <c r="M2062" s="5">
        <v>19</v>
      </c>
      <c r="N2062" s="5">
        <v>1</v>
      </c>
      <c r="O2062" s="5">
        <v>5.3</v>
      </c>
      <c r="P2062" s="5"/>
    </row>
    <row r="2063" spans="1:16" x14ac:dyDescent="0.25">
      <c r="A2063" s="4" t="s">
        <v>21</v>
      </c>
      <c r="B2063" s="4" t="s">
        <v>271</v>
      </c>
      <c r="C2063" s="5">
        <v>39261</v>
      </c>
      <c r="D2063" s="4" t="s">
        <v>33</v>
      </c>
      <c r="E2063" s="4" t="s">
        <v>66</v>
      </c>
      <c r="F2063" s="4" t="s">
        <v>132</v>
      </c>
      <c r="G2063" s="4" t="s">
        <v>26</v>
      </c>
      <c r="H2063" s="4" t="s">
        <v>18</v>
      </c>
      <c r="I2063" s="4" t="s">
        <v>715</v>
      </c>
      <c r="J2063" s="4" t="s">
        <v>715</v>
      </c>
      <c r="K2063" s="5">
        <v>6061793</v>
      </c>
      <c r="L2063" s="5">
        <v>285458</v>
      </c>
      <c r="M2063" s="5">
        <v>19</v>
      </c>
      <c r="N2063" s="5">
        <v>1</v>
      </c>
      <c r="O2063" s="5">
        <v>4</v>
      </c>
      <c r="P2063" s="5"/>
    </row>
    <row r="2064" spans="1:16" x14ac:dyDescent="0.25">
      <c r="A2064" s="4" t="s">
        <v>21</v>
      </c>
      <c r="B2064" s="4" t="s">
        <v>271</v>
      </c>
      <c r="C2064" s="5">
        <v>39263</v>
      </c>
      <c r="D2064" s="4" t="s">
        <v>33</v>
      </c>
      <c r="E2064" s="4" t="s">
        <v>35</v>
      </c>
      <c r="F2064" s="4" t="s">
        <v>34</v>
      </c>
      <c r="G2064" s="4" t="s">
        <v>26</v>
      </c>
      <c r="H2064" s="4" t="s">
        <v>18</v>
      </c>
      <c r="I2064" s="4" t="s">
        <v>715</v>
      </c>
      <c r="J2064" s="4" t="s">
        <v>715</v>
      </c>
      <c r="K2064" s="5">
        <v>6128365</v>
      </c>
      <c r="L2064" s="5">
        <v>321602</v>
      </c>
      <c r="M2064" s="5">
        <v>19</v>
      </c>
      <c r="N2064" s="5">
        <v>1</v>
      </c>
      <c r="O2064" s="5">
        <v>5.7</v>
      </c>
      <c r="P2064" s="5"/>
    </row>
    <row r="2065" spans="1:16" x14ac:dyDescent="0.25">
      <c r="A2065" s="4" t="s">
        <v>21</v>
      </c>
      <c r="B2065" s="4" t="s">
        <v>271</v>
      </c>
      <c r="C2065" s="5">
        <v>39266</v>
      </c>
      <c r="D2065" s="4" t="s">
        <v>33</v>
      </c>
      <c r="E2065" s="4" t="s">
        <v>47</v>
      </c>
      <c r="F2065" s="4" t="s">
        <v>47</v>
      </c>
      <c r="G2065" s="4" t="s">
        <v>26</v>
      </c>
      <c r="H2065" s="4" t="s">
        <v>27</v>
      </c>
      <c r="I2065" s="4" t="s">
        <v>715</v>
      </c>
      <c r="J2065" s="4" t="s">
        <v>638</v>
      </c>
      <c r="K2065" s="5">
        <v>6074657</v>
      </c>
      <c r="L2065" s="5">
        <v>290449</v>
      </c>
      <c r="M2065" s="5">
        <v>19</v>
      </c>
      <c r="N2065" s="5">
        <v>3</v>
      </c>
      <c r="O2065" s="5">
        <v>4.13</v>
      </c>
      <c r="P2065" s="5"/>
    </row>
    <row r="2066" spans="1:16" x14ac:dyDescent="0.25">
      <c r="A2066" s="4" t="s">
        <v>21</v>
      </c>
      <c r="B2066" s="4" t="s">
        <v>271</v>
      </c>
      <c r="C2066" s="5">
        <v>39319</v>
      </c>
      <c r="D2066" s="4" t="s">
        <v>33</v>
      </c>
      <c r="E2066" s="4" t="s">
        <v>43</v>
      </c>
      <c r="F2066" s="4" t="s">
        <v>43</v>
      </c>
      <c r="G2066" s="4" t="s">
        <v>26</v>
      </c>
      <c r="H2066" s="4" t="s">
        <v>27</v>
      </c>
      <c r="I2066" s="4" t="s">
        <v>715</v>
      </c>
      <c r="J2066" s="4" t="s">
        <v>715</v>
      </c>
      <c r="K2066" s="5">
        <v>6072170</v>
      </c>
      <c r="L2066" s="5">
        <v>287174</v>
      </c>
      <c r="M2066" s="5">
        <v>19</v>
      </c>
      <c r="N2066" s="5">
        <v>7</v>
      </c>
      <c r="O2066" s="5">
        <v>22.1</v>
      </c>
      <c r="P2066" s="5"/>
    </row>
    <row r="2067" spans="1:16" x14ac:dyDescent="0.25">
      <c r="A2067" s="4" t="s">
        <v>21</v>
      </c>
      <c r="B2067" s="4" t="s">
        <v>271</v>
      </c>
      <c r="C2067" s="5">
        <v>39324</v>
      </c>
      <c r="D2067" s="4" t="s">
        <v>33</v>
      </c>
      <c r="E2067" s="4" t="s">
        <v>34</v>
      </c>
      <c r="F2067" s="4" t="s">
        <v>251</v>
      </c>
      <c r="G2067" s="4" t="s">
        <v>26</v>
      </c>
      <c r="H2067" s="4" t="s">
        <v>18</v>
      </c>
      <c r="I2067" s="4" t="s">
        <v>715</v>
      </c>
      <c r="J2067" s="4" t="s">
        <v>715</v>
      </c>
      <c r="K2067" s="5">
        <v>6104183</v>
      </c>
      <c r="L2067" s="5">
        <v>307247</v>
      </c>
      <c r="M2067" s="5">
        <v>19</v>
      </c>
      <c r="N2067" s="5">
        <v>2</v>
      </c>
      <c r="O2067" s="5">
        <v>2.1</v>
      </c>
      <c r="P2067" s="5"/>
    </row>
    <row r="2068" spans="1:16" x14ac:dyDescent="0.25">
      <c r="A2068" s="4" t="s">
        <v>21</v>
      </c>
      <c r="B2068" s="4" t="s">
        <v>271</v>
      </c>
      <c r="C2068" s="5">
        <v>39327</v>
      </c>
      <c r="D2068" s="4" t="s">
        <v>33</v>
      </c>
      <c r="E2068" s="4" t="s">
        <v>35</v>
      </c>
      <c r="F2068" s="4" t="s">
        <v>583</v>
      </c>
      <c r="G2068" s="4" t="s">
        <v>26</v>
      </c>
      <c r="H2068" s="4" t="s">
        <v>18</v>
      </c>
      <c r="I2068" s="4" t="s">
        <v>715</v>
      </c>
      <c r="J2068" s="4" t="s">
        <v>715</v>
      </c>
      <c r="K2068" s="5">
        <v>6137795</v>
      </c>
      <c r="L2068" s="5">
        <v>316036</v>
      </c>
      <c r="M2068" s="5">
        <v>19</v>
      </c>
      <c r="N2068" s="5">
        <v>1</v>
      </c>
      <c r="O2068" s="5">
        <v>2</v>
      </c>
      <c r="P2068" s="5"/>
    </row>
    <row r="2069" spans="1:16" x14ac:dyDescent="0.25">
      <c r="A2069" s="4" t="s">
        <v>21</v>
      </c>
      <c r="B2069" s="4" t="s">
        <v>271</v>
      </c>
      <c r="C2069" s="5">
        <v>39332</v>
      </c>
      <c r="D2069" s="4" t="s">
        <v>37</v>
      </c>
      <c r="E2069" s="4" t="s">
        <v>589</v>
      </c>
      <c r="F2069" s="4" t="s">
        <v>609</v>
      </c>
      <c r="G2069" s="4" t="s">
        <v>26</v>
      </c>
      <c r="H2069" s="4" t="s">
        <v>27</v>
      </c>
      <c r="I2069" s="4" t="s">
        <v>715</v>
      </c>
      <c r="J2069" s="4" t="s">
        <v>638</v>
      </c>
      <c r="K2069" s="5">
        <v>6149434</v>
      </c>
      <c r="L2069" s="5">
        <v>303421</v>
      </c>
      <c r="M2069" s="5">
        <v>19</v>
      </c>
      <c r="N2069" s="5">
        <v>6</v>
      </c>
      <c r="O2069" s="5">
        <v>68</v>
      </c>
      <c r="P2069" s="5"/>
    </row>
    <row r="2070" spans="1:16" x14ac:dyDescent="0.25">
      <c r="A2070" s="4" t="s">
        <v>21</v>
      </c>
      <c r="B2070" s="4" t="s">
        <v>271</v>
      </c>
      <c r="C2070" s="5">
        <v>39337</v>
      </c>
      <c r="D2070" s="4" t="s">
        <v>37</v>
      </c>
      <c r="E2070" s="4" t="s">
        <v>73</v>
      </c>
      <c r="F2070" s="4" t="s">
        <v>73</v>
      </c>
      <c r="G2070" s="4" t="s">
        <v>26</v>
      </c>
      <c r="H2070" s="4" t="s">
        <v>18</v>
      </c>
      <c r="I2070" s="4" t="s">
        <v>715</v>
      </c>
      <c r="J2070" s="4" t="s">
        <v>715</v>
      </c>
      <c r="K2070" s="5">
        <v>6142827</v>
      </c>
      <c r="L2070" s="5">
        <v>315365</v>
      </c>
      <c r="M2070" s="5">
        <v>19</v>
      </c>
      <c r="N2070" s="5">
        <v>1</v>
      </c>
      <c r="O2070" s="5">
        <v>2.4</v>
      </c>
      <c r="P2070" s="5"/>
    </row>
    <row r="2071" spans="1:16" x14ac:dyDescent="0.25">
      <c r="A2071" s="4" t="s">
        <v>54</v>
      </c>
      <c r="B2071" s="4" t="s">
        <v>271</v>
      </c>
      <c r="C2071" s="5">
        <v>39351</v>
      </c>
      <c r="D2071" s="4" t="s">
        <v>37</v>
      </c>
      <c r="E2071" s="4" t="s">
        <v>84</v>
      </c>
      <c r="F2071" s="4" t="s">
        <v>610</v>
      </c>
      <c r="G2071" s="4" t="s">
        <v>26</v>
      </c>
      <c r="H2071" s="4" t="s">
        <v>641</v>
      </c>
      <c r="I2071" s="4" t="s">
        <v>715</v>
      </c>
      <c r="J2071" s="4" t="s">
        <v>715</v>
      </c>
      <c r="K2071" s="5">
        <v>6166606</v>
      </c>
      <c r="L2071" s="5">
        <v>311430</v>
      </c>
      <c r="M2071" s="5">
        <v>19</v>
      </c>
      <c r="N2071" s="5">
        <v>1</v>
      </c>
      <c r="O2071" s="5">
        <v>0.9</v>
      </c>
      <c r="P2071" s="5"/>
    </row>
    <row r="2072" spans="1:16" x14ac:dyDescent="0.25">
      <c r="A2072" s="4" t="s">
        <v>21</v>
      </c>
      <c r="B2072" s="4" t="s">
        <v>271</v>
      </c>
      <c r="C2072" s="5">
        <v>39367</v>
      </c>
      <c r="D2072" s="4" t="s">
        <v>33</v>
      </c>
      <c r="E2072" s="4" t="s">
        <v>43</v>
      </c>
      <c r="F2072" s="4" t="s">
        <v>330</v>
      </c>
      <c r="G2072" s="4" t="s">
        <v>26</v>
      </c>
      <c r="H2072" s="4" t="s">
        <v>27</v>
      </c>
      <c r="I2072" s="4" t="s">
        <v>715</v>
      </c>
      <c r="J2072" s="4" t="s">
        <v>638</v>
      </c>
      <c r="K2072" s="5">
        <v>6070750</v>
      </c>
      <c r="L2072" s="5">
        <v>268951</v>
      </c>
      <c r="M2072" s="5">
        <v>19</v>
      </c>
      <c r="N2072" s="5">
        <v>1</v>
      </c>
      <c r="O2072" s="5">
        <v>2.79</v>
      </c>
      <c r="P2072" s="5"/>
    </row>
    <row r="2073" spans="1:16" x14ac:dyDescent="0.25">
      <c r="A2073" s="4" t="s">
        <v>13</v>
      </c>
      <c r="B2073" s="4" t="s">
        <v>271</v>
      </c>
      <c r="C2073" s="5">
        <v>39405</v>
      </c>
      <c r="D2073" s="4" t="s">
        <v>37</v>
      </c>
      <c r="E2073" s="4" t="s">
        <v>399</v>
      </c>
      <c r="F2073" s="4" t="s">
        <v>604</v>
      </c>
      <c r="G2073" s="4" t="s">
        <v>26</v>
      </c>
      <c r="H2073" s="4" t="s">
        <v>27</v>
      </c>
      <c r="I2073" s="4" t="s">
        <v>715</v>
      </c>
      <c r="J2073" s="4" t="s">
        <v>715</v>
      </c>
      <c r="K2073" s="5">
        <v>6161337</v>
      </c>
      <c r="L2073" s="5">
        <v>293923</v>
      </c>
      <c r="M2073" s="5">
        <v>19</v>
      </c>
      <c r="N2073" s="5">
        <v>2</v>
      </c>
      <c r="O2073" s="5">
        <v>19.3</v>
      </c>
      <c r="P2073" s="5"/>
    </row>
    <row r="2074" spans="1:16" x14ac:dyDescent="0.25">
      <c r="A2074" s="4" t="s">
        <v>21</v>
      </c>
      <c r="B2074" s="4" t="s">
        <v>271</v>
      </c>
      <c r="C2074" s="5">
        <v>39436</v>
      </c>
      <c r="D2074" s="4" t="s">
        <v>33</v>
      </c>
      <c r="E2074" s="4" t="s">
        <v>66</v>
      </c>
      <c r="F2074" s="4" t="s">
        <v>172</v>
      </c>
      <c r="G2074" s="4" t="s">
        <v>26</v>
      </c>
      <c r="H2074" s="4" t="s">
        <v>27</v>
      </c>
      <c r="I2074" s="4" t="s">
        <v>715</v>
      </c>
      <c r="J2074" s="4" t="s">
        <v>638</v>
      </c>
      <c r="K2074" s="5">
        <v>6060087</v>
      </c>
      <c r="L2074" s="5">
        <v>276735</v>
      </c>
      <c r="M2074" s="5">
        <v>19</v>
      </c>
      <c r="N2074" s="5">
        <v>1</v>
      </c>
      <c r="O2074" s="5">
        <v>7.1</v>
      </c>
      <c r="P2074" s="5"/>
    </row>
    <row r="2075" spans="1:16" x14ac:dyDescent="0.25">
      <c r="A2075" s="4" t="s">
        <v>21</v>
      </c>
      <c r="B2075" s="4" t="s">
        <v>271</v>
      </c>
      <c r="C2075" s="5">
        <v>39440</v>
      </c>
      <c r="D2075" s="4" t="s">
        <v>33</v>
      </c>
      <c r="E2075" s="4" t="s">
        <v>43</v>
      </c>
      <c r="F2075" s="4" t="s">
        <v>172</v>
      </c>
      <c r="G2075" s="4" t="s">
        <v>26</v>
      </c>
      <c r="H2075" s="4" t="s">
        <v>27</v>
      </c>
      <c r="I2075" s="4" t="s">
        <v>715</v>
      </c>
      <c r="J2075" s="4" t="s">
        <v>638</v>
      </c>
      <c r="K2075" s="5">
        <v>6059968</v>
      </c>
      <c r="L2075" s="5">
        <v>276534</v>
      </c>
      <c r="M2075" s="5">
        <v>19</v>
      </c>
      <c r="N2075" s="5">
        <v>1</v>
      </c>
      <c r="O2075" s="5">
        <v>2.5</v>
      </c>
      <c r="P2075" s="5"/>
    </row>
    <row r="2076" spans="1:16" x14ac:dyDescent="0.25">
      <c r="A2076" s="4" t="s">
        <v>21</v>
      </c>
      <c r="B2076" s="4" t="s">
        <v>271</v>
      </c>
      <c r="C2076" s="5">
        <v>39529</v>
      </c>
      <c r="D2076" s="4" t="s">
        <v>33</v>
      </c>
      <c r="E2076" s="4" t="s">
        <v>118</v>
      </c>
      <c r="F2076" s="4" t="s">
        <v>118</v>
      </c>
      <c r="G2076" s="4" t="s">
        <v>26</v>
      </c>
      <c r="H2076" s="4" t="s">
        <v>27</v>
      </c>
      <c r="I2076" s="4" t="s">
        <v>715</v>
      </c>
      <c r="J2076" s="4" t="s">
        <v>715</v>
      </c>
      <c r="K2076" s="5">
        <v>6035495</v>
      </c>
      <c r="L2076" s="5">
        <v>262923</v>
      </c>
      <c r="M2076" s="5">
        <v>19</v>
      </c>
      <c r="N2076" s="5">
        <v>10</v>
      </c>
      <c r="O2076" s="5">
        <v>64</v>
      </c>
      <c r="P2076" s="5"/>
    </row>
    <row r="2077" spans="1:16" x14ac:dyDescent="0.25">
      <c r="A2077" s="4" t="s">
        <v>21</v>
      </c>
      <c r="B2077" s="4" t="s">
        <v>271</v>
      </c>
      <c r="C2077" s="5">
        <v>39569</v>
      </c>
      <c r="D2077" s="4" t="s">
        <v>33</v>
      </c>
      <c r="E2077" s="4" t="s">
        <v>34</v>
      </c>
      <c r="F2077" s="4" t="s">
        <v>611</v>
      </c>
      <c r="G2077" s="4" t="s">
        <v>26</v>
      </c>
      <c r="H2077" s="4" t="s">
        <v>18</v>
      </c>
      <c r="I2077" s="4" t="s">
        <v>715</v>
      </c>
      <c r="J2077" s="4" t="s">
        <v>715</v>
      </c>
      <c r="K2077" s="5">
        <v>6114100</v>
      </c>
      <c r="L2077" s="5">
        <v>309324</v>
      </c>
      <c r="M2077" s="5">
        <v>19</v>
      </c>
      <c r="N2077" s="5">
        <v>1</v>
      </c>
      <c r="O2077" s="5">
        <v>2</v>
      </c>
      <c r="P2077" s="5"/>
    </row>
    <row r="2078" spans="1:16" x14ac:dyDescent="0.25">
      <c r="A2078" s="4" t="s">
        <v>21</v>
      </c>
      <c r="B2078" s="4" t="s">
        <v>271</v>
      </c>
      <c r="C2078" s="5">
        <v>39639</v>
      </c>
      <c r="D2078" s="4" t="s">
        <v>33</v>
      </c>
      <c r="E2078" s="4" t="s">
        <v>43</v>
      </c>
      <c r="F2078" s="4" t="s">
        <v>43</v>
      </c>
      <c r="G2078" s="4" t="s">
        <v>26</v>
      </c>
      <c r="H2078" s="4" t="s">
        <v>27</v>
      </c>
      <c r="I2078" s="4" t="s">
        <v>715</v>
      </c>
      <c r="J2078" s="4" t="s">
        <v>715</v>
      </c>
      <c r="K2078" s="5">
        <v>6058317</v>
      </c>
      <c r="L2078" s="5">
        <v>285740</v>
      </c>
      <c r="M2078" s="5">
        <v>19</v>
      </c>
      <c r="N2078" s="5">
        <v>2</v>
      </c>
      <c r="O2078" s="5">
        <v>6</v>
      </c>
      <c r="P2078" s="5"/>
    </row>
    <row r="2079" spans="1:16" x14ac:dyDescent="0.25">
      <c r="A2079" s="4" t="s">
        <v>21</v>
      </c>
      <c r="B2079" s="4" t="s">
        <v>271</v>
      </c>
      <c r="C2079" s="5">
        <v>39656</v>
      </c>
      <c r="D2079" s="4" t="s">
        <v>33</v>
      </c>
      <c r="E2079" s="4" t="s">
        <v>43</v>
      </c>
      <c r="F2079" s="4" t="s">
        <v>43</v>
      </c>
      <c r="G2079" s="4" t="s">
        <v>26</v>
      </c>
      <c r="H2079" s="4" t="s">
        <v>27</v>
      </c>
      <c r="I2079" s="4" t="s">
        <v>715</v>
      </c>
      <c r="J2079" s="4" t="s">
        <v>715</v>
      </c>
      <c r="K2079" s="5">
        <v>6060832</v>
      </c>
      <c r="L2079" s="5">
        <v>287008</v>
      </c>
      <c r="M2079" s="5">
        <v>19</v>
      </c>
      <c r="N2079" s="5">
        <v>1</v>
      </c>
      <c r="O2079" s="5">
        <v>10.4</v>
      </c>
      <c r="P2079" s="5"/>
    </row>
    <row r="2080" spans="1:16" x14ac:dyDescent="0.25">
      <c r="A2080" s="4" t="s">
        <v>21</v>
      </c>
      <c r="B2080" s="4" t="s">
        <v>271</v>
      </c>
      <c r="C2080" s="5">
        <v>39738</v>
      </c>
      <c r="D2080" s="4" t="s">
        <v>33</v>
      </c>
      <c r="E2080" s="4" t="s">
        <v>43</v>
      </c>
      <c r="F2080" s="4" t="s">
        <v>43</v>
      </c>
      <c r="G2080" s="4" t="s">
        <v>26</v>
      </c>
      <c r="H2080" s="4" t="s">
        <v>27</v>
      </c>
      <c r="I2080" s="4" t="s">
        <v>715</v>
      </c>
      <c r="J2080" s="4" t="s">
        <v>638</v>
      </c>
      <c r="K2080" s="5">
        <v>6073135</v>
      </c>
      <c r="L2080" s="5">
        <v>287191</v>
      </c>
      <c r="M2080" s="5">
        <v>19</v>
      </c>
      <c r="N2080" s="5">
        <v>1</v>
      </c>
      <c r="O2080" s="5">
        <v>2</v>
      </c>
      <c r="P2080" s="5"/>
    </row>
    <row r="2081" spans="1:16" x14ac:dyDescent="0.25">
      <c r="A2081" s="4" t="s">
        <v>21</v>
      </c>
      <c r="B2081" s="4" t="s">
        <v>271</v>
      </c>
      <c r="C2081" s="5">
        <v>39767</v>
      </c>
      <c r="D2081" s="4" t="s">
        <v>33</v>
      </c>
      <c r="E2081" s="4" t="s">
        <v>34</v>
      </c>
      <c r="F2081" s="4" t="s">
        <v>34</v>
      </c>
      <c r="G2081" s="4" t="s">
        <v>26</v>
      </c>
      <c r="H2081" s="4" t="s">
        <v>27</v>
      </c>
      <c r="I2081" s="4" t="s">
        <v>715</v>
      </c>
      <c r="J2081" s="4" t="s">
        <v>715</v>
      </c>
      <c r="K2081" s="5">
        <v>6119745</v>
      </c>
      <c r="L2081" s="5">
        <v>304744</v>
      </c>
      <c r="M2081" s="5">
        <v>19</v>
      </c>
      <c r="N2081" s="5">
        <v>1</v>
      </c>
      <c r="O2081" s="5">
        <v>25</v>
      </c>
      <c r="P2081" s="5"/>
    </row>
    <row r="2082" spans="1:16" x14ac:dyDescent="0.25">
      <c r="A2082" s="4" t="s">
        <v>54</v>
      </c>
      <c r="B2082" s="4" t="s">
        <v>271</v>
      </c>
      <c r="C2082" s="5">
        <v>39787</v>
      </c>
      <c r="D2082" s="4" t="s">
        <v>474</v>
      </c>
      <c r="E2082" s="4" t="s">
        <v>475</v>
      </c>
      <c r="F2082" s="4" t="s">
        <v>476</v>
      </c>
      <c r="G2082" s="4" t="s">
        <v>26</v>
      </c>
      <c r="H2082" s="4" t="s">
        <v>641</v>
      </c>
      <c r="I2082" s="4" t="s">
        <v>715</v>
      </c>
      <c r="J2082" s="4" t="s">
        <v>715</v>
      </c>
      <c r="K2082" s="5">
        <v>7953831</v>
      </c>
      <c r="L2082" s="5">
        <v>371060</v>
      </c>
      <c r="M2082" s="5">
        <v>19</v>
      </c>
      <c r="N2082" s="5">
        <v>1</v>
      </c>
      <c r="O2082" s="5">
        <v>0.02</v>
      </c>
      <c r="P2082" s="5"/>
    </row>
    <row r="2083" spans="1:16" x14ac:dyDescent="0.25">
      <c r="A2083" s="4" t="s">
        <v>54</v>
      </c>
      <c r="B2083" s="4" t="s">
        <v>271</v>
      </c>
      <c r="C2083" s="5">
        <v>39893</v>
      </c>
      <c r="D2083" s="4" t="s">
        <v>474</v>
      </c>
      <c r="E2083" s="4" t="s">
        <v>475</v>
      </c>
      <c r="F2083" s="4" t="s">
        <v>476</v>
      </c>
      <c r="G2083" s="4" t="s">
        <v>26</v>
      </c>
      <c r="H2083" s="4" t="s">
        <v>641</v>
      </c>
      <c r="I2083" s="4" t="s">
        <v>715</v>
      </c>
      <c r="J2083" s="4" t="s">
        <v>715</v>
      </c>
      <c r="K2083" s="5">
        <v>7953809</v>
      </c>
      <c r="L2083" s="5">
        <v>370982</v>
      </c>
      <c r="M2083" s="5">
        <v>19</v>
      </c>
      <c r="N2083" s="5">
        <v>1</v>
      </c>
      <c r="O2083" s="5">
        <v>0.08</v>
      </c>
      <c r="P2083" s="5"/>
    </row>
    <row r="2084" spans="1:16" x14ac:dyDescent="0.25">
      <c r="A2084" s="4" t="s">
        <v>21</v>
      </c>
      <c r="B2084" s="4" t="s">
        <v>612</v>
      </c>
      <c r="C2084" s="5">
        <v>36144</v>
      </c>
      <c r="D2084" s="4" t="s">
        <v>33</v>
      </c>
      <c r="E2084" s="4" t="s">
        <v>43</v>
      </c>
      <c r="F2084" s="4" t="s">
        <v>613</v>
      </c>
      <c r="G2084" s="4" t="s">
        <v>26</v>
      </c>
      <c r="H2084" s="4" t="s">
        <v>27</v>
      </c>
      <c r="I2084" s="4" t="s">
        <v>715</v>
      </c>
      <c r="J2084" s="4" t="s">
        <v>715</v>
      </c>
      <c r="K2084" s="5">
        <v>6060867</v>
      </c>
      <c r="L2084" s="5">
        <v>270593</v>
      </c>
      <c r="M2084" s="5">
        <v>19</v>
      </c>
      <c r="N2084" s="5">
        <v>1</v>
      </c>
      <c r="O2084" s="5">
        <v>25.5</v>
      </c>
      <c r="P2084" s="5"/>
    </row>
    <row r="2085" spans="1:16" x14ac:dyDescent="0.25">
      <c r="A2085" s="4" t="s">
        <v>21</v>
      </c>
      <c r="B2085" s="4" t="s">
        <v>612</v>
      </c>
      <c r="C2085" s="5">
        <v>36264</v>
      </c>
      <c r="D2085" s="4" t="s">
        <v>33</v>
      </c>
      <c r="E2085" s="4" t="s">
        <v>43</v>
      </c>
      <c r="F2085" s="4" t="s">
        <v>260</v>
      </c>
      <c r="G2085" s="4" t="s">
        <v>26</v>
      </c>
      <c r="H2085" s="4" t="s">
        <v>27</v>
      </c>
      <c r="I2085" s="4" t="s">
        <v>715</v>
      </c>
      <c r="J2085" s="4" t="s">
        <v>638</v>
      </c>
      <c r="K2085" s="5">
        <v>6059640</v>
      </c>
      <c r="L2085" s="5">
        <v>274993</v>
      </c>
      <c r="M2085" s="5">
        <v>19</v>
      </c>
      <c r="N2085" s="5">
        <v>1</v>
      </c>
      <c r="O2085" s="5">
        <v>9.5</v>
      </c>
      <c r="P2085" s="5"/>
    </row>
    <row r="2086" spans="1:16" x14ac:dyDescent="0.25">
      <c r="A2086" s="4" t="s">
        <v>21</v>
      </c>
      <c r="B2086" s="4" t="s">
        <v>612</v>
      </c>
      <c r="C2086" s="5">
        <v>36346</v>
      </c>
      <c r="D2086" s="4" t="s">
        <v>33</v>
      </c>
      <c r="E2086" s="4" t="s">
        <v>70</v>
      </c>
      <c r="F2086" s="4" t="s">
        <v>329</v>
      </c>
      <c r="G2086" s="4" t="s">
        <v>26</v>
      </c>
      <c r="H2086" s="4" t="s">
        <v>27</v>
      </c>
      <c r="I2086" s="4" t="s">
        <v>715</v>
      </c>
      <c r="J2086" s="4" t="s">
        <v>638</v>
      </c>
      <c r="K2086" s="5">
        <v>6025681</v>
      </c>
      <c r="L2086" s="5">
        <v>259485</v>
      </c>
      <c r="M2086" s="5">
        <v>19</v>
      </c>
      <c r="N2086" s="5">
        <v>1</v>
      </c>
      <c r="O2086" s="5">
        <v>39.840000000000003</v>
      </c>
      <c r="P2086" s="5"/>
    </row>
    <row r="2087" spans="1:16" x14ac:dyDescent="0.25">
      <c r="A2087" s="4" t="s">
        <v>21</v>
      </c>
      <c r="B2087" s="4" t="s">
        <v>612</v>
      </c>
      <c r="C2087" s="5">
        <v>36356</v>
      </c>
      <c r="D2087" s="4" t="s">
        <v>33</v>
      </c>
      <c r="E2087" s="4" t="s">
        <v>43</v>
      </c>
      <c r="F2087" s="4" t="s">
        <v>614</v>
      </c>
      <c r="G2087" s="4" t="s">
        <v>26</v>
      </c>
      <c r="H2087" s="4" t="s">
        <v>27</v>
      </c>
      <c r="I2087" s="4" t="s">
        <v>638</v>
      </c>
      <c r="J2087" s="4" t="s">
        <v>715</v>
      </c>
      <c r="K2087" s="5">
        <v>6064623</v>
      </c>
      <c r="L2087" s="5">
        <v>278283</v>
      </c>
      <c r="M2087" s="5">
        <v>19</v>
      </c>
      <c r="N2087" s="5">
        <v>1</v>
      </c>
      <c r="O2087" s="5">
        <v>23.9</v>
      </c>
      <c r="P2087" s="5"/>
    </row>
    <row r="2088" spans="1:16" x14ac:dyDescent="0.25">
      <c r="A2088" s="4" t="s">
        <v>21</v>
      </c>
      <c r="B2088" s="4" t="s">
        <v>612</v>
      </c>
      <c r="C2088" s="5">
        <v>36358</v>
      </c>
      <c r="D2088" s="4" t="s">
        <v>33</v>
      </c>
      <c r="E2088" s="4" t="s">
        <v>43</v>
      </c>
      <c r="F2088" s="4" t="s">
        <v>615</v>
      </c>
      <c r="G2088" s="4" t="s">
        <v>26</v>
      </c>
      <c r="H2088" s="4" t="s">
        <v>27</v>
      </c>
      <c r="I2088" s="4" t="s">
        <v>715</v>
      </c>
      <c r="J2088" s="4" t="s">
        <v>715</v>
      </c>
      <c r="K2088" s="5">
        <v>6062378</v>
      </c>
      <c r="L2088" s="5">
        <v>278822</v>
      </c>
      <c r="M2088" s="5">
        <v>19</v>
      </c>
      <c r="N2088" s="5">
        <v>5</v>
      </c>
      <c r="O2088" s="5">
        <v>94.5</v>
      </c>
      <c r="P2088" s="5"/>
    </row>
    <row r="2089" spans="1:16" x14ac:dyDescent="0.25">
      <c r="A2089" s="4" t="s">
        <v>21</v>
      </c>
      <c r="B2089" s="4" t="s">
        <v>612</v>
      </c>
      <c r="C2089" s="5">
        <v>36691</v>
      </c>
      <c r="D2089" s="4" t="s">
        <v>33</v>
      </c>
      <c r="E2089" s="4" t="s">
        <v>43</v>
      </c>
      <c r="F2089" s="4" t="s">
        <v>616</v>
      </c>
      <c r="G2089" s="4" t="s">
        <v>26</v>
      </c>
      <c r="H2089" s="4" t="s">
        <v>27</v>
      </c>
      <c r="I2089" s="4" t="s">
        <v>638</v>
      </c>
      <c r="J2089" s="4" t="s">
        <v>715</v>
      </c>
      <c r="K2089" s="5">
        <v>6066837</v>
      </c>
      <c r="L2089" s="5">
        <v>271753</v>
      </c>
      <c r="M2089" s="5">
        <v>19</v>
      </c>
      <c r="N2089" s="5">
        <v>1</v>
      </c>
      <c r="O2089" s="5">
        <v>4</v>
      </c>
      <c r="P2089" s="5"/>
    </row>
    <row r="2090" spans="1:16" x14ac:dyDescent="0.25">
      <c r="A2090" s="4" t="s">
        <v>21</v>
      </c>
      <c r="B2090" s="4" t="s">
        <v>612</v>
      </c>
      <c r="C2090" s="5">
        <v>36953</v>
      </c>
      <c r="D2090" s="4" t="s">
        <v>37</v>
      </c>
      <c r="E2090" s="4" t="s">
        <v>169</v>
      </c>
      <c r="F2090" s="4" t="s">
        <v>168</v>
      </c>
      <c r="G2090" s="4" t="s">
        <v>26</v>
      </c>
      <c r="H2090" s="4" t="s">
        <v>27</v>
      </c>
      <c r="I2090" s="4" t="s">
        <v>715</v>
      </c>
      <c r="J2090" s="4" t="s">
        <v>638</v>
      </c>
      <c r="K2090" s="5">
        <v>6221072</v>
      </c>
      <c r="L2090" s="5">
        <v>333683</v>
      </c>
      <c r="M2090" s="5">
        <v>19</v>
      </c>
      <c r="N2090" s="5">
        <v>1</v>
      </c>
      <c r="O2090" s="5">
        <v>52</v>
      </c>
      <c r="P2090" s="5"/>
    </row>
    <row r="2091" spans="1:16" x14ac:dyDescent="0.25">
      <c r="A2091" s="4" t="s">
        <v>21</v>
      </c>
      <c r="B2091" s="4" t="s">
        <v>612</v>
      </c>
      <c r="C2091" s="5">
        <v>36957</v>
      </c>
      <c r="D2091" s="4" t="s">
        <v>37</v>
      </c>
      <c r="E2091" s="4" t="s">
        <v>40</v>
      </c>
      <c r="F2091" s="4" t="s">
        <v>617</v>
      </c>
      <c r="G2091" s="4" t="s">
        <v>26</v>
      </c>
      <c r="H2091" s="4" t="s">
        <v>27</v>
      </c>
      <c r="I2091" s="4" t="s">
        <v>715</v>
      </c>
      <c r="J2091" s="4" t="s">
        <v>638</v>
      </c>
      <c r="K2091" s="5">
        <v>6213482</v>
      </c>
      <c r="L2091" s="5">
        <v>343967</v>
      </c>
      <c r="M2091" s="5">
        <v>19</v>
      </c>
      <c r="N2091" s="5">
        <v>5</v>
      </c>
      <c r="O2091" s="5">
        <v>39</v>
      </c>
      <c r="P2091" s="5"/>
    </row>
    <row r="2092" spans="1:16" x14ac:dyDescent="0.25">
      <c r="A2092" s="4" t="s">
        <v>13</v>
      </c>
      <c r="B2092" s="4" t="s">
        <v>612</v>
      </c>
      <c r="C2092" s="5">
        <v>36958</v>
      </c>
      <c r="D2092" s="4" t="s">
        <v>37</v>
      </c>
      <c r="E2092" s="4" t="s">
        <v>40</v>
      </c>
      <c r="F2092" s="4" t="s">
        <v>617</v>
      </c>
      <c r="G2092" s="4" t="s">
        <v>26</v>
      </c>
      <c r="H2092" s="4" t="s">
        <v>27</v>
      </c>
      <c r="I2092" s="4" t="s">
        <v>715</v>
      </c>
      <c r="J2092" s="4" t="s">
        <v>638</v>
      </c>
      <c r="K2092" s="5">
        <v>6213886</v>
      </c>
      <c r="L2092" s="5">
        <v>343944</v>
      </c>
      <c r="M2092" s="5">
        <v>19</v>
      </c>
      <c r="N2092" s="5">
        <v>2</v>
      </c>
      <c r="O2092" s="5">
        <v>18.5</v>
      </c>
      <c r="P2092" s="5"/>
    </row>
    <row r="2093" spans="1:16" x14ac:dyDescent="0.25">
      <c r="A2093" s="4" t="s">
        <v>13</v>
      </c>
      <c r="B2093" s="4" t="s">
        <v>612</v>
      </c>
      <c r="C2093" s="5">
        <v>36959</v>
      </c>
      <c r="D2093" s="4" t="s">
        <v>37</v>
      </c>
      <c r="E2093" s="4" t="s">
        <v>40</v>
      </c>
      <c r="F2093" s="4" t="s">
        <v>617</v>
      </c>
      <c r="G2093" s="4" t="s">
        <v>26</v>
      </c>
      <c r="H2093" s="4" t="s">
        <v>27</v>
      </c>
      <c r="I2093" s="4" t="s">
        <v>715</v>
      </c>
      <c r="J2093" s="4" t="s">
        <v>638</v>
      </c>
      <c r="K2093" s="5">
        <v>6213636</v>
      </c>
      <c r="L2093" s="5">
        <v>344342</v>
      </c>
      <c r="M2093" s="5">
        <v>19</v>
      </c>
      <c r="N2093" s="5">
        <v>2</v>
      </c>
      <c r="O2093" s="5">
        <v>18</v>
      </c>
      <c r="P2093" s="5"/>
    </row>
    <row r="2094" spans="1:16" x14ac:dyDescent="0.25">
      <c r="A2094" s="4" t="s">
        <v>21</v>
      </c>
      <c r="B2094" s="4" t="s">
        <v>612</v>
      </c>
      <c r="C2094" s="5">
        <v>36961</v>
      </c>
      <c r="D2094" s="4" t="s">
        <v>37</v>
      </c>
      <c r="E2094" s="4" t="s">
        <v>169</v>
      </c>
      <c r="F2094" s="4" t="s">
        <v>169</v>
      </c>
      <c r="G2094" s="4" t="s">
        <v>26</v>
      </c>
      <c r="H2094" s="4" t="s">
        <v>27</v>
      </c>
      <c r="I2094" s="4" t="s">
        <v>715</v>
      </c>
      <c r="J2094" s="4" t="s">
        <v>715</v>
      </c>
      <c r="K2094" s="5">
        <v>6223411</v>
      </c>
      <c r="L2094" s="5">
        <v>340635</v>
      </c>
      <c r="M2094" s="5">
        <v>19</v>
      </c>
      <c r="N2094" s="5">
        <v>5</v>
      </c>
      <c r="O2094" s="5">
        <v>50</v>
      </c>
      <c r="P2094" s="5"/>
    </row>
    <row r="2095" spans="1:16" x14ac:dyDescent="0.25">
      <c r="A2095" s="4" t="s">
        <v>13</v>
      </c>
      <c r="B2095" s="4" t="s">
        <v>612</v>
      </c>
      <c r="C2095" s="5">
        <v>36979</v>
      </c>
      <c r="D2095" s="4" t="s">
        <v>37</v>
      </c>
      <c r="E2095" s="4" t="s">
        <v>75</v>
      </c>
      <c r="F2095" s="4" t="s">
        <v>618</v>
      </c>
      <c r="G2095" s="4" t="s">
        <v>26</v>
      </c>
      <c r="H2095" s="4" t="s">
        <v>27</v>
      </c>
      <c r="I2095" s="4" t="s">
        <v>715</v>
      </c>
      <c r="J2095" s="4" t="s">
        <v>715</v>
      </c>
      <c r="K2095" s="5">
        <v>6226461</v>
      </c>
      <c r="L2095" s="5">
        <v>342294</v>
      </c>
      <c r="M2095" s="5">
        <v>19</v>
      </c>
      <c r="N2095" s="5">
        <v>1</v>
      </c>
      <c r="O2095" s="5">
        <v>17</v>
      </c>
      <c r="P2095" s="5"/>
    </row>
    <row r="2096" spans="1:16" x14ac:dyDescent="0.25">
      <c r="A2096" s="4" t="s">
        <v>13</v>
      </c>
      <c r="B2096" s="4" t="s">
        <v>612</v>
      </c>
      <c r="C2096" s="5">
        <v>37089</v>
      </c>
      <c r="D2096" s="4" t="s">
        <v>23</v>
      </c>
      <c r="E2096" s="4" t="s">
        <v>381</v>
      </c>
      <c r="F2096" s="4" t="s">
        <v>619</v>
      </c>
      <c r="G2096" s="4" t="s">
        <v>26</v>
      </c>
      <c r="H2096" s="4" t="s">
        <v>27</v>
      </c>
      <c r="I2096" s="4" t="s">
        <v>715</v>
      </c>
      <c r="J2096" s="4" t="s">
        <v>638</v>
      </c>
      <c r="K2096" s="5">
        <v>6264140</v>
      </c>
      <c r="L2096" s="5">
        <v>329380</v>
      </c>
      <c r="M2096" s="5">
        <v>19</v>
      </c>
      <c r="N2096" s="5">
        <v>1</v>
      </c>
      <c r="O2096" s="5">
        <v>13</v>
      </c>
      <c r="P2096" s="5"/>
    </row>
    <row r="2097" spans="1:16" x14ac:dyDescent="0.25">
      <c r="A2097" s="4" t="s">
        <v>21</v>
      </c>
      <c r="B2097" s="4" t="s">
        <v>612</v>
      </c>
      <c r="C2097" s="5">
        <v>37105</v>
      </c>
      <c r="D2097" s="4" t="s">
        <v>33</v>
      </c>
      <c r="E2097" s="4" t="s">
        <v>43</v>
      </c>
      <c r="F2097" s="4" t="s">
        <v>43</v>
      </c>
      <c r="G2097" s="4" t="s">
        <v>26</v>
      </c>
      <c r="H2097" s="4" t="s">
        <v>27</v>
      </c>
      <c r="I2097" s="4" t="s">
        <v>715</v>
      </c>
      <c r="J2097" s="4" t="s">
        <v>715</v>
      </c>
      <c r="K2097" s="5">
        <v>6064669</v>
      </c>
      <c r="L2097" s="5">
        <v>276626</v>
      </c>
      <c r="M2097" s="5">
        <v>19</v>
      </c>
      <c r="N2097" s="5">
        <v>4</v>
      </c>
      <c r="O2097" s="5">
        <v>59.1</v>
      </c>
      <c r="P2097" s="5"/>
    </row>
    <row r="2098" spans="1:16" x14ac:dyDescent="0.25">
      <c r="A2098" s="4" t="s">
        <v>21</v>
      </c>
      <c r="B2098" s="4" t="s">
        <v>612</v>
      </c>
      <c r="C2098" s="5">
        <v>37193</v>
      </c>
      <c r="D2098" s="4" t="s">
        <v>33</v>
      </c>
      <c r="E2098" s="4" t="s">
        <v>43</v>
      </c>
      <c r="F2098" s="4" t="s">
        <v>614</v>
      </c>
      <c r="G2098" s="4" t="s">
        <v>26</v>
      </c>
      <c r="H2098" s="4" t="s">
        <v>27</v>
      </c>
      <c r="I2098" s="4" t="s">
        <v>638</v>
      </c>
      <c r="J2098" s="4" t="s">
        <v>715</v>
      </c>
      <c r="K2098" s="5">
        <v>6064197</v>
      </c>
      <c r="L2098" s="5">
        <v>279049</v>
      </c>
      <c r="M2098" s="5">
        <v>19</v>
      </c>
      <c r="N2098" s="5">
        <v>1</v>
      </c>
      <c r="O2098" s="5">
        <v>14.8</v>
      </c>
      <c r="P2098" s="5"/>
    </row>
    <row r="2099" spans="1:16" x14ac:dyDescent="0.25">
      <c r="A2099" s="4" t="s">
        <v>21</v>
      </c>
      <c r="B2099" s="4" t="s">
        <v>612</v>
      </c>
      <c r="C2099" s="5">
        <v>37213</v>
      </c>
      <c r="D2099" s="4" t="s">
        <v>37</v>
      </c>
      <c r="E2099" s="4" t="s">
        <v>169</v>
      </c>
      <c r="F2099" s="4" t="s">
        <v>620</v>
      </c>
      <c r="G2099" s="4" t="s">
        <v>26</v>
      </c>
      <c r="H2099" s="4" t="s">
        <v>27</v>
      </c>
      <c r="I2099" s="4" t="s">
        <v>715</v>
      </c>
      <c r="J2099" s="4" t="s">
        <v>715</v>
      </c>
      <c r="K2099" s="5">
        <v>6221409</v>
      </c>
      <c r="L2099" s="5">
        <v>342999</v>
      </c>
      <c r="M2099" s="5">
        <v>19</v>
      </c>
      <c r="N2099" s="5">
        <v>1</v>
      </c>
      <c r="O2099" s="5">
        <v>1</v>
      </c>
      <c r="P2099" s="5"/>
    </row>
    <row r="2100" spans="1:16" x14ac:dyDescent="0.25">
      <c r="A2100" s="4" t="s">
        <v>21</v>
      </c>
      <c r="B2100" s="4" t="s">
        <v>612</v>
      </c>
      <c r="C2100" s="5">
        <v>37215</v>
      </c>
      <c r="D2100" s="4" t="s">
        <v>33</v>
      </c>
      <c r="E2100" s="4" t="s">
        <v>43</v>
      </c>
      <c r="F2100" s="4" t="s">
        <v>621</v>
      </c>
      <c r="G2100" s="4" t="s">
        <v>26</v>
      </c>
      <c r="H2100" s="4" t="s">
        <v>27</v>
      </c>
      <c r="I2100" s="4" t="s">
        <v>715</v>
      </c>
      <c r="J2100" s="4" t="s">
        <v>715</v>
      </c>
      <c r="K2100" s="5">
        <v>6063849</v>
      </c>
      <c r="L2100" s="5">
        <v>275996</v>
      </c>
      <c r="M2100" s="5">
        <v>19</v>
      </c>
      <c r="N2100" s="5">
        <v>1</v>
      </c>
      <c r="O2100" s="5">
        <v>16.2</v>
      </c>
      <c r="P2100" s="5"/>
    </row>
    <row r="2101" spans="1:16" x14ac:dyDescent="0.25">
      <c r="A2101" s="4" t="s">
        <v>21</v>
      </c>
      <c r="B2101" s="4" t="s">
        <v>612</v>
      </c>
      <c r="C2101" s="5">
        <v>37221</v>
      </c>
      <c r="D2101" s="4" t="s">
        <v>33</v>
      </c>
      <c r="E2101" s="4" t="s">
        <v>43</v>
      </c>
      <c r="F2101" s="4" t="s">
        <v>621</v>
      </c>
      <c r="G2101" s="4" t="s">
        <v>26</v>
      </c>
      <c r="H2101" s="4" t="s">
        <v>27</v>
      </c>
      <c r="I2101" s="4" t="s">
        <v>715</v>
      </c>
      <c r="J2101" s="4" t="s">
        <v>715</v>
      </c>
      <c r="K2101" s="5">
        <v>6064249</v>
      </c>
      <c r="L2101" s="5">
        <v>275694</v>
      </c>
      <c r="M2101" s="5">
        <v>19</v>
      </c>
      <c r="N2101" s="5">
        <v>1</v>
      </c>
      <c r="O2101" s="5">
        <v>29.6</v>
      </c>
      <c r="P2101" s="5"/>
    </row>
    <row r="2102" spans="1:16" x14ac:dyDescent="0.25">
      <c r="A2102" s="4" t="s">
        <v>54</v>
      </c>
      <c r="B2102" s="4" t="s">
        <v>612</v>
      </c>
      <c r="C2102" s="5">
        <v>37240</v>
      </c>
      <c r="D2102" s="4" t="s">
        <v>37</v>
      </c>
      <c r="E2102" s="4" t="s">
        <v>75</v>
      </c>
      <c r="F2102" s="4" t="s">
        <v>552</v>
      </c>
      <c r="G2102" s="4" t="s">
        <v>26</v>
      </c>
      <c r="H2102" s="4" t="s">
        <v>641</v>
      </c>
      <c r="I2102" s="4" t="s">
        <v>715</v>
      </c>
      <c r="J2102" s="4" t="s">
        <v>715</v>
      </c>
      <c r="K2102" s="5">
        <v>6220820</v>
      </c>
      <c r="L2102" s="5">
        <v>346707</v>
      </c>
      <c r="M2102" s="5">
        <v>19</v>
      </c>
      <c r="N2102" s="5">
        <v>1</v>
      </c>
      <c r="O2102" s="5">
        <v>0.35</v>
      </c>
      <c r="P2102" s="5"/>
    </row>
    <row r="2103" spans="1:16" x14ac:dyDescent="0.25">
      <c r="A2103" s="4" t="s">
        <v>13</v>
      </c>
      <c r="B2103" s="4" t="s">
        <v>612</v>
      </c>
      <c r="C2103" s="5">
        <v>37554</v>
      </c>
      <c r="D2103" s="4" t="s">
        <v>33</v>
      </c>
      <c r="E2103" s="4" t="s">
        <v>70</v>
      </c>
      <c r="F2103" s="4" t="s">
        <v>539</v>
      </c>
      <c r="G2103" s="4" t="s">
        <v>26</v>
      </c>
      <c r="H2103" s="4" t="s">
        <v>27</v>
      </c>
      <c r="I2103" s="4" t="s">
        <v>715</v>
      </c>
      <c r="J2103" s="4" t="s">
        <v>715</v>
      </c>
      <c r="K2103" s="5">
        <v>6004655</v>
      </c>
      <c r="L2103" s="5">
        <v>274699</v>
      </c>
      <c r="M2103" s="5">
        <v>19</v>
      </c>
      <c r="N2103" s="5">
        <v>2</v>
      </c>
      <c r="O2103" s="5">
        <v>14.2</v>
      </c>
      <c r="P2103" s="5"/>
    </row>
    <row r="2104" spans="1:16" x14ac:dyDescent="0.25">
      <c r="A2104" s="4" t="s">
        <v>21</v>
      </c>
      <c r="B2104" s="4" t="s">
        <v>612</v>
      </c>
      <c r="C2104" s="5">
        <v>37652</v>
      </c>
      <c r="D2104" s="4" t="s">
        <v>33</v>
      </c>
      <c r="E2104" s="4" t="s">
        <v>70</v>
      </c>
      <c r="F2104" s="4" t="s">
        <v>539</v>
      </c>
      <c r="G2104" s="4" t="s">
        <v>26</v>
      </c>
      <c r="H2104" s="4" t="s">
        <v>27</v>
      </c>
      <c r="I2104" s="4" t="s">
        <v>715</v>
      </c>
      <c r="J2104" s="4" t="s">
        <v>638</v>
      </c>
      <c r="K2104" s="5">
        <v>6003721</v>
      </c>
      <c r="L2104" s="5">
        <v>274260</v>
      </c>
      <c r="M2104" s="5">
        <v>19</v>
      </c>
      <c r="N2104" s="5">
        <v>1</v>
      </c>
      <c r="O2104" s="5">
        <v>11.2</v>
      </c>
      <c r="P2104" s="5"/>
    </row>
    <row r="2105" spans="1:16" x14ac:dyDescent="0.25">
      <c r="A2105" s="4" t="s">
        <v>13</v>
      </c>
      <c r="B2105" s="4" t="s">
        <v>612</v>
      </c>
      <c r="C2105" s="5">
        <v>37664</v>
      </c>
      <c r="D2105" s="4" t="s">
        <v>33</v>
      </c>
      <c r="E2105" s="4" t="s">
        <v>43</v>
      </c>
      <c r="F2105" s="4" t="s">
        <v>430</v>
      </c>
      <c r="G2105" s="4" t="s">
        <v>26</v>
      </c>
      <c r="H2105" s="4" t="s">
        <v>27</v>
      </c>
      <c r="I2105" s="4" t="s">
        <v>715</v>
      </c>
      <c r="J2105" s="4" t="s">
        <v>638</v>
      </c>
      <c r="K2105" s="5">
        <v>6075186</v>
      </c>
      <c r="L2105" s="5">
        <v>287168</v>
      </c>
      <c r="M2105" s="5">
        <v>19</v>
      </c>
      <c r="N2105" s="5">
        <v>1</v>
      </c>
      <c r="O2105" s="5">
        <v>7.1</v>
      </c>
      <c r="P2105" s="5"/>
    </row>
    <row r="2106" spans="1:16" x14ac:dyDescent="0.25">
      <c r="A2106" s="4" t="s">
        <v>21</v>
      </c>
      <c r="B2106" s="4" t="s">
        <v>612</v>
      </c>
      <c r="C2106" s="5">
        <v>37694</v>
      </c>
      <c r="D2106" s="4" t="s">
        <v>37</v>
      </c>
      <c r="E2106" s="4" t="s">
        <v>169</v>
      </c>
      <c r="F2106" s="4" t="s">
        <v>168</v>
      </c>
      <c r="G2106" s="4" t="s">
        <v>26</v>
      </c>
      <c r="H2106" s="4" t="s">
        <v>27</v>
      </c>
      <c r="I2106" s="4" t="s">
        <v>715</v>
      </c>
      <c r="J2106" s="4" t="s">
        <v>638</v>
      </c>
      <c r="K2106" s="5">
        <v>6220310</v>
      </c>
      <c r="L2106" s="5">
        <v>333380</v>
      </c>
      <c r="M2106" s="5">
        <v>19</v>
      </c>
      <c r="N2106" s="5">
        <v>1</v>
      </c>
      <c r="O2106" s="5">
        <v>3.5</v>
      </c>
      <c r="P2106" s="5"/>
    </row>
    <row r="2107" spans="1:16" x14ac:dyDescent="0.25">
      <c r="A2107" s="4" t="s">
        <v>13</v>
      </c>
      <c r="B2107" s="4" t="s">
        <v>612</v>
      </c>
      <c r="C2107" s="5">
        <v>37723</v>
      </c>
      <c r="D2107" s="4" t="s">
        <v>37</v>
      </c>
      <c r="E2107" s="4" t="s">
        <v>407</v>
      </c>
      <c r="F2107" s="4" t="s">
        <v>408</v>
      </c>
      <c r="G2107" s="4" t="s">
        <v>26</v>
      </c>
      <c r="H2107" s="4" t="s">
        <v>27</v>
      </c>
      <c r="I2107" s="4" t="s">
        <v>715</v>
      </c>
      <c r="J2107" s="4" t="s">
        <v>638</v>
      </c>
      <c r="K2107" s="5">
        <v>6199023</v>
      </c>
      <c r="L2107" s="5">
        <v>336705</v>
      </c>
      <c r="M2107" s="5">
        <v>19</v>
      </c>
      <c r="N2107" s="5">
        <v>5</v>
      </c>
      <c r="O2107" s="5">
        <v>79</v>
      </c>
      <c r="P2107" s="5"/>
    </row>
    <row r="2108" spans="1:16" x14ac:dyDescent="0.25">
      <c r="A2108" s="4" t="s">
        <v>13</v>
      </c>
      <c r="B2108" s="4" t="s">
        <v>612</v>
      </c>
      <c r="C2108" s="5">
        <v>37730</v>
      </c>
      <c r="D2108" s="4" t="s">
        <v>37</v>
      </c>
      <c r="E2108" s="4" t="s">
        <v>40</v>
      </c>
      <c r="F2108" s="4" t="s">
        <v>40</v>
      </c>
      <c r="G2108" s="4" t="s">
        <v>26</v>
      </c>
      <c r="H2108" s="4" t="s">
        <v>27</v>
      </c>
      <c r="I2108" s="4" t="s">
        <v>715</v>
      </c>
      <c r="J2108" s="4" t="s">
        <v>715</v>
      </c>
      <c r="K2108" s="5">
        <v>6217449</v>
      </c>
      <c r="L2108" s="5">
        <v>345987</v>
      </c>
      <c r="M2108" s="5">
        <v>19</v>
      </c>
      <c r="N2108" s="5">
        <v>4</v>
      </c>
      <c r="O2108" s="5">
        <v>29</v>
      </c>
      <c r="P2108" s="5"/>
    </row>
    <row r="2109" spans="1:16" x14ac:dyDescent="0.25">
      <c r="A2109" s="4" t="s">
        <v>21</v>
      </c>
      <c r="B2109" s="4" t="s">
        <v>612</v>
      </c>
      <c r="C2109" s="5">
        <v>37735</v>
      </c>
      <c r="D2109" s="4" t="s">
        <v>33</v>
      </c>
      <c r="E2109" s="4" t="s">
        <v>43</v>
      </c>
      <c r="F2109" s="4" t="s">
        <v>43</v>
      </c>
      <c r="G2109" s="4" t="s">
        <v>26</v>
      </c>
      <c r="H2109" s="4" t="s">
        <v>27</v>
      </c>
      <c r="I2109" s="4" t="s">
        <v>715</v>
      </c>
      <c r="J2109" s="4" t="s">
        <v>715</v>
      </c>
      <c r="K2109" s="5">
        <v>6061552</v>
      </c>
      <c r="L2109" s="5">
        <v>277712</v>
      </c>
      <c r="M2109" s="5">
        <v>19</v>
      </c>
      <c r="N2109" s="5">
        <v>2</v>
      </c>
      <c r="O2109" s="5">
        <v>23.7</v>
      </c>
      <c r="P2109" s="5"/>
    </row>
    <row r="2110" spans="1:16" x14ac:dyDescent="0.25">
      <c r="A2110" s="4" t="s">
        <v>21</v>
      </c>
      <c r="B2110" s="4" t="s">
        <v>612</v>
      </c>
      <c r="C2110" s="5">
        <v>37745</v>
      </c>
      <c r="D2110" s="4" t="s">
        <v>37</v>
      </c>
      <c r="E2110" s="4" t="s">
        <v>75</v>
      </c>
      <c r="F2110" s="4" t="s">
        <v>429</v>
      </c>
      <c r="G2110" s="4" t="s">
        <v>26</v>
      </c>
      <c r="H2110" s="4" t="s">
        <v>27</v>
      </c>
      <c r="I2110" s="4" t="s">
        <v>715</v>
      </c>
      <c r="J2110" s="4" t="s">
        <v>638</v>
      </c>
      <c r="K2110" s="5">
        <v>6228506</v>
      </c>
      <c r="L2110" s="5">
        <v>345370</v>
      </c>
      <c r="M2110" s="5">
        <v>19</v>
      </c>
      <c r="N2110" s="5">
        <v>1</v>
      </c>
      <c r="O2110" s="5">
        <v>31</v>
      </c>
      <c r="P2110" s="5"/>
    </row>
    <row r="2111" spans="1:16" x14ac:dyDescent="0.25">
      <c r="A2111" s="4" t="s">
        <v>13</v>
      </c>
      <c r="B2111" s="4" t="s">
        <v>612</v>
      </c>
      <c r="C2111" s="5">
        <v>37753</v>
      </c>
      <c r="D2111" s="4" t="s">
        <v>23</v>
      </c>
      <c r="E2111" s="4" t="s">
        <v>519</v>
      </c>
      <c r="F2111" s="4" t="s">
        <v>68</v>
      </c>
      <c r="G2111" s="4" t="s">
        <v>26</v>
      </c>
      <c r="H2111" s="4" t="s">
        <v>27</v>
      </c>
      <c r="I2111" s="4" t="s">
        <v>715</v>
      </c>
      <c r="J2111" s="4" t="s">
        <v>638</v>
      </c>
      <c r="K2111" s="5">
        <v>6273483</v>
      </c>
      <c r="L2111" s="5">
        <v>357548</v>
      </c>
      <c r="M2111" s="5">
        <v>19</v>
      </c>
      <c r="N2111" s="5">
        <v>1</v>
      </c>
      <c r="O2111" s="5">
        <v>53</v>
      </c>
      <c r="P2111" s="5"/>
    </row>
    <row r="2112" spans="1:16" x14ac:dyDescent="0.25">
      <c r="A2112" s="4" t="s">
        <v>21</v>
      </c>
      <c r="B2112" s="4" t="s">
        <v>612</v>
      </c>
      <c r="C2112" s="5">
        <v>37788</v>
      </c>
      <c r="D2112" s="4" t="s">
        <v>37</v>
      </c>
      <c r="E2112" s="4" t="s">
        <v>295</v>
      </c>
      <c r="F2112" s="4" t="s">
        <v>145</v>
      </c>
      <c r="G2112" s="4" t="s">
        <v>26</v>
      </c>
      <c r="H2112" s="4" t="s">
        <v>27</v>
      </c>
      <c r="I2112" s="4" t="s">
        <v>715</v>
      </c>
      <c r="J2112" s="4" t="s">
        <v>715</v>
      </c>
      <c r="K2112" s="5">
        <v>6226643</v>
      </c>
      <c r="L2112" s="5">
        <v>338566</v>
      </c>
      <c r="M2112" s="5">
        <v>19</v>
      </c>
      <c r="N2112" s="5">
        <v>1</v>
      </c>
      <c r="O2112" s="5">
        <v>15</v>
      </c>
      <c r="P2112" s="5"/>
    </row>
    <row r="2113" spans="1:16" x14ac:dyDescent="0.25">
      <c r="A2113" s="4" t="s">
        <v>13</v>
      </c>
      <c r="B2113" s="4" t="s">
        <v>612</v>
      </c>
      <c r="C2113" s="5">
        <v>37862</v>
      </c>
      <c r="D2113" s="4" t="s">
        <v>33</v>
      </c>
      <c r="E2113" s="4" t="s">
        <v>43</v>
      </c>
      <c r="F2113" s="4" t="s">
        <v>162</v>
      </c>
      <c r="G2113" s="4" t="s">
        <v>26</v>
      </c>
      <c r="H2113" s="4" t="s">
        <v>27</v>
      </c>
      <c r="I2113" s="4" t="s">
        <v>715</v>
      </c>
      <c r="J2113" s="4" t="s">
        <v>715</v>
      </c>
      <c r="K2113" s="5">
        <v>6066929</v>
      </c>
      <c r="L2113" s="5">
        <v>279952</v>
      </c>
      <c r="M2113" s="5">
        <v>19</v>
      </c>
      <c r="N2113" s="5">
        <v>1</v>
      </c>
      <c r="O2113" s="5">
        <v>27.18</v>
      </c>
      <c r="P2113" s="5"/>
    </row>
    <row r="2114" spans="1:16" x14ac:dyDescent="0.25">
      <c r="A2114" s="4" t="s">
        <v>13</v>
      </c>
      <c r="B2114" s="4" t="s">
        <v>612</v>
      </c>
      <c r="C2114" s="5">
        <v>37863</v>
      </c>
      <c r="D2114" s="4" t="s">
        <v>33</v>
      </c>
      <c r="E2114" s="4" t="s">
        <v>43</v>
      </c>
      <c r="F2114" s="4" t="s">
        <v>162</v>
      </c>
      <c r="G2114" s="4" t="s">
        <v>26</v>
      </c>
      <c r="H2114" s="4" t="s">
        <v>27</v>
      </c>
      <c r="I2114" s="4" t="s">
        <v>715</v>
      </c>
      <c r="J2114" s="4" t="s">
        <v>715</v>
      </c>
      <c r="K2114" s="5">
        <v>6066628</v>
      </c>
      <c r="L2114" s="5">
        <v>280373</v>
      </c>
      <c r="M2114" s="5">
        <v>19</v>
      </c>
      <c r="N2114" s="5">
        <v>1</v>
      </c>
      <c r="O2114" s="5">
        <v>9.44</v>
      </c>
      <c r="P2114" s="5"/>
    </row>
    <row r="2115" spans="1:16" x14ac:dyDescent="0.25">
      <c r="A2115" s="4" t="s">
        <v>13</v>
      </c>
      <c r="B2115" s="4" t="s">
        <v>612</v>
      </c>
      <c r="C2115" s="5">
        <v>37864</v>
      </c>
      <c r="D2115" s="4" t="s">
        <v>33</v>
      </c>
      <c r="E2115" s="4" t="s">
        <v>70</v>
      </c>
      <c r="F2115" s="4" t="s">
        <v>329</v>
      </c>
      <c r="G2115" s="4" t="s">
        <v>26</v>
      </c>
      <c r="H2115" s="4" t="s">
        <v>27</v>
      </c>
      <c r="I2115" s="4" t="s">
        <v>715</v>
      </c>
      <c r="J2115" s="4" t="s">
        <v>638</v>
      </c>
      <c r="K2115" s="5">
        <v>6019464</v>
      </c>
      <c r="L2115" s="5">
        <v>261033</v>
      </c>
      <c r="M2115" s="5">
        <v>19</v>
      </c>
      <c r="N2115" s="5">
        <v>2</v>
      </c>
      <c r="O2115" s="5">
        <v>32.4</v>
      </c>
      <c r="P2115" s="5"/>
    </row>
    <row r="2116" spans="1:16" x14ac:dyDescent="0.25">
      <c r="A2116" s="4" t="s">
        <v>13</v>
      </c>
      <c r="B2116" s="4" t="s">
        <v>612</v>
      </c>
      <c r="C2116" s="5">
        <v>37912</v>
      </c>
      <c r="D2116" s="4" t="s">
        <v>33</v>
      </c>
      <c r="E2116" s="4" t="s">
        <v>43</v>
      </c>
      <c r="F2116" s="4" t="s">
        <v>162</v>
      </c>
      <c r="G2116" s="4" t="s">
        <v>26</v>
      </c>
      <c r="H2116" s="4" t="s">
        <v>27</v>
      </c>
      <c r="I2116" s="4" t="s">
        <v>715</v>
      </c>
      <c r="J2116" s="4" t="s">
        <v>715</v>
      </c>
      <c r="K2116" s="5">
        <v>6066691</v>
      </c>
      <c r="L2116" s="5">
        <v>279817</v>
      </c>
      <c r="M2116" s="5">
        <v>19</v>
      </c>
      <c r="N2116" s="5">
        <v>1</v>
      </c>
      <c r="O2116" s="5">
        <v>5.99</v>
      </c>
      <c r="P2116" s="5"/>
    </row>
    <row r="2117" spans="1:16" x14ac:dyDescent="0.25">
      <c r="A2117" s="4" t="s">
        <v>21</v>
      </c>
      <c r="B2117" s="4" t="s">
        <v>612</v>
      </c>
      <c r="C2117" s="5">
        <v>37945</v>
      </c>
      <c r="D2117" s="4" t="s">
        <v>33</v>
      </c>
      <c r="E2117" s="4" t="s">
        <v>43</v>
      </c>
      <c r="F2117" s="4" t="s">
        <v>402</v>
      </c>
      <c r="G2117" s="4" t="s">
        <v>26</v>
      </c>
      <c r="H2117" s="4" t="s">
        <v>27</v>
      </c>
      <c r="I2117" s="4" t="s">
        <v>715</v>
      </c>
      <c r="J2117" s="4" t="s">
        <v>638</v>
      </c>
      <c r="K2117" s="5">
        <v>6069556</v>
      </c>
      <c r="L2117" s="5">
        <v>272635</v>
      </c>
      <c r="M2117" s="5">
        <v>19</v>
      </c>
      <c r="N2117" s="5">
        <v>2</v>
      </c>
      <c r="O2117" s="5">
        <v>19.7</v>
      </c>
      <c r="P2117" s="5"/>
    </row>
    <row r="2118" spans="1:16" x14ac:dyDescent="0.25">
      <c r="A2118" s="4" t="s">
        <v>54</v>
      </c>
      <c r="B2118" s="4" t="s">
        <v>612</v>
      </c>
      <c r="C2118" s="5">
        <v>37978</v>
      </c>
      <c r="D2118" s="4" t="s">
        <v>37</v>
      </c>
      <c r="E2118" s="4" t="s">
        <v>151</v>
      </c>
      <c r="F2118" s="4" t="s">
        <v>503</v>
      </c>
      <c r="G2118" s="4" t="s">
        <v>26</v>
      </c>
      <c r="H2118" s="4" t="s">
        <v>641</v>
      </c>
      <c r="I2118" s="4" t="s">
        <v>715</v>
      </c>
      <c r="J2118" s="4" t="s">
        <v>715</v>
      </c>
      <c r="K2118" s="5">
        <v>6236186</v>
      </c>
      <c r="L2118" s="5">
        <v>343624</v>
      </c>
      <c r="M2118" s="5">
        <v>19</v>
      </c>
      <c r="N2118" s="5">
        <v>1</v>
      </c>
      <c r="O2118" s="5">
        <v>0.02</v>
      </c>
      <c r="P2118" s="5"/>
    </row>
    <row r="2119" spans="1:16" x14ac:dyDescent="0.25">
      <c r="A2119" s="4" t="s">
        <v>54</v>
      </c>
      <c r="B2119" s="4" t="s">
        <v>612</v>
      </c>
      <c r="C2119" s="5">
        <v>37979</v>
      </c>
      <c r="D2119" s="4" t="s">
        <v>37</v>
      </c>
      <c r="E2119" s="4" t="s">
        <v>151</v>
      </c>
      <c r="F2119" s="4" t="s">
        <v>503</v>
      </c>
      <c r="G2119" s="4" t="s">
        <v>26</v>
      </c>
      <c r="H2119" s="4" t="s">
        <v>641</v>
      </c>
      <c r="I2119" s="4" t="s">
        <v>715</v>
      </c>
      <c r="J2119" s="4" t="s">
        <v>715</v>
      </c>
      <c r="K2119" s="5">
        <v>6236186</v>
      </c>
      <c r="L2119" s="5">
        <v>343624</v>
      </c>
      <c r="M2119" s="5">
        <v>19</v>
      </c>
      <c r="N2119" s="5">
        <v>1</v>
      </c>
      <c r="O2119" s="5">
        <v>0.01</v>
      </c>
      <c r="P2119" s="5"/>
    </row>
    <row r="2120" spans="1:16" x14ac:dyDescent="0.25">
      <c r="A2120" s="4" t="s">
        <v>54</v>
      </c>
      <c r="B2120" s="4" t="s">
        <v>612</v>
      </c>
      <c r="C2120" s="5">
        <v>37980</v>
      </c>
      <c r="D2120" s="4" t="s">
        <v>37</v>
      </c>
      <c r="E2120" s="4" t="s">
        <v>151</v>
      </c>
      <c r="F2120" s="4" t="s">
        <v>503</v>
      </c>
      <c r="G2120" s="4" t="s">
        <v>26</v>
      </c>
      <c r="H2120" s="4" t="s">
        <v>641</v>
      </c>
      <c r="I2120" s="4" t="s">
        <v>715</v>
      </c>
      <c r="J2120" s="4" t="s">
        <v>715</v>
      </c>
      <c r="K2120" s="5">
        <v>6236186</v>
      </c>
      <c r="L2120" s="5">
        <v>343624</v>
      </c>
      <c r="M2120" s="5">
        <v>19</v>
      </c>
      <c r="N2120" s="5">
        <v>1</v>
      </c>
      <c r="O2120" s="5">
        <v>0.06</v>
      </c>
      <c r="P2120" s="5"/>
    </row>
    <row r="2121" spans="1:16" x14ac:dyDescent="0.25">
      <c r="A2121" s="4" t="s">
        <v>54</v>
      </c>
      <c r="B2121" s="4" t="s">
        <v>612</v>
      </c>
      <c r="C2121" s="5">
        <v>37981</v>
      </c>
      <c r="D2121" s="4" t="s">
        <v>37</v>
      </c>
      <c r="E2121" s="4" t="s">
        <v>151</v>
      </c>
      <c r="F2121" s="4" t="s">
        <v>503</v>
      </c>
      <c r="G2121" s="4" t="s">
        <v>26</v>
      </c>
      <c r="H2121" s="4" t="s">
        <v>641</v>
      </c>
      <c r="I2121" s="4" t="s">
        <v>715</v>
      </c>
      <c r="J2121" s="4" t="s">
        <v>715</v>
      </c>
      <c r="K2121" s="5">
        <v>6236186</v>
      </c>
      <c r="L2121" s="5">
        <v>343624</v>
      </c>
      <c r="M2121" s="5">
        <v>19</v>
      </c>
      <c r="N2121" s="5">
        <v>1</v>
      </c>
      <c r="O2121" s="5">
        <v>0.02</v>
      </c>
      <c r="P2121" s="5"/>
    </row>
    <row r="2122" spans="1:16" x14ac:dyDescent="0.25">
      <c r="A2122" s="4" t="s">
        <v>21</v>
      </c>
      <c r="B2122" s="4" t="s">
        <v>612</v>
      </c>
      <c r="C2122" s="5">
        <v>37987</v>
      </c>
      <c r="D2122" s="4" t="s">
        <v>33</v>
      </c>
      <c r="E2122" s="4" t="s">
        <v>43</v>
      </c>
      <c r="F2122" s="4" t="s">
        <v>162</v>
      </c>
      <c r="G2122" s="4" t="s">
        <v>26</v>
      </c>
      <c r="H2122" s="4" t="s">
        <v>27</v>
      </c>
      <c r="I2122" s="4" t="s">
        <v>715</v>
      </c>
      <c r="J2122" s="4" t="s">
        <v>715</v>
      </c>
      <c r="K2122" s="5">
        <v>6066188</v>
      </c>
      <c r="L2122" s="5">
        <v>280239</v>
      </c>
      <c r="M2122" s="5">
        <v>19</v>
      </c>
      <c r="N2122" s="5">
        <v>1</v>
      </c>
      <c r="O2122" s="5">
        <v>8.49</v>
      </c>
      <c r="P2122" s="5"/>
    </row>
    <row r="2123" spans="1:16" x14ac:dyDescent="0.25">
      <c r="A2123" s="4" t="s">
        <v>13</v>
      </c>
      <c r="B2123" s="4" t="s">
        <v>612</v>
      </c>
      <c r="C2123" s="5">
        <v>38017</v>
      </c>
      <c r="D2123" s="4" t="s">
        <v>23</v>
      </c>
      <c r="E2123" s="4" t="s">
        <v>519</v>
      </c>
      <c r="F2123" s="4" t="s">
        <v>68</v>
      </c>
      <c r="G2123" s="4" t="s">
        <v>26</v>
      </c>
      <c r="H2123" s="4" t="s">
        <v>27</v>
      </c>
      <c r="I2123" s="4" t="s">
        <v>715</v>
      </c>
      <c r="J2123" s="4" t="s">
        <v>638</v>
      </c>
      <c r="K2123" s="5">
        <v>6273981</v>
      </c>
      <c r="L2123" s="5">
        <v>356939</v>
      </c>
      <c r="M2123" s="5">
        <v>19</v>
      </c>
      <c r="N2123" s="5">
        <v>1</v>
      </c>
      <c r="O2123" s="5">
        <v>12</v>
      </c>
      <c r="P2123" s="5"/>
    </row>
    <row r="2124" spans="1:16" x14ac:dyDescent="0.25">
      <c r="A2124" s="4" t="s">
        <v>21</v>
      </c>
      <c r="B2124" s="4" t="s">
        <v>612</v>
      </c>
      <c r="C2124" s="5">
        <v>38041</v>
      </c>
      <c r="D2124" s="4" t="s">
        <v>33</v>
      </c>
      <c r="E2124" s="4" t="s">
        <v>43</v>
      </c>
      <c r="F2124" s="4" t="s">
        <v>162</v>
      </c>
      <c r="G2124" s="4" t="s">
        <v>26</v>
      </c>
      <c r="H2124" s="4" t="s">
        <v>27</v>
      </c>
      <c r="I2124" s="4" t="s">
        <v>715</v>
      </c>
      <c r="J2124" s="4" t="s">
        <v>715</v>
      </c>
      <c r="K2124" s="5">
        <v>6066083</v>
      </c>
      <c r="L2124" s="5">
        <v>280153</v>
      </c>
      <c r="M2124" s="5">
        <v>19</v>
      </c>
      <c r="N2124" s="5">
        <v>1</v>
      </c>
      <c r="O2124" s="5">
        <v>7.34</v>
      </c>
      <c r="P2124" s="5"/>
    </row>
    <row r="2125" spans="1:16" x14ac:dyDescent="0.25">
      <c r="A2125" s="4" t="s">
        <v>21</v>
      </c>
      <c r="B2125" s="4" t="s">
        <v>612</v>
      </c>
      <c r="C2125" s="5">
        <v>38057</v>
      </c>
      <c r="D2125" s="4" t="s">
        <v>33</v>
      </c>
      <c r="E2125" s="4" t="s">
        <v>43</v>
      </c>
      <c r="F2125" s="4" t="s">
        <v>43</v>
      </c>
      <c r="G2125" s="4" t="s">
        <v>26</v>
      </c>
      <c r="H2125" s="4" t="s">
        <v>27</v>
      </c>
      <c r="I2125" s="4" t="s">
        <v>638</v>
      </c>
      <c r="J2125" s="4" t="s">
        <v>715</v>
      </c>
      <c r="K2125" s="5">
        <v>6074614</v>
      </c>
      <c r="L2125" s="5">
        <v>283054</v>
      </c>
      <c r="M2125" s="5">
        <v>19</v>
      </c>
      <c r="N2125" s="5">
        <v>1</v>
      </c>
      <c r="O2125" s="5">
        <v>6.6</v>
      </c>
      <c r="P2125" s="5"/>
    </row>
    <row r="2126" spans="1:16" x14ac:dyDescent="0.25">
      <c r="A2126" s="4" t="s">
        <v>13</v>
      </c>
      <c r="B2126" s="4" t="s">
        <v>612</v>
      </c>
      <c r="C2126" s="5">
        <v>38301</v>
      </c>
      <c r="D2126" s="4" t="s">
        <v>23</v>
      </c>
      <c r="E2126" s="4" t="s">
        <v>381</v>
      </c>
      <c r="F2126" s="4" t="s">
        <v>619</v>
      </c>
      <c r="G2126" s="4" t="s">
        <v>26</v>
      </c>
      <c r="H2126" s="4" t="s">
        <v>27</v>
      </c>
      <c r="I2126" s="4" t="s">
        <v>715</v>
      </c>
      <c r="J2126" s="4" t="s">
        <v>638</v>
      </c>
      <c r="K2126" s="5">
        <v>6265749</v>
      </c>
      <c r="L2126" s="5">
        <v>328802</v>
      </c>
      <c r="M2126" s="5">
        <v>19</v>
      </c>
      <c r="N2126" s="5">
        <v>1</v>
      </c>
      <c r="O2126" s="5">
        <v>18</v>
      </c>
      <c r="P2126" s="5"/>
    </row>
    <row r="2127" spans="1:16" x14ac:dyDescent="0.25">
      <c r="A2127" s="4" t="s">
        <v>21</v>
      </c>
      <c r="B2127" s="4" t="s">
        <v>612</v>
      </c>
      <c r="C2127" s="5">
        <v>38332</v>
      </c>
      <c r="D2127" s="4" t="s">
        <v>23</v>
      </c>
      <c r="E2127" s="4" t="s">
        <v>381</v>
      </c>
      <c r="F2127" s="4" t="s">
        <v>619</v>
      </c>
      <c r="G2127" s="4" t="s">
        <v>26</v>
      </c>
      <c r="H2127" s="4" t="s">
        <v>27</v>
      </c>
      <c r="I2127" s="4" t="s">
        <v>715</v>
      </c>
      <c r="J2127" s="4" t="s">
        <v>638</v>
      </c>
      <c r="K2127" s="5">
        <v>6265254</v>
      </c>
      <c r="L2127" s="5">
        <v>329472</v>
      </c>
      <c r="M2127" s="5">
        <v>19</v>
      </c>
      <c r="N2127" s="5">
        <v>3</v>
      </c>
      <c r="O2127" s="5">
        <v>22</v>
      </c>
      <c r="P2127" s="5"/>
    </row>
    <row r="2128" spans="1:16" x14ac:dyDescent="0.25">
      <c r="A2128" s="4" t="s">
        <v>21</v>
      </c>
      <c r="B2128" s="4" t="s">
        <v>612</v>
      </c>
      <c r="C2128" s="5">
        <v>38343</v>
      </c>
      <c r="D2128" s="4" t="s">
        <v>23</v>
      </c>
      <c r="E2128" s="4" t="s">
        <v>381</v>
      </c>
      <c r="F2128" s="4" t="s">
        <v>619</v>
      </c>
      <c r="G2128" s="4" t="s">
        <v>26</v>
      </c>
      <c r="H2128" s="4" t="s">
        <v>27</v>
      </c>
      <c r="I2128" s="4" t="s">
        <v>715</v>
      </c>
      <c r="J2128" s="4" t="s">
        <v>715</v>
      </c>
      <c r="K2128" s="5">
        <v>6265691</v>
      </c>
      <c r="L2128" s="5">
        <v>330401</v>
      </c>
      <c r="M2128" s="5">
        <v>19</v>
      </c>
      <c r="N2128" s="5">
        <v>2</v>
      </c>
      <c r="O2128" s="5">
        <v>14</v>
      </c>
      <c r="P2128" s="5"/>
    </row>
    <row r="2129" spans="1:16" x14ac:dyDescent="0.25">
      <c r="A2129" s="4" t="s">
        <v>21</v>
      </c>
      <c r="B2129" s="4" t="s">
        <v>612</v>
      </c>
      <c r="C2129" s="5">
        <v>38356</v>
      </c>
      <c r="D2129" s="4" t="s">
        <v>33</v>
      </c>
      <c r="E2129" s="4" t="s">
        <v>43</v>
      </c>
      <c r="F2129" s="4" t="s">
        <v>622</v>
      </c>
      <c r="G2129" s="4" t="s">
        <v>26</v>
      </c>
      <c r="H2129" s="4" t="s">
        <v>27</v>
      </c>
      <c r="I2129" s="4" t="s">
        <v>715</v>
      </c>
      <c r="J2129" s="4" t="s">
        <v>715</v>
      </c>
      <c r="K2129" s="5">
        <v>6061697</v>
      </c>
      <c r="L2129" s="5">
        <v>279847</v>
      </c>
      <c r="M2129" s="5">
        <v>19</v>
      </c>
      <c r="N2129" s="5">
        <v>1</v>
      </c>
      <c r="O2129" s="5">
        <v>17.809999999999999</v>
      </c>
      <c r="P2129" s="5"/>
    </row>
    <row r="2130" spans="1:16" x14ac:dyDescent="0.25">
      <c r="A2130" s="4" t="s">
        <v>54</v>
      </c>
      <c r="B2130" s="4" t="s">
        <v>612</v>
      </c>
      <c r="C2130" s="5">
        <v>38365</v>
      </c>
      <c r="D2130" s="4" t="s">
        <v>37</v>
      </c>
      <c r="E2130" s="4" t="s">
        <v>151</v>
      </c>
      <c r="F2130" s="4" t="s">
        <v>503</v>
      </c>
      <c r="G2130" s="4" t="s">
        <v>26</v>
      </c>
      <c r="H2130" s="4" t="s">
        <v>641</v>
      </c>
      <c r="I2130" s="4" t="s">
        <v>715</v>
      </c>
      <c r="J2130" s="4" t="s">
        <v>715</v>
      </c>
      <c r="K2130" s="5">
        <v>6236156</v>
      </c>
      <c r="L2130" s="5">
        <v>343780</v>
      </c>
      <c r="M2130" s="5">
        <v>19</v>
      </c>
      <c r="N2130" s="5">
        <v>1</v>
      </c>
      <c r="O2130" s="5">
        <v>0.28000000000000003</v>
      </c>
      <c r="P2130" s="5"/>
    </row>
    <row r="2131" spans="1:16" x14ac:dyDescent="0.25">
      <c r="A2131" s="4" t="s">
        <v>54</v>
      </c>
      <c r="B2131" s="4" t="s">
        <v>612</v>
      </c>
      <c r="C2131" s="5">
        <v>38371</v>
      </c>
      <c r="D2131" s="4" t="s">
        <v>37</v>
      </c>
      <c r="E2131" s="4" t="s">
        <v>151</v>
      </c>
      <c r="F2131" s="4" t="s">
        <v>503</v>
      </c>
      <c r="G2131" s="4" t="s">
        <v>420</v>
      </c>
      <c r="H2131" s="4" t="s">
        <v>641</v>
      </c>
      <c r="I2131" s="4" t="s">
        <v>715</v>
      </c>
      <c r="J2131" s="4" t="s">
        <v>715</v>
      </c>
      <c r="K2131" s="5">
        <v>6236097</v>
      </c>
      <c r="L2131" s="5">
        <v>344027</v>
      </c>
      <c r="M2131" s="5">
        <v>19</v>
      </c>
      <c r="N2131" s="5">
        <v>1</v>
      </c>
      <c r="O2131" s="5">
        <v>7.0000000000000007E-2</v>
      </c>
      <c r="P2131" s="5"/>
    </row>
    <row r="2132" spans="1:16" x14ac:dyDescent="0.25">
      <c r="A2132" s="4" t="s">
        <v>13</v>
      </c>
      <c r="B2132" s="4" t="s">
        <v>612</v>
      </c>
      <c r="C2132" s="5">
        <v>38403</v>
      </c>
      <c r="D2132" s="4" t="s">
        <v>37</v>
      </c>
      <c r="E2132" s="4" t="s">
        <v>75</v>
      </c>
      <c r="F2132" s="4" t="s">
        <v>552</v>
      </c>
      <c r="G2132" s="4" t="s">
        <v>26</v>
      </c>
      <c r="H2132" s="4" t="s">
        <v>27</v>
      </c>
      <c r="I2132" s="4" t="s">
        <v>715</v>
      </c>
      <c r="J2132" s="4" t="s">
        <v>638</v>
      </c>
      <c r="K2132" s="5">
        <v>6220985</v>
      </c>
      <c r="L2132" s="5">
        <v>348445</v>
      </c>
      <c r="M2132" s="5">
        <v>19</v>
      </c>
      <c r="N2132" s="5">
        <v>1</v>
      </c>
      <c r="O2132" s="5">
        <v>16</v>
      </c>
      <c r="P2132" s="5"/>
    </row>
    <row r="2133" spans="1:16" x14ac:dyDescent="0.25">
      <c r="A2133" s="4" t="s">
        <v>21</v>
      </c>
      <c r="B2133" s="4" t="s">
        <v>612</v>
      </c>
      <c r="C2133" s="5">
        <v>38479</v>
      </c>
      <c r="D2133" s="4" t="s">
        <v>33</v>
      </c>
      <c r="E2133" s="4" t="s">
        <v>47</v>
      </c>
      <c r="F2133" s="4" t="s">
        <v>220</v>
      </c>
      <c r="G2133" s="4" t="s">
        <v>26</v>
      </c>
      <c r="H2133" s="4" t="s">
        <v>27</v>
      </c>
      <c r="I2133" s="4" t="s">
        <v>715</v>
      </c>
      <c r="J2133" s="4" t="s">
        <v>638</v>
      </c>
      <c r="K2133" s="5">
        <v>6077592</v>
      </c>
      <c r="L2133" s="5">
        <v>281826</v>
      </c>
      <c r="M2133" s="5">
        <v>19</v>
      </c>
      <c r="N2133" s="5">
        <v>2</v>
      </c>
      <c r="O2133" s="5">
        <v>15.6</v>
      </c>
      <c r="P2133" s="5"/>
    </row>
    <row r="2134" spans="1:16" x14ac:dyDescent="0.25">
      <c r="A2134" s="4" t="s">
        <v>21</v>
      </c>
      <c r="B2134" s="4" t="s">
        <v>612</v>
      </c>
      <c r="C2134" s="5">
        <v>38480</v>
      </c>
      <c r="D2134" s="4" t="s">
        <v>37</v>
      </c>
      <c r="E2134" s="4" t="s">
        <v>75</v>
      </c>
      <c r="F2134" s="4" t="s">
        <v>552</v>
      </c>
      <c r="G2134" s="4" t="s">
        <v>26</v>
      </c>
      <c r="H2134" s="4" t="s">
        <v>27</v>
      </c>
      <c r="I2134" s="4" t="s">
        <v>638</v>
      </c>
      <c r="J2134" s="4" t="s">
        <v>715</v>
      </c>
      <c r="K2134" s="5">
        <v>6220471</v>
      </c>
      <c r="L2134" s="5">
        <v>347727</v>
      </c>
      <c r="M2134" s="5">
        <v>19</v>
      </c>
      <c r="N2134" s="5">
        <v>3</v>
      </c>
      <c r="O2134" s="5">
        <v>24</v>
      </c>
      <c r="P2134" s="5"/>
    </row>
    <row r="2135" spans="1:16" x14ac:dyDescent="0.25">
      <c r="A2135" s="4" t="s">
        <v>13</v>
      </c>
      <c r="B2135" s="4" t="s">
        <v>612</v>
      </c>
      <c r="C2135" s="5">
        <v>38494</v>
      </c>
      <c r="D2135" s="4" t="s">
        <v>23</v>
      </c>
      <c r="E2135" s="4" t="s">
        <v>519</v>
      </c>
      <c r="F2135" s="4" t="s">
        <v>68</v>
      </c>
      <c r="G2135" s="4" t="s">
        <v>26</v>
      </c>
      <c r="H2135" s="4" t="s">
        <v>27</v>
      </c>
      <c r="I2135" s="4" t="s">
        <v>715</v>
      </c>
      <c r="J2135" s="4" t="s">
        <v>638</v>
      </c>
      <c r="K2135" s="5">
        <v>6273809</v>
      </c>
      <c r="L2135" s="5">
        <v>356972</v>
      </c>
      <c r="M2135" s="5">
        <v>19</v>
      </c>
      <c r="N2135" s="5">
        <v>1</v>
      </c>
      <c r="O2135" s="5">
        <v>4</v>
      </c>
      <c r="P2135" s="5"/>
    </row>
    <row r="2136" spans="1:16" x14ac:dyDescent="0.25">
      <c r="A2136" s="4" t="s">
        <v>21</v>
      </c>
      <c r="B2136" s="4" t="s">
        <v>612</v>
      </c>
      <c r="C2136" s="5">
        <v>38601</v>
      </c>
      <c r="D2136" s="4" t="s">
        <v>33</v>
      </c>
      <c r="E2136" s="4" t="s">
        <v>43</v>
      </c>
      <c r="F2136" s="4" t="s">
        <v>102</v>
      </c>
      <c r="G2136" s="4" t="s">
        <v>26</v>
      </c>
      <c r="H2136" s="4" t="s">
        <v>27</v>
      </c>
      <c r="I2136" s="4" t="s">
        <v>715</v>
      </c>
      <c r="J2136" s="4" t="s">
        <v>715</v>
      </c>
      <c r="K2136" s="5">
        <v>6060950</v>
      </c>
      <c r="L2136" s="5">
        <v>278614</v>
      </c>
      <c r="M2136" s="5">
        <v>19</v>
      </c>
      <c r="N2136" s="5">
        <v>4</v>
      </c>
      <c r="O2136" s="5">
        <v>60.16</v>
      </c>
      <c r="P2136" s="5"/>
    </row>
    <row r="2137" spans="1:16" x14ac:dyDescent="0.25">
      <c r="A2137" s="4" t="s">
        <v>13</v>
      </c>
      <c r="B2137" s="4" t="s">
        <v>612</v>
      </c>
      <c r="C2137" s="5">
        <v>38662</v>
      </c>
      <c r="D2137" s="4" t="s">
        <v>23</v>
      </c>
      <c r="E2137" s="4" t="s">
        <v>519</v>
      </c>
      <c r="F2137" s="4" t="s">
        <v>68</v>
      </c>
      <c r="G2137" s="4" t="s">
        <v>26</v>
      </c>
      <c r="H2137" s="4" t="s">
        <v>27</v>
      </c>
      <c r="I2137" s="4" t="s">
        <v>715</v>
      </c>
      <c r="J2137" s="4" t="s">
        <v>638</v>
      </c>
      <c r="K2137" s="5">
        <v>6273473</v>
      </c>
      <c r="L2137" s="5">
        <v>358608</v>
      </c>
      <c r="M2137" s="5">
        <v>19</v>
      </c>
      <c r="N2137" s="5">
        <v>2</v>
      </c>
      <c r="O2137" s="5">
        <v>17</v>
      </c>
      <c r="P2137" s="5"/>
    </row>
    <row r="2138" spans="1:16" x14ac:dyDescent="0.25">
      <c r="A2138" s="4" t="s">
        <v>21</v>
      </c>
      <c r="B2138" s="4" t="s">
        <v>612</v>
      </c>
      <c r="C2138" s="5">
        <v>38690</v>
      </c>
      <c r="D2138" s="4" t="s">
        <v>33</v>
      </c>
      <c r="E2138" s="4" t="s">
        <v>43</v>
      </c>
      <c r="F2138" s="4" t="s">
        <v>43</v>
      </c>
      <c r="G2138" s="4" t="s">
        <v>26</v>
      </c>
      <c r="H2138" s="4" t="s">
        <v>27</v>
      </c>
      <c r="I2138" s="4" t="s">
        <v>715</v>
      </c>
      <c r="J2138" s="4" t="s">
        <v>715</v>
      </c>
      <c r="K2138" s="5">
        <v>6060183</v>
      </c>
      <c r="L2138" s="5">
        <v>278346</v>
      </c>
      <c r="M2138" s="5">
        <v>19</v>
      </c>
      <c r="N2138" s="5">
        <v>9</v>
      </c>
      <c r="O2138" s="5">
        <v>71.599999999999994</v>
      </c>
      <c r="P2138" s="5"/>
    </row>
    <row r="2139" spans="1:16" x14ac:dyDescent="0.25">
      <c r="A2139" s="4" t="s">
        <v>21</v>
      </c>
      <c r="B2139" s="4" t="s">
        <v>612</v>
      </c>
      <c r="C2139" s="5">
        <v>38712</v>
      </c>
      <c r="D2139" s="4" t="s">
        <v>33</v>
      </c>
      <c r="E2139" s="4" t="s">
        <v>43</v>
      </c>
      <c r="F2139" s="4" t="s">
        <v>623</v>
      </c>
      <c r="G2139" s="4" t="s">
        <v>26</v>
      </c>
      <c r="H2139" s="4" t="s">
        <v>27</v>
      </c>
      <c r="I2139" s="4" t="s">
        <v>715</v>
      </c>
      <c r="J2139" s="4" t="s">
        <v>715</v>
      </c>
      <c r="K2139" s="5">
        <v>6061304</v>
      </c>
      <c r="L2139" s="5">
        <v>278803</v>
      </c>
      <c r="M2139" s="5">
        <v>19</v>
      </c>
      <c r="N2139" s="5">
        <v>1</v>
      </c>
      <c r="O2139" s="5">
        <v>2</v>
      </c>
      <c r="P2139" s="5"/>
    </row>
    <row r="2140" spans="1:16" x14ac:dyDescent="0.25">
      <c r="A2140" s="4" t="s">
        <v>21</v>
      </c>
      <c r="B2140" s="4" t="s">
        <v>612</v>
      </c>
      <c r="C2140" s="5">
        <v>39098</v>
      </c>
      <c r="D2140" s="4" t="s">
        <v>33</v>
      </c>
      <c r="E2140" s="4" t="s">
        <v>47</v>
      </c>
      <c r="F2140" s="4" t="s">
        <v>220</v>
      </c>
      <c r="G2140" s="4" t="s">
        <v>26</v>
      </c>
      <c r="H2140" s="4" t="s">
        <v>27</v>
      </c>
      <c r="I2140" s="4" t="s">
        <v>715</v>
      </c>
      <c r="J2140" s="4" t="s">
        <v>638</v>
      </c>
      <c r="K2140" s="5">
        <v>6078564</v>
      </c>
      <c r="L2140" s="5">
        <v>281517</v>
      </c>
      <c r="M2140" s="5">
        <v>19</v>
      </c>
      <c r="N2140" s="5">
        <v>4</v>
      </c>
      <c r="O2140" s="5">
        <v>119</v>
      </c>
      <c r="P2140" s="5"/>
    </row>
    <row r="2141" spans="1:16" x14ac:dyDescent="0.25">
      <c r="A2141" s="4" t="s">
        <v>21</v>
      </c>
      <c r="B2141" s="4" t="s">
        <v>612</v>
      </c>
      <c r="C2141" s="5">
        <v>39100</v>
      </c>
      <c r="D2141" s="4" t="s">
        <v>33</v>
      </c>
      <c r="E2141" s="4" t="s">
        <v>47</v>
      </c>
      <c r="F2141" s="4" t="s">
        <v>220</v>
      </c>
      <c r="G2141" s="4" t="s">
        <v>26</v>
      </c>
      <c r="H2141" s="4" t="s">
        <v>27</v>
      </c>
      <c r="I2141" s="4" t="s">
        <v>715</v>
      </c>
      <c r="J2141" s="4" t="s">
        <v>638</v>
      </c>
      <c r="K2141" s="5">
        <v>6079062</v>
      </c>
      <c r="L2141" s="5">
        <v>280748</v>
      </c>
      <c r="M2141" s="5">
        <v>19</v>
      </c>
      <c r="N2141" s="5">
        <v>1</v>
      </c>
      <c r="O2141" s="5">
        <v>32.299999999999997</v>
      </c>
      <c r="P2141" s="5"/>
    </row>
    <row r="2142" spans="1:16" x14ac:dyDescent="0.25">
      <c r="A2142" s="4" t="s">
        <v>13</v>
      </c>
      <c r="B2142" s="4" t="s">
        <v>612</v>
      </c>
      <c r="C2142" s="5">
        <v>39104</v>
      </c>
      <c r="D2142" s="4" t="s">
        <v>33</v>
      </c>
      <c r="E2142" s="4" t="s">
        <v>70</v>
      </c>
      <c r="F2142" s="4" t="s">
        <v>329</v>
      </c>
      <c r="G2142" s="4" t="s">
        <v>26</v>
      </c>
      <c r="H2142" s="4" t="s">
        <v>27</v>
      </c>
      <c r="I2142" s="4" t="s">
        <v>715</v>
      </c>
      <c r="J2142" s="4" t="s">
        <v>638</v>
      </c>
      <c r="K2142" s="5">
        <v>6019085</v>
      </c>
      <c r="L2142" s="5">
        <v>261373</v>
      </c>
      <c r="M2142" s="5">
        <v>19</v>
      </c>
      <c r="N2142" s="5">
        <v>1</v>
      </c>
      <c r="O2142" s="5">
        <v>10</v>
      </c>
      <c r="P2142" s="5"/>
    </row>
    <row r="2143" spans="1:16" x14ac:dyDescent="0.25">
      <c r="A2143" s="4" t="s">
        <v>21</v>
      </c>
      <c r="B2143" s="4" t="s">
        <v>612</v>
      </c>
      <c r="C2143" s="5">
        <v>39320</v>
      </c>
      <c r="D2143" s="4" t="s">
        <v>33</v>
      </c>
      <c r="E2143" s="4" t="s">
        <v>43</v>
      </c>
      <c r="F2143" s="4" t="s">
        <v>43</v>
      </c>
      <c r="G2143" s="4" t="s">
        <v>26</v>
      </c>
      <c r="H2143" s="4" t="s">
        <v>27</v>
      </c>
      <c r="I2143" s="4" t="s">
        <v>715</v>
      </c>
      <c r="J2143" s="4" t="s">
        <v>715</v>
      </c>
      <c r="K2143" s="5">
        <v>6074299</v>
      </c>
      <c r="L2143" s="5">
        <v>283639</v>
      </c>
      <c r="M2143" s="5">
        <v>19</v>
      </c>
      <c r="N2143" s="5">
        <v>1</v>
      </c>
      <c r="O2143" s="5">
        <v>11</v>
      </c>
      <c r="P2143" s="5"/>
    </row>
    <row r="2144" spans="1:16" x14ac:dyDescent="0.25">
      <c r="A2144" s="4" t="s">
        <v>13</v>
      </c>
      <c r="B2144" s="4" t="s">
        <v>612</v>
      </c>
      <c r="C2144" s="5">
        <v>39492</v>
      </c>
      <c r="D2144" s="4" t="s">
        <v>33</v>
      </c>
      <c r="E2144" s="4" t="s">
        <v>70</v>
      </c>
      <c r="F2144" s="4" t="s">
        <v>539</v>
      </c>
      <c r="G2144" s="4" t="s">
        <v>26</v>
      </c>
      <c r="H2144" s="4" t="s">
        <v>27</v>
      </c>
      <c r="I2144" s="4" t="s">
        <v>715</v>
      </c>
      <c r="J2144" s="4" t="s">
        <v>638</v>
      </c>
      <c r="K2144" s="5">
        <v>6002901</v>
      </c>
      <c r="L2144" s="5">
        <v>274240</v>
      </c>
      <c r="M2144" s="5">
        <v>19</v>
      </c>
      <c r="N2144" s="5">
        <v>4</v>
      </c>
      <c r="O2144" s="5">
        <v>37.200000000000003</v>
      </c>
      <c r="P2144" s="5"/>
    </row>
    <row r="2145" spans="1:16" x14ac:dyDescent="0.25">
      <c r="A2145" s="4" t="s">
        <v>21</v>
      </c>
      <c r="B2145" s="4" t="s">
        <v>612</v>
      </c>
      <c r="C2145" s="5">
        <v>39493</v>
      </c>
      <c r="D2145" s="4" t="s">
        <v>33</v>
      </c>
      <c r="E2145" s="4" t="s">
        <v>70</v>
      </c>
      <c r="F2145" s="4" t="s">
        <v>539</v>
      </c>
      <c r="G2145" s="4" t="s">
        <v>26</v>
      </c>
      <c r="H2145" s="4" t="s">
        <v>27</v>
      </c>
      <c r="I2145" s="4" t="s">
        <v>715</v>
      </c>
      <c r="J2145" s="4" t="s">
        <v>715</v>
      </c>
      <c r="K2145" s="5">
        <v>6003073</v>
      </c>
      <c r="L2145" s="5">
        <v>274753</v>
      </c>
      <c r="M2145" s="5">
        <v>19</v>
      </c>
      <c r="N2145" s="5">
        <v>4</v>
      </c>
      <c r="O2145" s="5">
        <v>39.200000000000003</v>
      </c>
      <c r="P2145" s="5"/>
    </row>
    <row r="2146" spans="1:16" x14ac:dyDescent="0.25">
      <c r="A2146" s="4" t="s">
        <v>54</v>
      </c>
      <c r="B2146" s="4" t="s">
        <v>639</v>
      </c>
      <c r="C2146" s="5">
        <v>39900</v>
      </c>
      <c r="D2146" s="4" t="s">
        <v>23</v>
      </c>
      <c r="E2146" s="4" t="s">
        <v>363</v>
      </c>
      <c r="F2146" s="4" t="s">
        <v>541</v>
      </c>
      <c r="G2146" s="4" t="s">
        <v>640</v>
      </c>
      <c r="H2146" s="4" t="s">
        <v>641</v>
      </c>
      <c r="I2146" s="4" t="s">
        <v>642</v>
      </c>
      <c r="J2146" s="4" t="s">
        <v>642</v>
      </c>
      <c r="K2146" s="5">
        <v>6284107</v>
      </c>
      <c r="L2146" s="5">
        <v>349529</v>
      </c>
      <c r="M2146" s="5">
        <v>19</v>
      </c>
      <c r="N2146" s="5">
        <v>1</v>
      </c>
      <c r="O2146" s="5">
        <v>1</v>
      </c>
      <c r="P2146" s="5"/>
    </row>
    <row r="2147" spans="1:16" ht="15" customHeight="1" x14ac:dyDescent="0.25">
      <c r="A2147" s="4" t="s">
        <v>54</v>
      </c>
      <c r="B2147" s="4" t="s">
        <v>675</v>
      </c>
      <c r="C2147" s="5">
        <v>39997</v>
      </c>
      <c r="D2147" s="4" t="s">
        <v>58</v>
      </c>
      <c r="E2147" s="4" t="s">
        <v>59</v>
      </c>
      <c r="F2147" s="4" t="s">
        <v>59</v>
      </c>
      <c r="G2147" s="4" t="s">
        <v>26</v>
      </c>
      <c r="H2147" s="4" t="s">
        <v>641</v>
      </c>
      <c r="I2147" s="4" t="s">
        <v>642</v>
      </c>
      <c r="J2147" s="4" t="s">
        <v>642</v>
      </c>
      <c r="K2147" s="5">
        <v>5852508</v>
      </c>
      <c r="L2147" s="5">
        <v>742839</v>
      </c>
      <c r="M2147" s="5">
        <v>18</v>
      </c>
      <c r="N2147" s="5">
        <v>1</v>
      </c>
      <c r="O2147" s="5">
        <v>0.04</v>
      </c>
      <c r="P2147" s="16" t="s">
        <v>708</v>
      </c>
    </row>
    <row r="2148" spans="1:16" x14ac:dyDescent="0.25">
      <c r="A2148" s="4" t="s">
        <v>54</v>
      </c>
      <c r="B2148" s="4" t="s">
        <v>675</v>
      </c>
      <c r="C2148" s="5">
        <v>40004</v>
      </c>
      <c r="D2148" s="4" t="s">
        <v>58</v>
      </c>
      <c r="E2148" s="4" t="s">
        <v>59</v>
      </c>
      <c r="F2148" s="4" t="s">
        <v>59</v>
      </c>
      <c r="G2148" s="4" t="s">
        <v>26</v>
      </c>
      <c r="H2148" s="4" t="s">
        <v>641</v>
      </c>
      <c r="I2148" s="4" t="s">
        <v>642</v>
      </c>
      <c r="J2148" s="4" t="s">
        <v>642</v>
      </c>
      <c r="K2148" s="5">
        <v>5852508</v>
      </c>
      <c r="L2148" s="5">
        <v>742839</v>
      </c>
      <c r="M2148" s="5">
        <v>18</v>
      </c>
      <c r="N2148" s="5">
        <v>1</v>
      </c>
      <c r="O2148" s="5">
        <v>0</v>
      </c>
      <c r="P2148" s="16"/>
    </row>
    <row r="2149" spans="1:16" x14ac:dyDescent="0.25">
      <c r="A2149" s="4" t="s">
        <v>54</v>
      </c>
      <c r="B2149" s="4" t="s">
        <v>675</v>
      </c>
      <c r="C2149" s="5">
        <v>40006</v>
      </c>
      <c r="D2149" s="4" t="s">
        <v>58</v>
      </c>
      <c r="E2149" s="4" t="s">
        <v>59</v>
      </c>
      <c r="F2149" s="4" t="s">
        <v>59</v>
      </c>
      <c r="G2149" s="4" t="s">
        <v>26</v>
      </c>
      <c r="H2149" s="4" t="s">
        <v>641</v>
      </c>
      <c r="I2149" s="4" t="s">
        <v>642</v>
      </c>
      <c r="J2149" s="4" t="s">
        <v>642</v>
      </c>
      <c r="K2149" s="5">
        <v>5852508</v>
      </c>
      <c r="L2149" s="5">
        <v>742839</v>
      </c>
      <c r="M2149" s="5">
        <v>18</v>
      </c>
      <c r="N2149" s="5">
        <v>1</v>
      </c>
      <c r="O2149" s="5">
        <v>0.01</v>
      </c>
      <c r="P2149" s="16"/>
    </row>
    <row r="2150" spans="1:16" x14ac:dyDescent="0.25">
      <c r="A2150" s="4" t="s">
        <v>54</v>
      </c>
      <c r="B2150" s="4" t="s">
        <v>675</v>
      </c>
      <c r="C2150" s="5">
        <v>40011</v>
      </c>
      <c r="D2150" s="4" t="s">
        <v>58</v>
      </c>
      <c r="E2150" s="4" t="s">
        <v>59</v>
      </c>
      <c r="F2150" s="4" t="s">
        <v>59</v>
      </c>
      <c r="G2150" s="4" t="s">
        <v>26</v>
      </c>
      <c r="H2150" s="4" t="s">
        <v>641</v>
      </c>
      <c r="I2150" s="4" t="s">
        <v>642</v>
      </c>
      <c r="J2150" s="4" t="s">
        <v>642</v>
      </c>
      <c r="K2150" s="5">
        <v>5852508</v>
      </c>
      <c r="L2150" s="5">
        <v>742839</v>
      </c>
      <c r="M2150" s="5">
        <v>18</v>
      </c>
      <c r="N2150" s="5">
        <v>1</v>
      </c>
      <c r="O2150" s="5">
        <v>0.02</v>
      </c>
      <c r="P2150" s="16"/>
    </row>
    <row r="2151" spans="1:16" x14ac:dyDescent="0.25">
      <c r="A2151" s="4" t="s">
        <v>54</v>
      </c>
      <c r="B2151" s="4" t="s">
        <v>675</v>
      </c>
      <c r="C2151" s="5">
        <v>40015</v>
      </c>
      <c r="D2151" s="4" t="s">
        <v>58</v>
      </c>
      <c r="E2151" s="4" t="s">
        <v>59</v>
      </c>
      <c r="F2151" s="4" t="s">
        <v>59</v>
      </c>
      <c r="G2151" s="4" t="s">
        <v>26</v>
      </c>
      <c r="H2151" s="4" t="s">
        <v>641</v>
      </c>
      <c r="I2151" s="4" t="s">
        <v>642</v>
      </c>
      <c r="J2151" s="4" t="s">
        <v>642</v>
      </c>
      <c r="K2151" s="5">
        <v>5852508</v>
      </c>
      <c r="L2151" s="5">
        <v>742839</v>
      </c>
      <c r="M2151" s="5">
        <v>18</v>
      </c>
      <c r="N2151" s="5">
        <v>1</v>
      </c>
      <c r="O2151" s="5">
        <v>0.17</v>
      </c>
      <c r="P2151" s="16"/>
    </row>
    <row r="2152" spans="1:16" x14ac:dyDescent="0.25">
      <c r="A2152" s="4" t="s">
        <v>54</v>
      </c>
      <c r="B2152" s="4" t="s">
        <v>675</v>
      </c>
      <c r="C2152" s="5">
        <v>40017</v>
      </c>
      <c r="D2152" s="4" t="s">
        <v>58</v>
      </c>
      <c r="E2152" s="4" t="s">
        <v>59</v>
      </c>
      <c r="F2152" s="4" t="s">
        <v>59</v>
      </c>
      <c r="G2152" s="4" t="s">
        <v>26</v>
      </c>
      <c r="H2152" s="4" t="s">
        <v>641</v>
      </c>
      <c r="I2152" s="4" t="s">
        <v>642</v>
      </c>
      <c r="J2152" s="4" t="s">
        <v>642</v>
      </c>
      <c r="K2152" s="5">
        <v>5852508</v>
      </c>
      <c r="L2152" s="5">
        <v>742839</v>
      </c>
      <c r="M2152" s="5">
        <v>18</v>
      </c>
      <c r="N2152" s="5">
        <v>1</v>
      </c>
      <c r="O2152" s="5">
        <v>0</v>
      </c>
      <c r="P2152" s="16"/>
    </row>
    <row r="2153" spans="1:16" x14ac:dyDescent="0.25">
      <c r="A2153" s="4" t="s">
        <v>54</v>
      </c>
      <c r="B2153" s="4" t="s">
        <v>675</v>
      </c>
      <c r="C2153" s="5">
        <v>40059</v>
      </c>
      <c r="D2153" s="4" t="s">
        <v>58</v>
      </c>
      <c r="E2153" s="4" t="s">
        <v>59</v>
      </c>
      <c r="F2153" s="4" t="s">
        <v>59</v>
      </c>
      <c r="G2153" s="4" t="s">
        <v>26</v>
      </c>
      <c r="H2153" s="4" t="s">
        <v>641</v>
      </c>
      <c r="I2153" s="4" t="s">
        <v>642</v>
      </c>
      <c r="J2153" s="4" t="s">
        <v>642</v>
      </c>
      <c r="K2153" s="5">
        <v>5852508</v>
      </c>
      <c r="L2153" s="5">
        <v>742839</v>
      </c>
      <c r="M2153" s="5">
        <v>18</v>
      </c>
      <c r="N2153" s="5">
        <v>1</v>
      </c>
      <c r="O2153" s="5">
        <v>0</v>
      </c>
      <c r="P2153" s="16"/>
    </row>
    <row r="2154" spans="1:16" x14ac:dyDescent="0.25">
      <c r="A2154" s="4" t="s">
        <v>54</v>
      </c>
      <c r="B2154" s="4" t="s">
        <v>675</v>
      </c>
      <c r="C2154" s="5">
        <v>40063</v>
      </c>
      <c r="D2154" s="4" t="s">
        <v>58</v>
      </c>
      <c r="E2154" s="4" t="s">
        <v>59</v>
      </c>
      <c r="F2154" s="4" t="s">
        <v>59</v>
      </c>
      <c r="G2154" s="4" t="s">
        <v>26</v>
      </c>
      <c r="H2154" s="4" t="s">
        <v>641</v>
      </c>
      <c r="I2154" s="4" t="s">
        <v>642</v>
      </c>
      <c r="J2154" s="4" t="s">
        <v>642</v>
      </c>
      <c r="K2154" s="5">
        <v>5852508</v>
      </c>
      <c r="L2154" s="5">
        <v>742839</v>
      </c>
      <c r="M2154" s="5">
        <v>18</v>
      </c>
      <c r="N2154" s="5">
        <v>1</v>
      </c>
      <c r="O2154" s="5">
        <v>0.04</v>
      </c>
      <c r="P2154" s="16"/>
    </row>
    <row r="2155" spans="1:16" x14ac:dyDescent="0.25">
      <c r="A2155" s="4" t="s">
        <v>54</v>
      </c>
      <c r="B2155" s="4" t="s">
        <v>675</v>
      </c>
      <c r="C2155" s="5">
        <v>40065</v>
      </c>
      <c r="D2155" s="4" t="s">
        <v>58</v>
      </c>
      <c r="E2155" s="4" t="s">
        <v>59</v>
      </c>
      <c r="F2155" s="4" t="s">
        <v>59</v>
      </c>
      <c r="G2155" s="4" t="s">
        <v>26</v>
      </c>
      <c r="H2155" s="4" t="s">
        <v>641</v>
      </c>
      <c r="I2155" s="4" t="s">
        <v>642</v>
      </c>
      <c r="J2155" s="4" t="s">
        <v>642</v>
      </c>
      <c r="K2155" s="5">
        <v>5852508</v>
      </c>
      <c r="L2155" s="5">
        <v>742839</v>
      </c>
      <c r="M2155" s="5">
        <v>18</v>
      </c>
      <c r="N2155" s="5">
        <v>1</v>
      </c>
      <c r="O2155" s="5">
        <v>0.04</v>
      </c>
      <c r="P2155" s="16"/>
    </row>
    <row r="2156" spans="1:16" x14ac:dyDescent="0.25">
      <c r="A2156" s="4" t="s">
        <v>54</v>
      </c>
      <c r="B2156" s="4" t="s">
        <v>675</v>
      </c>
      <c r="C2156" s="5">
        <v>40067</v>
      </c>
      <c r="D2156" s="4" t="s">
        <v>58</v>
      </c>
      <c r="E2156" s="4" t="s">
        <v>59</v>
      </c>
      <c r="F2156" s="4" t="s">
        <v>59</v>
      </c>
      <c r="G2156" s="4" t="s">
        <v>26</v>
      </c>
      <c r="H2156" s="4" t="s">
        <v>641</v>
      </c>
      <c r="I2156" s="4" t="s">
        <v>642</v>
      </c>
      <c r="J2156" s="4" t="s">
        <v>642</v>
      </c>
      <c r="K2156" s="5">
        <v>5852508</v>
      </c>
      <c r="L2156" s="5">
        <v>742839</v>
      </c>
      <c r="M2156" s="5">
        <v>18</v>
      </c>
      <c r="N2156" s="5">
        <v>1</v>
      </c>
      <c r="O2156" s="5">
        <v>0</v>
      </c>
      <c r="P2156" s="16"/>
    </row>
    <row r="2157" spans="1:16" x14ac:dyDescent="0.25">
      <c r="A2157" s="4" t="s">
        <v>54</v>
      </c>
      <c r="B2157" s="4" t="s">
        <v>675</v>
      </c>
      <c r="C2157" s="5">
        <v>40070</v>
      </c>
      <c r="D2157" s="4" t="s">
        <v>58</v>
      </c>
      <c r="E2157" s="4" t="s">
        <v>59</v>
      </c>
      <c r="F2157" s="4" t="s">
        <v>59</v>
      </c>
      <c r="G2157" s="4" t="s">
        <v>26</v>
      </c>
      <c r="H2157" s="4" t="s">
        <v>641</v>
      </c>
      <c r="I2157" s="4" t="s">
        <v>642</v>
      </c>
      <c r="J2157" s="4" t="s">
        <v>642</v>
      </c>
      <c r="K2157" s="5">
        <v>5852508</v>
      </c>
      <c r="L2157" s="5">
        <v>742839</v>
      </c>
      <c r="M2157" s="5">
        <v>18</v>
      </c>
      <c r="N2157" s="5">
        <v>1</v>
      </c>
      <c r="O2157" s="5">
        <v>0.01</v>
      </c>
      <c r="P2157" s="16"/>
    </row>
    <row r="2158" spans="1:16" x14ac:dyDescent="0.25">
      <c r="A2158" s="4" t="s">
        <v>54</v>
      </c>
      <c r="B2158" s="4" t="s">
        <v>675</v>
      </c>
      <c r="C2158" s="5">
        <v>40071</v>
      </c>
      <c r="D2158" s="4" t="s">
        <v>58</v>
      </c>
      <c r="E2158" s="4" t="s">
        <v>59</v>
      </c>
      <c r="F2158" s="4" t="s">
        <v>59</v>
      </c>
      <c r="G2158" s="4" t="s">
        <v>26</v>
      </c>
      <c r="H2158" s="4" t="s">
        <v>641</v>
      </c>
      <c r="I2158" s="4" t="s">
        <v>642</v>
      </c>
      <c r="J2158" s="4" t="s">
        <v>642</v>
      </c>
      <c r="K2158" s="5">
        <v>5852508</v>
      </c>
      <c r="L2158" s="5">
        <v>742839</v>
      </c>
      <c r="M2158" s="5">
        <v>18</v>
      </c>
      <c r="N2158" s="5">
        <v>1</v>
      </c>
      <c r="O2158" s="5">
        <v>0</v>
      </c>
      <c r="P2158" s="16"/>
    </row>
    <row r="2159" spans="1:16" x14ac:dyDescent="0.25">
      <c r="A2159" s="4" t="s">
        <v>54</v>
      </c>
      <c r="B2159" s="4" t="s">
        <v>675</v>
      </c>
      <c r="C2159" s="5">
        <v>40073</v>
      </c>
      <c r="D2159" s="4" t="s">
        <v>58</v>
      </c>
      <c r="E2159" s="4" t="s">
        <v>59</v>
      </c>
      <c r="F2159" s="4" t="s">
        <v>59</v>
      </c>
      <c r="G2159" s="4" t="s">
        <v>26</v>
      </c>
      <c r="H2159" s="4" t="s">
        <v>641</v>
      </c>
      <c r="I2159" s="4" t="s">
        <v>642</v>
      </c>
      <c r="J2159" s="4" t="s">
        <v>642</v>
      </c>
      <c r="K2159" s="5">
        <v>5852508</v>
      </c>
      <c r="L2159" s="5">
        <v>742839</v>
      </c>
      <c r="M2159" s="5">
        <v>18</v>
      </c>
      <c r="N2159" s="5">
        <v>1</v>
      </c>
      <c r="O2159" s="5">
        <v>0.01</v>
      </c>
      <c r="P2159" s="16"/>
    </row>
    <row r="2160" spans="1:16" x14ac:dyDescent="0.25">
      <c r="A2160" s="4" t="s">
        <v>54</v>
      </c>
      <c r="B2160" s="4" t="s">
        <v>675</v>
      </c>
      <c r="C2160" s="5">
        <v>40074</v>
      </c>
      <c r="D2160" s="4" t="s">
        <v>58</v>
      </c>
      <c r="E2160" s="4" t="s">
        <v>59</v>
      </c>
      <c r="F2160" s="4" t="s">
        <v>59</v>
      </c>
      <c r="G2160" s="4" t="s">
        <v>26</v>
      </c>
      <c r="H2160" s="4" t="s">
        <v>641</v>
      </c>
      <c r="I2160" s="4" t="s">
        <v>642</v>
      </c>
      <c r="J2160" s="4" t="s">
        <v>642</v>
      </c>
      <c r="K2160" s="5">
        <v>5852508</v>
      </c>
      <c r="L2160" s="5">
        <v>742839</v>
      </c>
      <c r="M2160" s="5">
        <v>18</v>
      </c>
      <c r="N2160" s="5">
        <v>1</v>
      </c>
      <c r="O2160" s="5">
        <v>0.01</v>
      </c>
      <c r="P2160" s="16"/>
    </row>
    <row r="2161" spans="1:16" x14ac:dyDescent="0.25">
      <c r="A2161" s="4" t="s">
        <v>54</v>
      </c>
      <c r="B2161" s="4" t="s">
        <v>675</v>
      </c>
      <c r="C2161" s="5">
        <v>40075</v>
      </c>
      <c r="D2161" s="4" t="s">
        <v>58</v>
      </c>
      <c r="E2161" s="4" t="s">
        <v>59</v>
      </c>
      <c r="F2161" s="4" t="s">
        <v>59</v>
      </c>
      <c r="G2161" s="4" t="s">
        <v>26</v>
      </c>
      <c r="H2161" s="4" t="s">
        <v>641</v>
      </c>
      <c r="I2161" s="4" t="s">
        <v>642</v>
      </c>
      <c r="J2161" s="4" t="s">
        <v>642</v>
      </c>
      <c r="K2161" s="5">
        <v>5852508</v>
      </c>
      <c r="L2161" s="5">
        <v>742839</v>
      </c>
      <c r="M2161" s="5">
        <v>18</v>
      </c>
      <c r="N2161" s="5">
        <v>1</v>
      </c>
      <c r="O2161" s="5">
        <v>0.02</v>
      </c>
      <c r="P2161" s="16"/>
    </row>
    <row r="2162" spans="1:16" x14ac:dyDescent="0.25">
      <c r="A2162" s="4" t="s">
        <v>54</v>
      </c>
      <c r="B2162" s="4" t="s">
        <v>675</v>
      </c>
      <c r="C2162" s="5">
        <v>40076</v>
      </c>
      <c r="D2162" s="4" t="s">
        <v>58</v>
      </c>
      <c r="E2162" s="4" t="s">
        <v>59</v>
      </c>
      <c r="F2162" s="4" t="s">
        <v>59</v>
      </c>
      <c r="G2162" s="4" t="s">
        <v>26</v>
      </c>
      <c r="H2162" s="4" t="s">
        <v>641</v>
      </c>
      <c r="I2162" s="4" t="s">
        <v>642</v>
      </c>
      <c r="J2162" s="4" t="s">
        <v>642</v>
      </c>
      <c r="K2162" s="5">
        <v>5852508</v>
      </c>
      <c r="L2162" s="5">
        <v>742839</v>
      </c>
      <c r="M2162" s="5">
        <v>18</v>
      </c>
      <c r="N2162" s="5">
        <v>1</v>
      </c>
      <c r="O2162" s="5">
        <v>7.0000000000000007E-2</v>
      </c>
      <c r="P2162" s="16"/>
    </row>
    <row r="2163" spans="1:16" x14ac:dyDescent="0.25">
      <c r="A2163" s="4" t="s">
        <v>54</v>
      </c>
      <c r="B2163" s="4" t="s">
        <v>675</v>
      </c>
      <c r="C2163" s="5">
        <v>40077</v>
      </c>
      <c r="D2163" s="4" t="s">
        <v>58</v>
      </c>
      <c r="E2163" s="4" t="s">
        <v>59</v>
      </c>
      <c r="F2163" s="4" t="s">
        <v>59</v>
      </c>
      <c r="G2163" s="4" t="s">
        <v>26</v>
      </c>
      <c r="H2163" s="4" t="s">
        <v>641</v>
      </c>
      <c r="I2163" s="4" t="s">
        <v>642</v>
      </c>
      <c r="J2163" s="4" t="s">
        <v>642</v>
      </c>
      <c r="K2163" s="5">
        <v>5852508</v>
      </c>
      <c r="L2163" s="5">
        <v>742839</v>
      </c>
      <c r="M2163" s="5">
        <v>18</v>
      </c>
      <c r="N2163" s="5">
        <v>1</v>
      </c>
      <c r="O2163" s="5">
        <v>0</v>
      </c>
      <c r="P2163" s="16"/>
    </row>
    <row r="2164" spans="1:16" x14ac:dyDescent="0.25">
      <c r="A2164" s="4" t="s">
        <v>54</v>
      </c>
      <c r="B2164" s="4" t="s">
        <v>675</v>
      </c>
      <c r="C2164" s="5">
        <v>40079</v>
      </c>
      <c r="D2164" s="4" t="s">
        <v>58</v>
      </c>
      <c r="E2164" s="4" t="s">
        <v>59</v>
      </c>
      <c r="F2164" s="4" t="s">
        <v>59</v>
      </c>
      <c r="G2164" s="4" t="s">
        <v>26</v>
      </c>
      <c r="H2164" s="4" t="s">
        <v>641</v>
      </c>
      <c r="I2164" s="4" t="s">
        <v>642</v>
      </c>
      <c r="J2164" s="4" t="s">
        <v>642</v>
      </c>
      <c r="K2164" s="5">
        <v>5852508</v>
      </c>
      <c r="L2164" s="5">
        <v>742839</v>
      </c>
      <c r="M2164" s="5">
        <v>18</v>
      </c>
      <c r="N2164" s="5">
        <v>1</v>
      </c>
      <c r="O2164" s="5">
        <v>0.04</v>
      </c>
      <c r="P2164" s="16"/>
    </row>
    <row r="2165" spans="1:16" x14ac:dyDescent="0.25">
      <c r="A2165" s="4" t="s">
        <v>54</v>
      </c>
      <c r="B2165" s="4" t="s">
        <v>675</v>
      </c>
      <c r="C2165" s="5">
        <v>40081</v>
      </c>
      <c r="D2165" s="4" t="s">
        <v>58</v>
      </c>
      <c r="E2165" s="4" t="s">
        <v>59</v>
      </c>
      <c r="F2165" s="4" t="s">
        <v>59</v>
      </c>
      <c r="G2165" s="4" t="s">
        <v>26</v>
      </c>
      <c r="H2165" s="4" t="s">
        <v>641</v>
      </c>
      <c r="I2165" s="4" t="s">
        <v>642</v>
      </c>
      <c r="J2165" s="4" t="s">
        <v>642</v>
      </c>
      <c r="K2165" s="5">
        <v>5852508</v>
      </c>
      <c r="L2165" s="5">
        <v>742839</v>
      </c>
      <c r="M2165" s="5">
        <v>18</v>
      </c>
      <c r="N2165" s="5">
        <v>1</v>
      </c>
      <c r="O2165" s="5">
        <v>0</v>
      </c>
      <c r="P2165" s="16"/>
    </row>
    <row r="2166" spans="1:16" x14ac:dyDescent="0.25">
      <c r="A2166" s="4" t="s">
        <v>54</v>
      </c>
      <c r="B2166" s="4" t="s">
        <v>675</v>
      </c>
      <c r="C2166" s="5">
        <v>40082</v>
      </c>
      <c r="D2166" s="4" t="s">
        <v>58</v>
      </c>
      <c r="E2166" s="4" t="s">
        <v>59</v>
      </c>
      <c r="F2166" s="4" t="s">
        <v>59</v>
      </c>
      <c r="G2166" s="4" t="s">
        <v>26</v>
      </c>
      <c r="H2166" s="4" t="s">
        <v>641</v>
      </c>
      <c r="I2166" s="4" t="s">
        <v>642</v>
      </c>
      <c r="J2166" s="4" t="s">
        <v>642</v>
      </c>
      <c r="K2166" s="5">
        <v>5852508</v>
      </c>
      <c r="L2166" s="5">
        <v>742839</v>
      </c>
      <c r="M2166" s="5">
        <v>18</v>
      </c>
      <c r="N2166" s="5">
        <v>1</v>
      </c>
      <c r="O2166" s="5">
        <v>0</v>
      </c>
      <c r="P2166" s="16"/>
    </row>
    <row r="2167" spans="1:16" x14ac:dyDescent="0.25">
      <c r="A2167" s="4" t="s">
        <v>54</v>
      </c>
      <c r="B2167" s="4" t="s">
        <v>675</v>
      </c>
      <c r="C2167" s="5">
        <v>40101</v>
      </c>
      <c r="D2167" s="4" t="s">
        <v>58</v>
      </c>
      <c r="E2167" s="4" t="s">
        <v>59</v>
      </c>
      <c r="F2167" s="4" t="s">
        <v>59</v>
      </c>
      <c r="G2167" s="4" t="s">
        <v>26</v>
      </c>
      <c r="H2167" s="4" t="s">
        <v>641</v>
      </c>
      <c r="I2167" s="4" t="s">
        <v>642</v>
      </c>
      <c r="J2167" s="4" t="s">
        <v>642</v>
      </c>
      <c r="K2167" s="5">
        <v>5852508</v>
      </c>
      <c r="L2167" s="5">
        <v>742839</v>
      </c>
      <c r="M2167" s="5">
        <v>18</v>
      </c>
      <c r="N2167" s="5">
        <v>1</v>
      </c>
      <c r="O2167" s="5">
        <v>0</v>
      </c>
      <c r="P2167" s="16"/>
    </row>
    <row r="2168" spans="1:16" x14ac:dyDescent="0.25">
      <c r="A2168" s="4" t="s">
        <v>54</v>
      </c>
      <c r="B2168" s="4" t="s">
        <v>675</v>
      </c>
      <c r="C2168" s="5">
        <v>40103</v>
      </c>
      <c r="D2168" s="4" t="s">
        <v>58</v>
      </c>
      <c r="E2168" s="4" t="s">
        <v>59</v>
      </c>
      <c r="F2168" s="4" t="s">
        <v>59</v>
      </c>
      <c r="G2168" s="4" t="s">
        <v>26</v>
      </c>
      <c r="H2168" s="4" t="s">
        <v>641</v>
      </c>
      <c r="I2168" s="4" t="s">
        <v>642</v>
      </c>
      <c r="J2168" s="4" t="s">
        <v>642</v>
      </c>
      <c r="K2168" s="5">
        <v>5852508</v>
      </c>
      <c r="L2168" s="5">
        <v>742839</v>
      </c>
      <c r="M2168" s="5">
        <v>18</v>
      </c>
      <c r="N2168" s="5">
        <v>1</v>
      </c>
      <c r="O2168" s="5">
        <v>0</v>
      </c>
      <c r="P2168" s="16"/>
    </row>
    <row r="2169" spans="1:16" x14ac:dyDescent="0.25">
      <c r="A2169" s="4" t="s">
        <v>54</v>
      </c>
      <c r="B2169" s="4" t="s">
        <v>675</v>
      </c>
      <c r="C2169" s="5">
        <v>40105</v>
      </c>
      <c r="D2169" s="4" t="s">
        <v>58</v>
      </c>
      <c r="E2169" s="4" t="s">
        <v>59</v>
      </c>
      <c r="F2169" s="4" t="s">
        <v>59</v>
      </c>
      <c r="G2169" s="4" t="s">
        <v>26</v>
      </c>
      <c r="H2169" s="4" t="s">
        <v>641</v>
      </c>
      <c r="I2169" s="4" t="s">
        <v>642</v>
      </c>
      <c r="J2169" s="4" t="s">
        <v>642</v>
      </c>
      <c r="K2169" s="5">
        <v>5852508</v>
      </c>
      <c r="L2169" s="5">
        <v>742839</v>
      </c>
      <c r="M2169" s="5">
        <v>18</v>
      </c>
      <c r="N2169" s="5">
        <v>1</v>
      </c>
      <c r="O2169" s="5">
        <v>0.02</v>
      </c>
      <c r="P2169" s="16"/>
    </row>
    <row r="2170" spans="1:16" x14ac:dyDescent="0.25">
      <c r="A2170" s="4" t="s">
        <v>54</v>
      </c>
      <c r="B2170" s="4" t="s">
        <v>675</v>
      </c>
      <c r="C2170" s="5">
        <v>40107</v>
      </c>
      <c r="D2170" s="4" t="s">
        <v>58</v>
      </c>
      <c r="E2170" s="4" t="s">
        <v>59</v>
      </c>
      <c r="F2170" s="4" t="s">
        <v>59</v>
      </c>
      <c r="G2170" s="4" t="s">
        <v>26</v>
      </c>
      <c r="H2170" s="4" t="s">
        <v>641</v>
      </c>
      <c r="I2170" s="4" t="s">
        <v>642</v>
      </c>
      <c r="J2170" s="4" t="s">
        <v>642</v>
      </c>
      <c r="K2170" s="5">
        <v>5852508</v>
      </c>
      <c r="L2170" s="5">
        <v>742839</v>
      </c>
      <c r="M2170" s="5">
        <v>18</v>
      </c>
      <c r="N2170" s="5">
        <v>1</v>
      </c>
      <c r="O2170" s="5">
        <v>0</v>
      </c>
      <c r="P2170" s="16"/>
    </row>
    <row r="2171" spans="1:16" x14ac:dyDescent="0.25">
      <c r="A2171" s="4" t="s">
        <v>54</v>
      </c>
      <c r="B2171" s="4" t="s">
        <v>675</v>
      </c>
      <c r="C2171" s="5">
        <v>40109</v>
      </c>
      <c r="D2171" s="4" t="s">
        <v>58</v>
      </c>
      <c r="E2171" s="4" t="s">
        <v>59</v>
      </c>
      <c r="F2171" s="4" t="s">
        <v>59</v>
      </c>
      <c r="G2171" s="4" t="s">
        <v>26</v>
      </c>
      <c r="H2171" s="4" t="s">
        <v>641</v>
      </c>
      <c r="I2171" s="4" t="s">
        <v>642</v>
      </c>
      <c r="J2171" s="4" t="s">
        <v>642</v>
      </c>
      <c r="K2171" s="5">
        <v>5852508</v>
      </c>
      <c r="L2171" s="5">
        <v>742839</v>
      </c>
      <c r="M2171" s="5">
        <v>18</v>
      </c>
      <c r="N2171" s="5">
        <v>1</v>
      </c>
      <c r="O2171" s="5">
        <v>0</v>
      </c>
      <c r="P2171" s="16"/>
    </row>
    <row r="2172" spans="1:16" x14ac:dyDescent="0.25">
      <c r="A2172" s="4" t="s">
        <v>54</v>
      </c>
      <c r="B2172" s="4" t="s">
        <v>675</v>
      </c>
      <c r="C2172" s="5">
        <v>40114</v>
      </c>
      <c r="D2172" s="4" t="s">
        <v>58</v>
      </c>
      <c r="E2172" s="4" t="s">
        <v>59</v>
      </c>
      <c r="F2172" s="4" t="s">
        <v>59</v>
      </c>
      <c r="G2172" s="4" t="s">
        <v>26</v>
      </c>
      <c r="H2172" s="4" t="s">
        <v>641</v>
      </c>
      <c r="I2172" s="4" t="s">
        <v>642</v>
      </c>
      <c r="J2172" s="4" t="s">
        <v>642</v>
      </c>
      <c r="K2172" s="5">
        <v>5852508</v>
      </c>
      <c r="L2172" s="5">
        <v>742839</v>
      </c>
      <c r="M2172" s="5">
        <v>18</v>
      </c>
      <c r="N2172" s="5">
        <v>1</v>
      </c>
      <c r="O2172" s="5">
        <v>0</v>
      </c>
      <c r="P2172" s="16"/>
    </row>
    <row r="2173" spans="1:16" x14ac:dyDescent="0.25">
      <c r="A2173" s="4" t="s">
        <v>54</v>
      </c>
      <c r="B2173" s="4" t="s">
        <v>675</v>
      </c>
      <c r="C2173" s="5">
        <v>40118</v>
      </c>
      <c r="D2173" s="4" t="s">
        <v>58</v>
      </c>
      <c r="E2173" s="4" t="s">
        <v>59</v>
      </c>
      <c r="F2173" s="4" t="s">
        <v>59</v>
      </c>
      <c r="G2173" s="4" t="s">
        <v>26</v>
      </c>
      <c r="H2173" s="4" t="s">
        <v>641</v>
      </c>
      <c r="I2173" s="4" t="s">
        <v>642</v>
      </c>
      <c r="J2173" s="4" t="s">
        <v>642</v>
      </c>
      <c r="K2173" s="5">
        <v>5852508</v>
      </c>
      <c r="L2173" s="5">
        <v>742839</v>
      </c>
      <c r="M2173" s="5">
        <v>18</v>
      </c>
      <c r="N2173" s="5">
        <v>1</v>
      </c>
      <c r="O2173" s="5">
        <v>0</v>
      </c>
      <c r="P2173" s="16"/>
    </row>
    <row r="2174" spans="1:16" x14ac:dyDescent="0.25">
      <c r="A2174" s="4" t="s">
        <v>54</v>
      </c>
      <c r="B2174" s="4" t="s">
        <v>675</v>
      </c>
      <c r="C2174" s="5">
        <v>40138</v>
      </c>
      <c r="D2174" s="4" t="s">
        <v>58</v>
      </c>
      <c r="E2174" s="4" t="s">
        <v>59</v>
      </c>
      <c r="F2174" s="4" t="s">
        <v>59</v>
      </c>
      <c r="G2174" s="4" t="s">
        <v>26</v>
      </c>
      <c r="H2174" s="4" t="s">
        <v>641</v>
      </c>
      <c r="I2174" s="4" t="s">
        <v>642</v>
      </c>
      <c r="J2174" s="4" t="s">
        <v>642</v>
      </c>
      <c r="K2174" s="5">
        <v>5852508</v>
      </c>
      <c r="L2174" s="5">
        <v>742839</v>
      </c>
      <c r="M2174" s="5">
        <v>18</v>
      </c>
      <c r="N2174" s="5">
        <v>1</v>
      </c>
      <c r="O2174" s="5">
        <v>0</v>
      </c>
      <c r="P2174" s="16"/>
    </row>
    <row r="2175" spans="1:16" x14ac:dyDescent="0.25">
      <c r="A2175" s="4" t="s">
        <v>54</v>
      </c>
      <c r="B2175" s="4" t="s">
        <v>675</v>
      </c>
      <c r="C2175" s="5">
        <v>40139</v>
      </c>
      <c r="D2175" s="4" t="s">
        <v>58</v>
      </c>
      <c r="E2175" s="4" t="s">
        <v>59</v>
      </c>
      <c r="F2175" s="4" t="s">
        <v>59</v>
      </c>
      <c r="G2175" s="4" t="s">
        <v>26</v>
      </c>
      <c r="H2175" s="4" t="s">
        <v>641</v>
      </c>
      <c r="I2175" s="4" t="s">
        <v>642</v>
      </c>
      <c r="J2175" s="4" t="s">
        <v>642</v>
      </c>
      <c r="K2175" s="5">
        <v>5852508</v>
      </c>
      <c r="L2175" s="5">
        <v>742839</v>
      </c>
      <c r="M2175" s="5">
        <v>18</v>
      </c>
      <c r="N2175" s="5">
        <v>1</v>
      </c>
      <c r="O2175" s="5">
        <v>0</v>
      </c>
      <c r="P2175" s="16"/>
    </row>
    <row r="2176" spans="1:16" x14ac:dyDescent="0.25">
      <c r="A2176" s="4" t="s">
        <v>54</v>
      </c>
      <c r="B2176" s="4" t="s">
        <v>675</v>
      </c>
      <c r="C2176" s="5">
        <v>40141</v>
      </c>
      <c r="D2176" s="4" t="s">
        <v>58</v>
      </c>
      <c r="E2176" s="4" t="s">
        <v>59</v>
      </c>
      <c r="F2176" s="4" t="s">
        <v>59</v>
      </c>
      <c r="G2176" s="4" t="s">
        <v>26</v>
      </c>
      <c r="H2176" s="4" t="s">
        <v>641</v>
      </c>
      <c r="I2176" s="4" t="s">
        <v>642</v>
      </c>
      <c r="J2176" s="4" t="s">
        <v>642</v>
      </c>
      <c r="K2176" s="5">
        <v>5852508</v>
      </c>
      <c r="L2176" s="5">
        <v>742839</v>
      </c>
      <c r="M2176" s="5">
        <v>18</v>
      </c>
      <c r="N2176" s="5">
        <v>1</v>
      </c>
      <c r="O2176" s="5">
        <v>0</v>
      </c>
      <c r="P2176" s="16"/>
    </row>
    <row r="2177" spans="1:16" x14ac:dyDescent="0.25">
      <c r="A2177" s="4" t="s">
        <v>54</v>
      </c>
      <c r="B2177" s="4" t="s">
        <v>675</v>
      </c>
      <c r="C2177" s="5">
        <v>40142</v>
      </c>
      <c r="D2177" s="4" t="s">
        <v>58</v>
      </c>
      <c r="E2177" s="4" t="s">
        <v>59</v>
      </c>
      <c r="F2177" s="4" t="s">
        <v>59</v>
      </c>
      <c r="G2177" s="4" t="s">
        <v>26</v>
      </c>
      <c r="H2177" s="4" t="s">
        <v>641</v>
      </c>
      <c r="I2177" s="4" t="s">
        <v>642</v>
      </c>
      <c r="J2177" s="4" t="s">
        <v>642</v>
      </c>
      <c r="K2177" s="5">
        <v>5852508</v>
      </c>
      <c r="L2177" s="5">
        <v>742839</v>
      </c>
      <c r="M2177" s="5">
        <v>18</v>
      </c>
      <c r="N2177" s="5">
        <v>1</v>
      </c>
      <c r="O2177" s="5">
        <v>0</v>
      </c>
      <c r="P2177" s="16"/>
    </row>
    <row r="2178" spans="1:16" x14ac:dyDescent="0.25">
      <c r="A2178" s="4" t="s">
        <v>54</v>
      </c>
      <c r="B2178" s="4" t="s">
        <v>675</v>
      </c>
      <c r="C2178" s="5">
        <v>40143</v>
      </c>
      <c r="D2178" s="4" t="s">
        <v>58</v>
      </c>
      <c r="E2178" s="4" t="s">
        <v>59</v>
      </c>
      <c r="F2178" s="4" t="s">
        <v>59</v>
      </c>
      <c r="G2178" s="4" t="s">
        <v>26</v>
      </c>
      <c r="H2178" s="4" t="s">
        <v>641</v>
      </c>
      <c r="I2178" s="4" t="s">
        <v>642</v>
      </c>
      <c r="J2178" s="4" t="s">
        <v>642</v>
      </c>
      <c r="K2178" s="5">
        <v>5852505</v>
      </c>
      <c r="L2178" s="5">
        <v>742839</v>
      </c>
      <c r="M2178" s="5">
        <v>18</v>
      </c>
      <c r="N2178" s="5">
        <v>1</v>
      </c>
      <c r="O2178" s="5">
        <v>0</v>
      </c>
      <c r="P2178" s="16"/>
    </row>
    <row r="2179" spans="1:16" x14ac:dyDescent="0.25">
      <c r="A2179" s="4" t="s">
        <v>54</v>
      </c>
      <c r="B2179" s="4" t="s">
        <v>675</v>
      </c>
      <c r="C2179" s="5">
        <v>40144</v>
      </c>
      <c r="D2179" s="4" t="s">
        <v>58</v>
      </c>
      <c r="E2179" s="4" t="s">
        <v>59</v>
      </c>
      <c r="F2179" s="4" t="s">
        <v>59</v>
      </c>
      <c r="G2179" s="4" t="s">
        <v>26</v>
      </c>
      <c r="H2179" s="4" t="s">
        <v>641</v>
      </c>
      <c r="I2179" s="4" t="s">
        <v>642</v>
      </c>
      <c r="J2179" s="4" t="s">
        <v>642</v>
      </c>
      <c r="K2179" s="5">
        <v>5852508</v>
      </c>
      <c r="L2179" s="5">
        <v>742839</v>
      </c>
      <c r="M2179" s="5">
        <v>18</v>
      </c>
      <c r="N2179" s="5">
        <v>1</v>
      </c>
      <c r="O2179" s="5">
        <v>0.01</v>
      </c>
      <c r="P2179" s="16"/>
    </row>
    <row r="2186" spans="1:16" x14ac:dyDescent="0.25">
      <c r="M2186" t="s">
        <v>710</v>
      </c>
    </row>
  </sheetData>
  <autoFilter ref="A6:P2179"/>
  <mergeCells count="3">
    <mergeCell ref="P1079:P1082"/>
    <mergeCell ref="P2147:P2179"/>
    <mergeCell ref="P478:P479"/>
  </mergeCells>
  <pageMargins left="0.75" right="0.75" top="1" bottom="1" header="0.5" footer="0.5"/>
  <pageSetup orientation="portrait" r:id="rId1"/>
  <customProperties>
    <customPr name="DVSECTIONID" r:id="rId2"/>
  </customProperties>
  <drawing r:id="rId3"/>
  <legacyDrawing r:id="rId4"/>
  <controls>
    <mc:AlternateContent xmlns:mc="http://schemas.openxmlformats.org/markup-compatibility/2006">
      <mc:Choice Requires="x14">
        <control shapeId="1025" r:id="rId5" name="Control 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25" r:id="rId5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8:G68"/>
  <sheetViews>
    <sheetView workbookViewId="0">
      <selection activeCell="C4" sqref="C4"/>
    </sheetView>
  </sheetViews>
  <sheetFormatPr baseColWidth="10" defaultColWidth="11.5703125" defaultRowHeight="15" x14ac:dyDescent="0.25"/>
  <cols>
    <col min="1" max="1" width="12" bestFit="1" customWidth="1"/>
    <col min="2" max="2" width="16.42578125" bestFit="1" customWidth="1"/>
    <col min="3" max="3" width="12.28515625" bestFit="1" customWidth="1"/>
    <col min="4" max="4" width="57.5703125" bestFit="1" customWidth="1"/>
    <col min="5" max="5" width="21.28515625" bestFit="1" customWidth="1"/>
    <col min="6" max="6" width="28.42578125" bestFit="1" customWidth="1"/>
    <col min="7" max="7" width="79" bestFit="1" customWidth="1"/>
  </cols>
  <sheetData>
    <row r="8" spans="1:7" x14ac:dyDescent="0.25">
      <c r="A8" s="9" t="s">
        <v>713</v>
      </c>
      <c r="B8" s="9" t="s">
        <v>624</v>
      </c>
      <c r="C8" s="9" t="s">
        <v>625</v>
      </c>
      <c r="D8" s="9" t="s">
        <v>626</v>
      </c>
      <c r="E8" s="9" t="s">
        <v>627</v>
      </c>
      <c r="F8" s="9" t="s">
        <v>628</v>
      </c>
      <c r="G8" s="9" t="s">
        <v>629</v>
      </c>
    </row>
    <row r="9" spans="1:7" x14ac:dyDescent="0.25">
      <c r="A9" s="10">
        <v>39981</v>
      </c>
      <c r="B9" s="5" t="s">
        <v>57</v>
      </c>
      <c r="C9" s="5" t="s">
        <v>630</v>
      </c>
      <c r="D9" s="5" t="s">
        <v>557</v>
      </c>
      <c r="E9" s="5" t="s">
        <v>632</v>
      </c>
      <c r="F9" s="5" t="s">
        <v>575</v>
      </c>
      <c r="G9" s="5" t="s">
        <v>61</v>
      </c>
    </row>
    <row r="10" spans="1:7" x14ac:dyDescent="0.25">
      <c r="A10" s="10">
        <v>39862</v>
      </c>
      <c r="B10" s="5" t="s">
        <v>57</v>
      </c>
      <c r="C10" s="5" t="s">
        <v>630</v>
      </c>
      <c r="D10" s="5" t="s">
        <v>557</v>
      </c>
      <c r="E10" s="5" t="s">
        <v>632</v>
      </c>
      <c r="F10" s="5" t="s">
        <v>575</v>
      </c>
      <c r="G10" s="5" t="s">
        <v>61</v>
      </c>
    </row>
    <row r="11" spans="1:7" x14ac:dyDescent="0.25">
      <c r="A11" s="10">
        <v>39556</v>
      </c>
      <c r="B11" s="5" t="s">
        <v>57</v>
      </c>
      <c r="C11" s="5" t="s">
        <v>630</v>
      </c>
      <c r="D11" s="5" t="s">
        <v>557</v>
      </c>
      <c r="E11" s="5" t="s">
        <v>632</v>
      </c>
      <c r="F11" s="5" t="s">
        <v>346</v>
      </c>
      <c r="G11" s="5" t="s">
        <v>89</v>
      </c>
    </row>
    <row r="12" spans="1:7" x14ac:dyDescent="0.25">
      <c r="A12" s="10">
        <v>39556</v>
      </c>
      <c r="B12" s="5" t="s">
        <v>57</v>
      </c>
      <c r="C12" s="5" t="s">
        <v>630</v>
      </c>
      <c r="D12" s="5" t="s">
        <v>557</v>
      </c>
      <c r="E12" s="5" t="s">
        <v>632</v>
      </c>
      <c r="F12" s="5" t="s">
        <v>346</v>
      </c>
      <c r="G12" s="5" t="s">
        <v>88</v>
      </c>
    </row>
    <row r="13" spans="1:7" x14ac:dyDescent="0.25">
      <c r="A13" s="10">
        <v>39381</v>
      </c>
      <c r="B13" s="5" t="s">
        <v>57</v>
      </c>
      <c r="C13" s="5" t="s">
        <v>630</v>
      </c>
      <c r="D13" s="5" t="s">
        <v>557</v>
      </c>
      <c r="E13" s="5" t="s">
        <v>632</v>
      </c>
      <c r="F13" s="5" t="s">
        <v>574</v>
      </c>
      <c r="G13" s="5" t="s">
        <v>61</v>
      </c>
    </row>
    <row r="14" spans="1:7" x14ac:dyDescent="0.25">
      <c r="A14" s="10">
        <v>39378</v>
      </c>
      <c r="B14" s="5" t="s">
        <v>57</v>
      </c>
      <c r="C14" s="5" t="s">
        <v>630</v>
      </c>
      <c r="D14" s="5" t="s">
        <v>557</v>
      </c>
      <c r="E14" s="5" t="s">
        <v>632</v>
      </c>
      <c r="F14" s="5" t="s">
        <v>346</v>
      </c>
      <c r="G14" s="5" t="s">
        <v>61</v>
      </c>
    </row>
    <row r="15" spans="1:7" x14ac:dyDescent="0.25">
      <c r="A15" s="10">
        <v>38664</v>
      </c>
      <c r="B15" s="5" t="s">
        <v>57</v>
      </c>
      <c r="C15" s="5" t="s">
        <v>630</v>
      </c>
      <c r="D15" s="5" t="s">
        <v>557</v>
      </c>
      <c r="E15" s="5" t="s">
        <v>632</v>
      </c>
      <c r="F15" s="5" t="s">
        <v>346</v>
      </c>
      <c r="G15" s="5" t="s">
        <v>61</v>
      </c>
    </row>
    <row r="16" spans="1:7" x14ac:dyDescent="0.25">
      <c r="A16" s="10">
        <v>38644</v>
      </c>
      <c r="B16" s="5" t="s">
        <v>57</v>
      </c>
      <c r="C16" s="5" t="s">
        <v>630</v>
      </c>
      <c r="D16" s="5" t="s">
        <v>194</v>
      </c>
      <c r="E16" s="5" t="s">
        <v>633</v>
      </c>
      <c r="F16" s="5" t="s">
        <v>196</v>
      </c>
      <c r="G16" s="5" t="s">
        <v>61</v>
      </c>
    </row>
    <row r="17" spans="1:7" x14ac:dyDescent="0.25">
      <c r="A17" s="10">
        <v>38638</v>
      </c>
      <c r="B17" s="5" t="s">
        <v>57</v>
      </c>
      <c r="C17" s="5" t="s">
        <v>630</v>
      </c>
      <c r="D17" s="5" t="s">
        <v>557</v>
      </c>
      <c r="E17" s="5" t="s">
        <v>632</v>
      </c>
      <c r="F17" s="5" t="s">
        <v>572</v>
      </c>
      <c r="G17" s="5" t="s">
        <v>61</v>
      </c>
    </row>
    <row r="18" spans="1:7" x14ac:dyDescent="0.25">
      <c r="A18" s="10">
        <v>38042</v>
      </c>
      <c r="B18" s="5" t="s">
        <v>26</v>
      </c>
      <c r="C18" s="5" t="s">
        <v>630</v>
      </c>
      <c r="D18" s="5" t="s">
        <v>634</v>
      </c>
      <c r="E18" s="5" t="s">
        <v>631</v>
      </c>
      <c r="F18" s="5" t="s">
        <v>519</v>
      </c>
      <c r="G18" s="5" t="s">
        <v>635</v>
      </c>
    </row>
    <row r="19" spans="1:7" x14ac:dyDescent="0.25">
      <c r="A19" s="10">
        <v>37231</v>
      </c>
      <c r="B19" s="5" t="s">
        <v>57</v>
      </c>
      <c r="C19" s="5" t="s">
        <v>630</v>
      </c>
      <c r="D19" s="5" t="s">
        <v>636</v>
      </c>
      <c r="E19" s="5" t="s">
        <v>632</v>
      </c>
      <c r="F19" s="5" t="s">
        <v>184</v>
      </c>
      <c r="G19" s="5" t="s">
        <v>61</v>
      </c>
    </row>
    <row r="20" spans="1:7" x14ac:dyDescent="0.25">
      <c r="A20" s="10">
        <v>37225</v>
      </c>
      <c r="B20" s="5" t="s">
        <v>57</v>
      </c>
      <c r="C20" s="5" t="s">
        <v>630</v>
      </c>
      <c r="D20" s="5" t="s">
        <v>636</v>
      </c>
      <c r="E20" s="5" t="s">
        <v>632</v>
      </c>
      <c r="F20" s="5" t="s">
        <v>182</v>
      </c>
      <c r="G20" s="5" t="s">
        <v>61</v>
      </c>
    </row>
    <row r="21" spans="1:7" x14ac:dyDescent="0.25">
      <c r="A21" s="10">
        <v>37223</v>
      </c>
      <c r="B21" s="5" t="s">
        <v>57</v>
      </c>
      <c r="C21" s="5" t="s">
        <v>630</v>
      </c>
      <c r="D21" s="5" t="s">
        <v>636</v>
      </c>
      <c r="E21" s="5" t="s">
        <v>632</v>
      </c>
      <c r="F21" s="5" t="s">
        <v>182</v>
      </c>
      <c r="G21" s="5" t="s">
        <v>61</v>
      </c>
    </row>
    <row r="22" spans="1:7" x14ac:dyDescent="0.25">
      <c r="A22" s="10">
        <v>37096</v>
      </c>
      <c r="B22" s="5" t="s">
        <v>57</v>
      </c>
      <c r="C22" s="5" t="s">
        <v>630</v>
      </c>
      <c r="D22" s="5" t="s">
        <v>194</v>
      </c>
      <c r="E22" s="5" t="s">
        <v>632</v>
      </c>
      <c r="F22" s="5" t="s">
        <v>184</v>
      </c>
      <c r="G22" s="5" t="s">
        <v>61</v>
      </c>
    </row>
    <row r="23" spans="1:7" x14ac:dyDescent="0.25">
      <c r="A23" s="10">
        <v>37073</v>
      </c>
      <c r="B23" s="5" t="s">
        <v>57</v>
      </c>
      <c r="C23" s="5" t="s">
        <v>630</v>
      </c>
      <c r="D23" s="5" t="s">
        <v>194</v>
      </c>
      <c r="E23" s="5" t="s">
        <v>632</v>
      </c>
      <c r="F23" s="5" t="s">
        <v>218</v>
      </c>
      <c r="G23" s="5" t="s">
        <v>61</v>
      </c>
    </row>
    <row r="24" spans="1:7" x14ac:dyDescent="0.25">
      <c r="A24" s="10">
        <v>36936</v>
      </c>
      <c r="B24" s="5" t="s">
        <v>57</v>
      </c>
      <c r="C24" s="5" t="s">
        <v>630</v>
      </c>
      <c r="D24" s="5" t="s">
        <v>557</v>
      </c>
      <c r="E24" s="5" t="s">
        <v>632</v>
      </c>
      <c r="F24" s="5" t="s">
        <v>184</v>
      </c>
      <c r="G24" s="5" t="s">
        <v>61</v>
      </c>
    </row>
    <row r="25" spans="1:7" x14ac:dyDescent="0.25">
      <c r="A25" s="10">
        <v>36932</v>
      </c>
      <c r="B25" s="5" t="s">
        <v>57</v>
      </c>
      <c r="C25" s="5" t="s">
        <v>630</v>
      </c>
      <c r="D25" s="5" t="s">
        <v>557</v>
      </c>
      <c r="E25" s="5" t="s">
        <v>632</v>
      </c>
      <c r="F25" s="5" t="s">
        <v>346</v>
      </c>
      <c r="G25" s="5" t="s">
        <v>61</v>
      </c>
    </row>
    <row r="26" spans="1:7" x14ac:dyDescent="0.25">
      <c r="A26" s="10">
        <v>36610</v>
      </c>
      <c r="B26" s="5" t="s">
        <v>57</v>
      </c>
      <c r="C26" s="5" t="s">
        <v>630</v>
      </c>
      <c r="D26" s="5" t="s">
        <v>637</v>
      </c>
      <c r="E26" s="5" t="s">
        <v>632</v>
      </c>
      <c r="F26" s="5" t="s">
        <v>413</v>
      </c>
      <c r="G26" s="5" t="s">
        <v>61</v>
      </c>
    </row>
    <row r="27" spans="1:7" x14ac:dyDescent="0.25">
      <c r="A27" s="10">
        <v>36609</v>
      </c>
      <c r="B27" s="5" t="s">
        <v>57</v>
      </c>
      <c r="C27" s="5" t="s">
        <v>630</v>
      </c>
      <c r="D27" s="5" t="s">
        <v>637</v>
      </c>
      <c r="E27" s="5" t="s">
        <v>632</v>
      </c>
      <c r="F27" s="5" t="s">
        <v>413</v>
      </c>
      <c r="G27" s="5" t="s">
        <v>61</v>
      </c>
    </row>
    <row r="28" spans="1:7" x14ac:dyDescent="0.25">
      <c r="A28" s="10">
        <v>35880</v>
      </c>
      <c r="B28" s="5" t="s">
        <v>57</v>
      </c>
      <c r="C28" s="5" t="s">
        <v>630</v>
      </c>
      <c r="D28" s="5" t="s">
        <v>557</v>
      </c>
      <c r="E28" s="5" t="s">
        <v>632</v>
      </c>
      <c r="F28" s="5" t="s">
        <v>558</v>
      </c>
      <c r="G28" s="5" t="s">
        <v>61</v>
      </c>
    </row>
    <row r="29" spans="1:7" x14ac:dyDescent="0.25">
      <c r="A29" s="10">
        <v>35731</v>
      </c>
      <c r="B29" s="5" t="s">
        <v>57</v>
      </c>
      <c r="C29" s="5" t="s">
        <v>630</v>
      </c>
      <c r="D29" s="5" t="s">
        <v>194</v>
      </c>
      <c r="E29" s="5" t="s">
        <v>633</v>
      </c>
      <c r="F29" s="5" t="s">
        <v>59</v>
      </c>
      <c r="G29" s="5" t="s">
        <v>61</v>
      </c>
    </row>
    <row r="30" spans="1:7" x14ac:dyDescent="0.25">
      <c r="A30" s="10">
        <v>35278</v>
      </c>
      <c r="B30" s="5" t="s">
        <v>57</v>
      </c>
      <c r="C30" s="5" t="s">
        <v>630</v>
      </c>
      <c r="D30" s="5" t="s">
        <v>557</v>
      </c>
      <c r="E30" s="5" t="s">
        <v>632</v>
      </c>
      <c r="F30" s="5" t="s">
        <v>558</v>
      </c>
      <c r="G30" s="5" t="s">
        <v>89</v>
      </c>
    </row>
    <row r="31" spans="1:7" x14ac:dyDescent="0.25">
      <c r="A31" s="10">
        <v>35278</v>
      </c>
      <c r="B31" s="5" t="s">
        <v>57</v>
      </c>
      <c r="C31" s="5" t="s">
        <v>630</v>
      </c>
      <c r="D31" s="5" t="s">
        <v>557</v>
      </c>
      <c r="E31" s="5" t="s">
        <v>632</v>
      </c>
      <c r="F31" s="5" t="s">
        <v>558</v>
      </c>
      <c r="G31" s="5" t="s">
        <v>88</v>
      </c>
    </row>
    <row r="32" spans="1:7" x14ac:dyDescent="0.25">
      <c r="A32" s="10">
        <v>39900</v>
      </c>
      <c r="B32" s="5" t="s">
        <v>640</v>
      </c>
      <c r="C32" s="5" t="s">
        <v>630</v>
      </c>
      <c r="D32" s="5" t="s">
        <v>639</v>
      </c>
      <c r="E32" s="5" t="s">
        <v>631</v>
      </c>
      <c r="F32" s="5" t="s">
        <v>363</v>
      </c>
      <c r="G32" s="5" t="s">
        <v>643</v>
      </c>
    </row>
    <row r="33" spans="1:7" x14ac:dyDescent="0.25">
      <c r="A33" s="10">
        <v>39900</v>
      </c>
      <c r="B33" s="5" t="s">
        <v>640</v>
      </c>
      <c r="C33" s="5" t="s">
        <v>630</v>
      </c>
      <c r="D33" s="5" t="s">
        <v>639</v>
      </c>
      <c r="E33" s="5" t="s">
        <v>631</v>
      </c>
      <c r="F33" s="5" t="s">
        <v>363</v>
      </c>
      <c r="G33" s="5" t="s">
        <v>644</v>
      </c>
    </row>
    <row r="34" spans="1:7" x14ac:dyDescent="0.25">
      <c r="A34" s="10">
        <v>39900</v>
      </c>
      <c r="B34" s="5" t="s">
        <v>640</v>
      </c>
      <c r="C34" s="5" t="s">
        <v>630</v>
      </c>
      <c r="D34" s="5" t="s">
        <v>639</v>
      </c>
      <c r="E34" s="5" t="s">
        <v>631</v>
      </c>
      <c r="F34" s="5" t="s">
        <v>363</v>
      </c>
      <c r="G34" s="5" t="s">
        <v>645</v>
      </c>
    </row>
    <row r="35" spans="1:7" x14ac:dyDescent="0.25">
      <c r="A35" s="10">
        <v>39900</v>
      </c>
      <c r="B35" s="5" t="s">
        <v>640</v>
      </c>
      <c r="C35" s="5" t="s">
        <v>630</v>
      </c>
      <c r="D35" s="5" t="s">
        <v>639</v>
      </c>
      <c r="E35" s="5" t="s">
        <v>631</v>
      </c>
      <c r="F35" s="5" t="s">
        <v>363</v>
      </c>
      <c r="G35" s="5" t="s">
        <v>646</v>
      </c>
    </row>
    <row r="36" spans="1:7" x14ac:dyDescent="0.25">
      <c r="A36" s="5">
        <v>39997</v>
      </c>
      <c r="B36" s="5" t="s">
        <v>26</v>
      </c>
      <c r="C36" s="5" t="s">
        <v>630</v>
      </c>
      <c r="D36" s="5" t="s">
        <v>675</v>
      </c>
      <c r="E36" s="5" t="s">
        <v>633</v>
      </c>
      <c r="F36" s="5" t="s">
        <v>59</v>
      </c>
      <c r="G36" s="7" t="s">
        <v>651</v>
      </c>
    </row>
    <row r="37" spans="1:7" x14ac:dyDescent="0.25">
      <c r="A37" s="5">
        <v>40004</v>
      </c>
      <c r="B37" s="5" t="s">
        <v>26</v>
      </c>
      <c r="C37" s="5" t="s">
        <v>676</v>
      </c>
      <c r="D37" s="5" t="s">
        <v>675</v>
      </c>
      <c r="E37" s="5" t="s">
        <v>633</v>
      </c>
      <c r="F37" s="5" t="s">
        <v>59</v>
      </c>
      <c r="G37" s="7" t="s">
        <v>153</v>
      </c>
    </row>
    <row r="38" spans="1:7" x14ac:dyDescent="0.25">
      <c r="A38" s="5">
        <v>40006</v>
      </c>
      <c r="B38" s="5" t="s">
        <v>26</v>
      </c>
      <c r="C38" s="5" t="s">
        <v>677</v>
      </c>
      <c r="D38" s="5" t="s">
        <v>675</v>
      </c>
      <c r="E38" s="5" t="s">
        <v>633</v>
      </c>
      <c r="F38" s="5" t="s">
        <v>59</v>
      </c>
      <c r="G38" s="5" t="s">
        <v>652</v>
      </c>
    </row>
    <row r="39" spans="1:7" x14ac:dyDescent="0.25">
      <c r="A39" s="5">
        <v>40011</v>
      </c>
      <c r="B39" s="5" t="s">
        <v>26</v>
      </c>
      <c r="C39" s="5" t="s">
        <v>678</v>
      </c>
      <c r="D39" s="5" t="s">
        <v>675</v>
      </c>
      <c r="E39" s="5" t="s">
        <v>633</v>
      </c>
      <c r="F39" s="5" t="s">
        <v>59</v>
      </c>
      <c r="G39" s="5" t="s">
        <v>653</v>
      </c>
    </row>
    <row r="40" spans="1:7" x14ac:dyDescent="0.25">
      <c r="A40" s="5">
        <v>40015</v>
      </c>
      <c r="B40" s="5" t="s">
        <v>26</v>
      </c>
      <c r="C40" s="5" t="s">
        <v>679</v>
      </c>
      <c r="D40" s="5" t="s">
        <v>675</v>
      </c>
      <c r="E40" s="5" t="s">
        <v>633</v>
      </c>
      <c r="F40" s="5" t="s">
        <v>59</v>
      </c>
      <c r="G40" s="5" t="s">
        <v>654</v>
      </c>
    </row>
    <row r="41" spans="1:7" x14ac:dyDescent="0.25">
      <c r="A41" s="5">
        <v>40017</v>
      </c>
      <c r="B41" s="5" t="s">
        <v>26</v>
      </c>
      <c r="C41" s="5" t="s">
        <v>680</v>
      </c>
      <c r="D41" s="5" t="s">
        <v>675</v>
      </c>
      <c r="E41" s="5" t="s">
        <v>633</v>
      </c>
      <c r="F41" s="5" t="s">
        <v>59</v>
      </c>
      <c r="G41" s="5" t="s">
        <v>655</v>
      </c>
    </row>
    <row r="42" spans="1:7" x14ac:dyDescent="0.25">
      <c r="A42" s="5">
        <v>40059</v>
      </c>
      <c r="B42" s="5" t="s">
        <v>26</v>
      </c>
      <c r="C42" s="5" t="s">
        <v>681</v>
      </c>
      <c r="D42" s="5" t="s">
        <v>675</v>
      </c>
      <c r="E42" s="5" t="s">
        <v>633</v>
      </c>
      <c r="F42" s="5" t="s">
        <v>59</v>
      </c>
      <c r="G42" s="5" t="s">
        <v>656</v>
      </c>
    </row>
    <row r="43" spans="1:7" x14ac:dyDescent="0.25">
      <c r="A43" s="5">
        <v>40063</v>
      </c>
      <c r="B43" s="5" t="s">
        <v>26</v>
      </c>
      <c r="C43" s="5" t="s">
        <v>682</v>
      </c>
      <c r="D43" s="5" t="s">
        <v>675</v>
      </c>
      <c r="E43" s="5" t="s">
        <v>633</v>
      </c>
      <c r="F43" s="5" t="s">
        <v>59</v>
      </c>
      <c r="G43" s="5" t="s">
        <v>30</v>
      </c>
    </row>
    <row r="44" spans="1:7" x14ac:dyDescent="0.25">
      <c r="A44" s="5">
        <v>40065</v>
      </c>
      <c r="B44" s="5" t="s">
        <v>26</v>
      </c>
      <c r="C44" s="5" t="s">
        <v>683</v>
      </c>
      <c r="D44" s="5" t="s">
        <v>675</v>
      </c>
      <c r="E44" s="5" t="s">
        <v>633</v>
      </c>
      <c r="F44" s="5" t="s">
        <v>59</v>
      </c>
      <c r="G44" s="5" t="s">
        <v>657</v>
      </c>
    </row>
    <row r="45" spans="1:7" x14ac:dyDescent="0.25">
      <c r="A45" s="5">
        <v>40067</v>
      </c>
      <c r="B45" s="5" t="s">
        <v>26</v>
      </c>
      <c r="C45" s="5" t="s">
        <v>684</v>
      </c>
      <c r="D45" s="5" t="s">
        <v>675</v>
      </c>
      <c r="E45" s="5" t="s">
        <v>633</v>
      </c>
      <c r="F45" s="5" t="s">
        <v>59</v>
      </c>
      <c r="G45" s="5" t="s">
        <v>658</v>
      </c>
    </row>
    <row r="46" spans="1:7" x14ac:dyDescent="0.25">
      <c r="A46" s="5">
        <v>40070</v>
      </c>
      <c r="B46" s="5" t="s">
        <v>26</v>
      </c>
      <c r="C46" s="5" t="s">
        <v>685</v>
      </c>
      <c r="D46" s="5" t="s">
        <v>675</v>
      </c>
      <c r="E46" s="5" t="s">
        <v>633</v>
      </c>
      <c r="F46" s="5" t="s">
        <v>59</v>
      </c>
      <c r="G46" s="5" t="s">
        <v>123</v>
      </c>
    </row>
    <row r="47" spans="1:7" x14ac:dyDescent="0.25">
      <c r="A47" s="5">
        <v>40071</v>
      </c>
      <c r="B47" s="5" t="s">
        <v>26</v>
      </c>
      <c r="C47" s="5" t="s">
        <v>686</v>
      </c>
      <c r="D47" s="5" t="s">
        <v>675</v>
      </c>
      <c r="E47" s="5" t="s">
        <v>633</v>
      </c>
      <c r="F47" s="5" t="s">
        <v>59</v>
      </c>
      <c r="G47" s="5" t="s">
        <v>659</v>
      </c>
    </row>
    <row r="48" spans="1:7" x14ac:dyDescent="0.25">
      <c r="A48" s="5">
        <v>40073</v>
      </c>
      <c r="B48" s="5" t="s">
        <v>26</v>
      </c>
      <c r="C48" s="5" t="s">
        <v>687</v>
      </c>
      <c r="D48" s="5" t="s">
        <v>675</v>
      </c>
      <c r="E48" s="5" t="s">
        <v>633</v>
      </c>
      <c r="F48" s="5" t="s">
        <v>59</v>
      </c>
      <c r="G48" s="5" t="s">
        <v>660</v>
      </c>
    </row>
    <row r="49" spans="1:7" x14ac:dyDescent="0.25">
      <c r="A49" s="5">
        <v>40074</v>
      </c>
      <c r="B49" s="5" t="s">
        <v>26</v>
      </c>
      <c r="C49" s="5" t="s">
        <v>688</v>
      </c>
      <c r="D49" s="5" t="s">
        <v>675</v>
      </c>
      <c r="E49" s="5" t="s">
        <v>633</v>
      </c>
      <c r="F49" s="5" t="s">
        <v>59</v>
      </c>
      <c r="G49" s="5" t="s">
        <v>661</v>
      </c>
    </row>
    <row r="50" spans="1:7" x14ac:dyDescent="0.25">
      <c r="A50" s="5">
        <v>40075</v>
      </c>
      <c r="B50" s="5" t="s">
        <v>26</v>
      </c>
      <c r="C50" s="5" t="s">
        <v>689</v>
      </c>
      <c r="D50" s="5" t="s">
        <v>675</v>
      </c>
      <c r="E50" s="5" t="s">
        <v>633</v>
      </c>
      <c r="F50" s="5" t="s">
        <v>59</v>
      </c>
      <c r="G50" s="5" t="s">
        <v>662</v>
      </c>
    </row>
    <row r="51" spans="1:7" x14ac:dyDescent="0.25">
      <c r="A51" s="5">
        <v>40076</v>
      </c>
      <c r="B51" s="5" t="s">
        <v>26</v>
      </c>
      <c r="C51" s="5" t="s">
        <v>690</v>
      </c>
      <c r="D51" s="5" t="s">
        <v>675</v>
      </c>
      <c r="E51" s="5" t="s">
        <v>633</v>
      </c>
      <c r="F51" s="5" t="s">
        <v>59</v>
      </c>
      <c r="G51" s="5" t="s">
        <v>36</v>
      </c>
    </row>
    <row r="52" spans="1:7" x14ac:dyDescent="0.25">
      <c r="A52" s="5">
        <v>40077</v>
      </c>
      <c r="B52" s="5" t="s">
        <v>26</v>
      </c>
      <c r="C52" s="5" t="s">
        <v>691</v>
      </c>
      <c r="D52" s="5" t="s">
        <v>675</v>
      </c>
      <c r="E52" s="5" t="s">
        <v>633</v>
      </c>
      <c r="F52" s="5" t="s">
        <v>59</v>
      </c>
      <c r="G52" s="5" t="s">
        <v>663</v>
      </c>
    </row>
    <row r="53" spans="1:7" x14ac:dyDescent="0.25">
      <c r="A53" s="5">
        <v>40079</v>
      </c>
      <c r="B53" s="5" t="s">
        <v>26</v>
      </c>
      <c r="C53" s="5" t="s">
        <v>692</v>
      </c>
      <c r="D53" s="5" t="s">
        <v>675</v>
      </c>
      <c r="E53" s="5" t="s">
        <v>633</v>
      </c>
      <c r="F53" s="5" t="s">
        <v>59</v>
      </c>
      <c r="G53" s="5" t="s">
        <v>254</v>
      </c>
    </row>
    <row r="54" spans="1:7" x14ac:dyDescent="0.25">
      <c r="A54" s="5">
        <v>40081</v>
      </c>
      <c r="B54" s="5" t="s">
        <v>26</v>
      </c>
      <c r="C54" s="5" t="s">
        <v>693</v>
      </c>
      <c r="D54" s="5" t="s">
        <v>675</v>
      </c>
      <c r="E54" s="5" t="s">
        <v>633</v>
      </c>
      <c r="F54" s="5" t="s">
        <v>59</v>
      </c>
      <c r="G54" s="5" t="s">
        <v>664</v>
      </c>
    </row>
    <row r="55" spans="1:7" x14ac:dyDescent="0.25">
      <c r="A55" s="5">
        <v>40082</v>
      </c>
      <c r="B55" s="5" t="s">
        <v>26</v>
      </c>
      <c r="C55" s="5" t="s">
        <v>694</v>
      </c>
      <c r="D55" s="5" t="s">
        <v>675</v>
      </c>
      <c r="E55" s="5" t="s">
        <v>633</v>
      </c>
      <c r="F55" s="5" t="s">
        <v>59</v>
      </c>
      <c r="G55" s="5" t="s">
        <v>124</v>
      </c>
    </row>
    <row r="56" spans="1:7" x14ac:dyDescent="0.25">
      <c r="A56" s="5">
        <v>40101</v>
      </c>
      <c r="B56" s="5" t="s">
        <v>26</v>
      </c>
      <c r="C56" s="5" t="s">
        <v>695</v>
      </c>
      <c r="D56" s="5" t="s">
        <v>675</v>
      </c>
      <c r="E56" s="5" t="s">
        <v>633</v>
      </c>
      <c r="F56" s="5" t="s">
        <v>59</v>
      </c>
      <c r="G56" s="5" t="s">
        <v>665</v>
      </c>
    </row>
    <row r="57" spans="1:7" x14ac:dyDescent="0.25">
      <c r="A57" s="5">
        <v>40103</v>
      </c>
      <c r="B57" s="5" t="s">
        <v>26</v>
      </c>
      <c r="C57" s="5" t="s">
        <v>696</v>
      </c>
      <c r="D57" s="5" t="s">
        <v>675</v>
      </c>
      <c r="E57" s="5" t="s">
        <v>633</v>
      </c>
      <c r="F57" s="5" t="s">
        <v>59</v>
      </c>
      <c r="G57" s="5" t="s">
        <v>666</v>
      </c>
    </row>
    <row r="58" spans="1:7" x14ac:dyDescent="0.25">
      <c r="A58" s="5">
        <v>40105</v>
      </c>
      <c r="B58" s="5" t="s">
        <v>26</v>
      </c>
      <c r="C58" s="5" t="s">
        <v>697</v>
      </c>
      <c r="D58" s="5" t="s">
        <v>675</v>
      </c>
      <c r="E58" s="5" t="s">
        <v>633</v>
      </c>
      <c r="F58" s="5" t="s">
        <v>59</v>
      </c>
      <c r="G58" s="5" t="s">
        <v>164</v>
      </c>
    </row>
    <row r="59" spans="1:7" x14ac:dyDescent="0.25">
      <c r="A59" s="5">
        <v>40107</v>
      </c>
      <c r="B59" s="5" t="s">
        <v>26</v>
      </c>
      <c r="C59" s="5" t="s">
        <v>698</v>
      </c>
      <c r="D59" s="5" t="s">
        <v>675</v>
      </c>
      <c r="E59" s="5" t="s">
        <v>633</v>
      </c>
      <c r="F59" s="5" t="s">
        <v>59</v>
      </c>
      <c r="G59" s="5" t="s">
        <v>667</v>
      </c>
    </row>
    <row r="60" spans="1:7" x14ac:dyDescent="0.25">
      <c r="A60" s="5">
        <v>40109</v>
      </c>
      <c r="B60" s="5" t="s">
        <v>26</v>
      </c>
      <c r="C60" s="5" t="s">
        <v>699</v>
      </c>
      <c r="D60" s="5" t="s">
        <v>675</v>
      </c>
      <c r="E60" s="5" t="s">
        <v>633</v>
      </c>
      <c r="F60" s="5" t="s">
        <v>59</v>
      </c>
      <c r="G60" s="5" t="s">
        <v>668</v>
      </c>
    </row>
    <row r="61" spans="1:7" x14ac:dyDescent="0.25">
      <c r="A61" s="5">
        <v>40114</v>
      </c>
      <c r="B61" s="5" t="s">
        <v>26</v>
      </c>
      <c r="C61" s="5" t="s">
        <v>700</v>
      </c>
      <c r="D61" s="5" t="s">
        <v>675</v>
      </c>
      <c r="E61" s="5" t="s">
        <v>633</v>
      </c>
      <c r="F61" s="5" t="s">
        <v>59</v>
      </c>
      <c r="G61" s="8" t="s">
        <v>669</v>
      </c>
    </row>
    <row r="62" spans="1:7" x14ac:dyDescent="0.25">
      <c r="A62" s="5">
        <v>40118</v>
      </c>
      <c r="B62" s="5" t="s">
        <v>26</v>
      </c>
      <c r="C62" s="5" t="s">
        <v>701</v>
      </c>
      <c r="D62" s="5" t="s">
        <v>675</v>
      </c>
      <c r="E62" s="5" t="s">
        <v>633</v>
      </c>
      <c r="F62" s="5" t="s">
        <v>59</v>
      </c>
      <c r="G62" s="5" t="s">
        <v>670</v>
      </c>
    </row>
    <row r="63" spans="1:7" x14ac:dyDescent="0.25">
      <c r="A63" s="5">
        <v>40138</v>
      </c>
      <c r="B63" s="5" t="s">
        <v>26</v>
      </c>
      <c r="C63" s="5" t="s">
        <v>702</v>
      </c>
      <c r="D63" s="5" t="s">
        <v>675</v>
      </c>
      <c r="E63" s="5" t="s">
        <v>633</v>
      </c>
      <c r="F63" s="5" t="s">
        <v>59</v>
      </c>
      <c r="G63" s="5" t="s">
        <v>671</v>
      </c>
    </row>
    <row r="64" spans="1:7" x14ac:dyDescent="0.25">
      <c r="A64" s="5">
        <v>40139</v>
      </c>
      <c r="B64" s="5" t="s">
        <v>26</v>
      </c>
      <c r="C64" s="5" t="s">
        <v>703</v>
      </c>
      <c r="D64" s="5" t="s">
        <v>675</v>
      </c>
      <c r="E64" s="5" t="s">
        <v>633</v>
      </c>
      <c r="F64" s="5" t="s">
        <v>59</v>
      </c>
      <c r="G64" s="5" t="s">
        <v>663</v>
      </c>
    </row>
    <row r="65" spans="1:7" x14ac:dyDescent="0.25">
      <c r="A65" s="8">
        <v>40141</v>
      </c>
      <c r="B65" s="5" t="s">
        <v>26</v>
      </c>
      <c r="C65" s="5" t="s">
        <v>704</v>
      </c>
      <c r="D65" s="5" t="s">
        <v>675</v>
      </c>
      <c r="E65" s="5" t="s">
        <v>633</v>
      </c>
      <c r="F65" s="5" t="s">
        <v>59</v>
      </c>
      <c r="G65" s="5" t="s">
        <v>672</v>
      </c>
    </row>
    <row r="66" spans="1:7" x14ac:dyDescent="0.25">
      <c r="A66" s="8">
        <v>40142</v>
      </c>
      <c r="B66" s="5" t="s">
        <v>26</v>
      </c>
      <c r="C66" s="5" t="s">
        <v>705</v>
      </c>
      <c r="D66" s="5" t="s">
        <v>675</v>
      </c>
      <c r="E66" s="5" t="s">
        <v>633</v>
      </c>
      <c r="F66" s="5" t="s">
        <v>59</v>
      </c>
      <c r="G66" s="5" t="s">
        <v>673</v>
      </c>
    </row>
    <row r="67" spans="1:7" x14ac:dyDescent="0.25">
      <c r="A67" s="8">
        <v>40143</v>
      </c>
      <c r="B67" s="5" t="s">
        <v>26</v>
      </c>
      <c r="C67" s="5" t="s">
        <v>706</v>
      </c>
      <c r="D67" s="5" t="s">
        <v>675</v>
      </c>
      <c r="E67" s="5" t="s">
        <v>633</v>
      </c>
      <c r="F67" s="5" t="s">
        <v>59</v>
      </c>
      <c r="G67" s="5" t="s">
        <v>655</v>
      </c>
    </row>
    <row r="68" spans="1:7" x14ac:dyDescent="0.25">
      <c r="A68" s="8">
        <v>41144</v>
      </c>
      <c r="B68" s="5" t="s">
        <v>26</v>
      </c>
      <c r="C68" s="5" t="s">
        <v>707</v>
      </c>
      <c r="D68" s="5" t="s">
        <v>675</v>
      </c>
      <c r="E68" s="5" t="s">
        <v>633</v>
      </c>
      <c r="F68" s="5" t="s">
        <v>59</v>
      </c>
      <c r="G68" s="5" t="s">
        <v>674</v>
      </c>
    </row>
  </sheetData>
  <autoFilter ref="A8:G68"/>
  <pageMargins left="0.7" right="0.7" top="0.75" bottom="0.75" header="0.3" footer="0.3"/>
  <pageSetup orientation="portrait" r:id="rId1"/>
  <customProperties>
    <customPr name="DVSECTION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V148"/>
  <sheetViews>
    <sheetView workbookViewId="0"/>
  </sheetViews>
  <sheetFormatPr baseColWidth="10" defaultRowHeight="15" x14ac:dyDescent="0.25"/>
  <sheetData>
    <row r="1" spans="1:256" x14ac:dyDescent="0.25">
      <c r="A1">
        <f>IF('Planilla_General_07-12-2012_8_3'!1:1,"AAAAAH+NjQA=",0)</f>
        <v>0</v>
      </c>
      <c r="B1" t="e">
        <f>AND('Planilla_General_07-12-2012_8_3'!A1,"AAAAAH+NjQE=")</f>
        <v>#VALUE!</v>
      </c>
      <c r="C1" t="e">
        <f>AND('Planilla_General_07-12-2012_8_3'!B1,"AAAAAH+NjQI=")</f>
        <v>#VALUE!</v>
      </c>
      <c r="D1" t="e">
        <f>AND('Planilla_General_07-12-2012_8_3'!C1,"AAAAAH+NjQM=")</f>
        <v>#VALUE!</v>
      </c>
      <c r="E1" t="e">
        <f>AND('Planilla_General_07-12-2012_8_3'!D1,"AAAAAH+NjQQ=")</f>
        <v>#VALUE!</v>
      </c>
      <c r="F1" t="e">
        <f>AND('Planilla_General_07-12-2012_8_3'!E1,"AAAAAH+NjQU=")</f>
        <v>#VALUE!</v>
      </c>
      <c r="G1" t="e">
        <f>AND('Planilla_General_07-12-2012_8_3'!F1,"AAAAAH+NjQY=")</f>
        <v>#VALUE!</v>
      </c>
      <c r="H1" t="e">
        <f>AND('Planilla_General_07-12-2012_8_3'!G1,"AAAAAH+NjQc=")</f>
        <v>#VALUE!</v>
      </c>
      <c r="I1" t="e">
        <f>AND('Planilla_General_07-12-2012_8_3'!H1,"AAAAAH+NjQg=")</f>
        <v>#VALUE!</v>
      </c>
      <c r="J1" t="e">
        <f>AND('Planilla_General_07-12-2012_8_3'!I1,"AAAAAH+NjQk=")</f>
        <v>#VALUE!</v>
      </c>
      <c r="K1" t="e">
        <f>AND('Planilla_General_07-12-2012_8_3'!J1,"AAAAAH+NjQo=")</f>
        <v>#VALUE!</v>
      </c>
      <c r="L1" t="e">
        <f>AND('Planilla_General_07-12-2012_8_3'!K1,"AAAAAH+NjQs=")</f>
        <v>#VALUE!</v>
      </c>
      <c r="M1" t="e">
        <f>AND('Planilla_General_07-12-2012_8_3'!L1,"AAAAAH+NjQw=")</f>
        <v>#VALUE!</v>
      </c>
      <c r="N1" t="e">
        <f>AND('Planilla_General_07-12-2012_8_3'!M1,"AAAAAH+NjQ0=")</f>
        <v>#VALUE!</v>
      </c>
      <c r="O1" t="e">
        <f>AND('Planilla_General_07-12-2012_8_3'!N1,"AAAAAH+NjQ4=")</f>
        <v>#VALUE!</v>
      </c>
      <c r="P1" t="e">
        <f>AND('Planilla_General_07-12-2012_8_3'!O1,"AAAAAH+NjQ8=")</f>
        <v>#VALUE!</v>
      </c>
      <c r="Q1" t="e">
        <f>AND('Planilla_General_07-12-2012_8_3'!P1,"AAAAAH+NjRA=")</f>
        <v>#VALUE!</v>
      </c>
      <c r="R1">
        <f>IF('Planilla_General_07-12-2012_8_3'!2:2,"AAAAAH+NjRE=",0)</f>
        <v>0</v>
      </c>
      <c r="S1" t="e">
        <f>AND('Planilla_General_07-12-2012_8_3'!A2,"AAAAAH+NjRI=")</f>
        <v>#VALUE!</v>
      </c>
      <c r="T1" t="e">
        <f>AND('Planilla_General_07-12-2012_8_3'!B2,"AAAAAH+NjRM=")</f>
        <v>#VALUE!</v>
      </c>
      <c r="U1" t="e">
        <f>AND('Planilla_General_07-12-2012_8_3'!C2,"AAAAAH+NjRQ=")</f>
        <v>#VALUE!</v>
      </c>
      <c r="V1" t="e">
        <f>AND('Planilla_General_07-12-2012_8_3'!D2,"AAAAAH+NjRU=")</f>
        <v>#VALUE!</v>
      </c>
      <c r="W1" t="e">
        <f>AND('Planilla_General_07-12-2012_8_3'!E2,"AAAAAH+NjRY=")</f>
        <v>#VALUE!</v>
      </c>
      <c r="X1" t="e">
        <f>AND('Planilla_General_07-12-2012_8_3'!F2,"AAAAAH+NjRc=")</f>
        <v>#VALUE!</v>
      </c>
      <c r="Y1" t="e">
        <f>AND('Planilla_General_07-12-2012_8_3'!G2,"AAAAAH+NjRg=")</f>
        <v>#VALUE!</v>
      </c>
      <c r="Z1" t="e">
        <f>AND('Planilla_General_07-12-2012_8_3'!H2,"AAAAAH+NjRk=")</f>
        <v>#VALUE!</v>
      </c>
      <c r="AA1" t="e">
        <f>AND('Planilla_General_07-12-2012_8_3'!I2,"AAAAAH+NjRo=")</f>
        <v>#VALUE!</v>
      </c>
      <c r="AB1" t="e">
        <f>AND('Planilla_General_07-12-2012_8_3'!J2,"AAAAAH+NjRs=")</f>
        <v>#VALUE!</v>
      </c>
      <c r="AC1" t="e">
        <f>AND('Planilla_General_07-12-2012_8_3'!K2,"AAAAAH+NjRw=")</f>
        <v>#VALUE!</v>
      </c>
      <c r="AD1" t="e">
        <f>AND('Planilla_General_07-12-2012_8_3'!L2,"AAAAAH+NjR0=")</f>
        <v>#VALUE!</v>
      </c>
      <c r="AE1" t="e">
        <f>AND('Planilla_General_07-12-2012_8_3'!M2,"AAAAAH+NjR4=")</f>
        <v>#VALUE!</v>
      </c>
      <c r="AF1" t="e">
        <f>AND('Planilla_General_07-12-2012_8_3'!N2,"AAAAAH+NjR8=")</f>
        <v>#VALUE!</v>
      </c>
      <c r="AG1" t="e">
        <f>AND('Planilla_General_07-12-2012_8_3'!O2,"AAAAAH+NjSA=")</f>
        <v>#VALUE!</v>
      </c>
      <c r="AH1" t="e">
        <f>AND('Planilla_General_07-12-2012_8_3'!P2,"AAAAAH+NjSE=")</f>
        <v>#VALUE!</v>
      </c>
      <c r="AI1">
        <f>IF('Planilla_General_07-12-2012_8_3'!3:3,"AAAAAH+NjSI=",0)</f>
        <v>0</v>
      </c>
      <c r="AJ1" t="e">
        <f>AND('Planilla_General_07-12-2012_8_3'!A3,"AAAAAH+NjSM=")</f>
        <v>#VALUE!</v>
      </c>
      <c r="AK1" t="e">
        <f>AND('Planilla_General_07-12-2012_8_3'!B3,"AAAAAH+NjSQ=")</f>
        <v>#VALUE!</v>
      </c>
      <c r="AL1" t="e">
        <f>AND('Planilla_General_07-12-2012_8_3'!C3,"AAAAAH+NjSU=")</f>
        <v>#VALUE!</v>
      </c>
      <c r="AM1" t="e">
        <f>AND('Planilla_General_07-12-2012_8_3'!D3,"AAAAAH+NjSY=")</f>
        <v>#VALUE!</v>
      </c>
      <c r="AN1" t="e">
        <f>AND('Planilla_General_07-12-2012_8_3'!E3,"AAAAAH+NjSc=")</f>
        <v>#VALUE!</v>
      </c>
      <c r="AO1" t="e">
        <f>AND('Planilla_General_07-12-2012_8_3'!F3,"AAAAAH+NjSg=")</f>
        <v>#VALUE!</v>
      </c>
      <c r="AP1" t="e">
        <f>AND('Planilla_General_07-12-2012_8_3'!G3,"AAAAAH+NjSk=")</f>
        <v>#VALUE!</v>
      </c>
      <c r="AQ1" t="e">
        <f>AND('Planilla_General_07-12-2012_8_3'!H3,"AAAAAH+NjSo=")</f>
        <v>#VALUE!</v>
      </c>
      <c r="AR1" t="e">
        <f>AND('Planilla_General_07-12-2012_8_3'!I3,"AAAAAH+NjSs=")</f>
        <v>#VALUE!</v>
      </c>
      <c r="AS1" t="e">
        <f>AND('Planilla_General_07-12-2012_8_3'!J3,"AAAAAH+NjSw=")</f>
        <v>#VALUE!</v>
      </c>
      <c r="AT1" t="e">
        <f>AND('Planilla_General_07-12-2012_8_3'!K3,"AAAAAH+NjS0=")</f>
        <v>#VALUE!</v>
      </c>
      <c r="AU1" t="e">
        <f>AND('Planilla_General_07-12-2012_8_3'!L3,"AAAAAH+NjS4=")</f>
        <v>#VALUE!</v>
      </c>
      <c r="AV1" t="e">
        <f>AND('Planilla_General_07-12-2012_8_3'!M3,"AAAAAH+NjS8=")</f>
        <v>#VALUE!</v>
      </c>
      <c r="AW1" t="e">
        <f>AND('Planilla_General_07-12-2012_8_3'!N3,"AAAAAH+NjTA=")</f>
        <v>#VALUE!</v>
      </c>
      <c r="AX1" t="e">
        <f>AND('Planilla_General_07-12-2012_8_3'!O3,"AAAAAH+NjTE=")</f>
        <v>#VALUE!</v>
      </c>
      <c r="AY1" t="e">
        <f>AND('Planilla_General_07-12-2012_8_3'!P3,"AAAAAH+NjTI=")</f>
        <v>#VALUE!</v>
      </c>
      <c r="AZ1">
        <f>IF('Planilla_General_07-12-2012_8_3'!4:4,"AAAAAH+NjTM=",0)</f>
        <v>0</v>
      </c>
      <c r="BA1" t="e">
        <f>AND('Planilla_General_07-12-2012_8_3'!A4,"AAAAAH+NjTQ=")</f>
        <v>#VALUE!</v>
      </c>
      <c r="BB1" t="e">
        <f>AND('Planilla_General_07-12-2012_8_3'!B4,"AAAAAH+NjTU=")</f>
        <v>#VALUE!</v>
      </c>
      <c r="BC1" t="e">
        <f>AND('Planilla_General_07-12-2012_8_3'!C4,"AAAAAH+NjTY=")</f>
        <v>#VALUE!</v>
      </c>
      <c r="BD1" t="e">
        <f>AND('Planilla_General_07-12-2012_8_3'!D4,"AAAAAH+NjTc=")</f>
        <v>#VALUE!</v>
      </c>
      <c r="BE1" t="e">
        <f>AND('Planilla_General_07-12-2012_8_3'!E4,"AAAAAH+NjTg=")</f>
        <v>#VALUE!</v>
      </c>
      <c r="BF1" t="e">
        <f>AND('Planilla_General_07-12-2012_8_3'!F4,"AAAAAH+NjTk=")</f>
        <v>#VALUE!</v>
      </c>
      <c r="BG1" t="e">
        <f>AND('Planilla_General_07-12-2012_8_3'!G4,"AAAAAH+NjTo=")</f>
        <v>#VALUE!</v>
      </c>
      <c r="BH1" t="e">
        <f>AND('Planilla_General_07-12-2012_8_3'!H4,"AAAAAH+NjTs=")</f>
        <v>#VALUE!</v>
      </c>
      <c r="BI1" t="e">
        <f>AND('Planilla_General_07-12-2012_8_3'!I4,"AAAAAH+NjTw=")</f>
        <v>#VALUE!</v>
      </c>
      <c r="BJ1" t="e">
        <f>AND('Planilla_General_07-12-2012_8_3'!J4,"AAAAAH+NjT0=")</f>
        <v>#VALUE!</v>
      </c>
      <c r="BK1" t="e">
        <f>AND('Planilla_General_07-12-2012_8_3'!K4,"AAAAAH+NjT4=")</f>
        <v>#VALUE!</v>
      </c>
      <c r="BL1" t="e">
        <f>AND('Planilla_General_07-12-2012_8_3'!L4,"AAAAAH+NjT8=")</f>
        <v>#VALUE!</v>
      </c>
      <c r="BM1" t="e">
        <f>AND('Planilla_General_07-12-2012_8_3'!M4,"AAAAAH+NjUA=")</f>
        <v>#VALUE!</v>
      </c>
      <c r="BN1" t="e">
        <f>AND('Planilla_General_07-12-2012_8_3'!N4,"AAAAAH+NjUE=")</f>
        <v>#VALUE!</v>
      </c>
      <c r="BO1" t="e">
        <f>AND('Planilla_General_07-12-2012_8_3'!O4,"AAAAAH+NjUI=")</f>
        <v>#VALUE!</v>
      </c>
      <c r="BP1" t="e">
        <f>AND('Planilla_General_07-12-2012_8_3'!P4,"AAAAAH+NjUM=")</f>
        <v>#VALUE!</v>
      </c>
      <c r="BQ1">
        <f>IF('Planilla_General_07-12-2012_8_3'!5:5,"AAAAAH+NjUQ=",0)</f>
        <v>0</v>
      </c>
      <c r="BR1" t="e">
        <f>AND('Planilla_General_07-12-2012_8_3'!A5,"AAAAAH+NjUU=")</f>
        <v>#VALUE!</v>
      </c>
      <c r="BS1" t="e">
        <f>AND('Planilla_General_07-12-2012_8_3'!B5,"AAAAAH+NjUY=")</f>
        <v>#VALUE!</v>
      </c>
      <c r="BT1" t="e">
        <f>AND('Planilla_General_07-12-2012_8_3'!C5,"AAAAAH+NjUc=")</f>
        <v>#VALUE!</v>
      </c>
      <c r="BU1" t="e">
        <f>AND('Planilla_General_07-12-2012_8_3'!D5,"AAAAAH+NjUg=")</f>
        <v>#VALUE!</v>
      </c>
      <c r="BV1" t="e">
        <f>AND('Planilla_General_07-12-2012_8_3'!E5,"AAAAAH+NjUk=")</f>
        <v>#VALUE!</v>
      </c>
      <c r="BW1" t="e">
        <f>AND('Planilla_General_07-12-2012_8_3'!F5,"AAAAAH+NjUo=")</f>
        <v>#VALUE!</v>
      </c>
      <c r="BX1" t="e">
        <f>AND('Planilla_General_07-12-2012_8_3'!G5,"AAAAAH+NjUs=")</f>
        <v>#VALUE!</v>
      </c>
      <c r="BY1" t="e">
        <f>AND('Planilla_General_07-12-2012_8_3'!H5,"AAAAAH+NjUw=")</f>
        <v>#VALUE!</v>
      </c>
      <c r="BZ1" t="e">
        <f>AND('Planilla_General_07-12-2012_8_3'!I5,"AAAAAH+NjU0=")</f>
        <v>#VALUE!</v>
      </c>
      <c r="CA1" t="e">
        <f>AND('Planilla_General_07-12-2012_8_3'!J5,"AAAAAH+NjU4=")</f>
        <v>#VALUE!</v>
      </c>
      <c r="CB1" t="e">
        <f>AND('Planilla_General_07-12-2012_8_3'!K5,"AAAAAH+NjU8=")</f>
        <v>#VALUE!</v>
      </c>
      <c r="CC1" t="e">
        <f>AND('Planilla_General_07-12-2012_8_3'!L5,"AAAAAH+NjVA=")</f>
        <v>#VALUE!</v>
      </c>
      <c r="CD1" t="e">
        <f>AND('Planilla_General_07-12-2012_8_3'!M5,"AAAAAH+NjVE=")</f>
        <v>#VALUE!</v>
      </c>
      <c r="CE1" t="e">
        <f>AND('Planilla_General_07-12-2012_8_3'!N5,"AAAAAH+NjVI=")</f>
        <v>#VALUE!</v>
      </c>
      <c r="CF1" t="e">
        <f>AND('Planilla_General_07-12-2012_8_3'!O5,"AAAAAH+NjVM=")</f>
        <v>#VALUE!</v>
      </c>
      <c r="CG1" t="e">
        <f>AND('Planilla_General_07-12-2012_8_3'!P5,"AAAAAH+NjVQ=")</f>
        <v>#VALUE!</v>
      </c>
      <c r="CH1">
        <f>IF('Planilla_General_07-12-2012_8_3'!6:6,"AAAAAH+NjVU=",0)</f>
        <v>0</v>
      </c>
      <c r="CI1" t="e">
        <f>AND('Planilla_General_07-12-2012_8_3'!A6,"AAAAAH+NjVY=")</f>
        <v>#VALUE!</v>
      </c>
      <c r="CJ1" t="e">
        <f>AND('Planilla_General_07-12-2012_8_3'!B6,"AAAAAH+NjVc=")</f>
        <v>#VALUE!</v>
      </c>
      <c r="CK1" t="e">
        <f>AND('Planilla_General_07-12-2012_8_3'!C6,"AAAAAH+NjVg=")</f>
        <v>#VALUE!</v>
      </c>
      <c r="CL1" t="e">
        <f>AND('Planilla_General_07-12-2012_8_3'!D6,"AAAAAH+NjVk=")</f>
        <v>#VALUE!</v>
      </c>
      <c r="CM1" t="e">
        <f>AND('Planilla_General_07-12-2012_8_3'!E6,"AAAAAH+NjVo=")</f>
        <v>#VALUE!</v>
      </c>
      <c r="CN1" t="e">
        <f>AND('Planilla_General_07-12-2012_8_3'!F6,"AAAAAH+NjVs=")</f>
        <v>#VALUE!</v>
      </c>
      <c r="CO1" t="e">
        <f>AND('Planilla_General_07-12-2012_8_3'!G6,"AAAAAH+NjVw=")</f>
        <v>#VALUE!</v>
      </c>
      <c r="CP1" t="e">
        <f>AND('Planilla_General_07-12-2012_8_3'!H6,"AAAAAH+NjV0=")</f>
        <v>#VALUE!</v>
      </c>
      <c r="CQ1" t="e">
        <f>AND('Planilla_General_07-12-2012_8_3'!I6,"AAAAAH+NjV4=")</f>
        <v>#VALUE!</v>
      </c>
      <c r="CR1" t="e">
        <f>AND('Planilla_General_07-12-2012_8_3'!J6,"AAAAAH+NjV8=")</f>
        <v>#VALUE!</v>
      </c>
      <c r="CS1" t="e">
        <f>AND('Planilla_General_07-12-2012_8_3'!K6,"AAAAAH+NjWA=")</f>
        <v>#VALUE!</v>
      </c>
      <c r="CT1" t="e">
        <f>AND('Planilla_General_07-12-2012_8_3'!L6,"AAAAAH+NjWE=")</f>
        <v>#VALUE!</v>
      </c>
      <c r="CU1" t="e">
        <f>AND('Planilla_General_07-12-2012_8_3'!M6,"AAAAAH+NjWI=")</f>
        <v>#VALUE!</v>
      </c>
      <c r="CV1" t="e">
        <f>AND('Planilla_General_07-12-2012_8_3'!N6,"AAAAAH+NjWM=")</f>
        <v>#VALUE!</v>
      </c>
      <c r="CW1" t="e">
        <f>AND('Planilla_General_07-12-2012_8_3'!O6,"AAAAAH+NjWQ=")</f>
        <v>#VALUE!</v>
      </c>
      <c r="CX1" t="e">
        <f>AND('Planilla_General_07-12-2012_8_3'!P6,"AAAAAH+NjWU=")</f>
        <v>#VALUE!</v>
      </c>
      <c r="CY1">
        <f>IF('Planilla_General_07-12-2012_8_3'!7:7,"AAAAAH+NjWY=",0)</f>
        <v>0</v>
      </c>
      <c r="CZ1" t="e">
        <f>AND('Planilla_General_07-12-2012_8_3'!A7,"AAAAAH+NjWc=")</f>
        <v>#VALUE!</v>
      </c>
      <c r="DA1" t="e">
        <f>AND('Planilla_General_07-12-2012_8_3'!B7,"AAAAAH+NjWg=")</f>
        <v>#VALUE!</v>
      </c>
      <c r="DB1" t="e">
        <f>AND('Planilla_General_07-12-2012_8_3'!C7,"AAAAAH+NjWk=")</f>
        <v>#VALUE!</v>
      </c>
      <c r="DC1" t="e">
        <f>AND('Planilla_General_07-12-2012_8_3'!D7,"AAAAAH+NjWo=")</f>
        <v>#VALUE!</v>
      </c>
      <c r="DD1" t="e">
        <f>AND('Planilla_General_07-12-2012_8_3'!E7,"AAAAAH+NjWs=")</f>
        <v>#VALUE!</v>
      </c>
      <c r="DE1" t="e">
        <f>AND('Planilla_General_07-12-2012_8_3'!F7,"AAAAAH+NjWw=")</f>
        <v>#VALUE!</v>
      </c>
      <c r="DF1" t="e">
        <f>AND('Planilla_General_07-12-2012_8_3'!G7,"AAAAAH+NjW0=")</f>
        <v>#VALUE!</v>
      </c>
      <c r="DG1" t="e">
        <f>AND('Planilla_General_07-12-2012_8_3'!H7,"AAAAAH+NjW4=")</f>
        <v>#VALUE!</v>
      </c>
      <c r="DH1" t="e">
        <f>AND('Planilla_General_07-12-2012_8_3'!I7,"AAAAAH+NjW8=")</f>
        <v>#VALUE!</v>
      </c>
      <c r="DI1" t="e">
        <f>AND('Planilla_General_07-12-2012_8_3'!J7,"AAAAAH+NjXA=")</f>
        <v>#VALUE!</v>
      </c>
      <c r="DJ1" t="e">
        <f>AND('Planilla_General_07-12-2012_8_3'!K7,"AAAAAH+NjXE=")</f>
        <v>#VALUE!</v>
      </c>
      <c r="DK1" t="e">
        <f>AND('Planilla_General_07-12-2012_8_3'!L7,"AAAAAH+NjXI=")</f>
        <v>#VALUE!</v>
      </c>
      <c r="DL1" t="e">
        <f>AND('Planilla_General_07-12-2012_8_3'!M7,"AAAAAH+NjXM=")</f>
        <v>#VALUE!</v>
      </c>
      <c r="DM1" t="e">
        <f>AND('Planilla_General_07-12-2012_8_3'!N7,"AAAAAH+NjXQ=")</f>
        <v>#VALUE!</v>
      </c>
      <c r="DN1" t="e">
        <f>AND('Planilla_General_07-12-2012_8_3'!O7,"AAAAAH+NjXU=")</f>
        <v>#VALUE!</v>
      </c>
      <c r="DO1" t="e">
        <f>AND('Planilla_General_07-12-2012_8_3'!P7,"AAAAAH+NjXY=")</f>
        <v>#VALUE!</v>
      </c>
      <c r="DP1">
        <f>IF('Planilla_General_07-12-2012_8_3'!8:8,"AAAAAH+NjXc=",0)</f>
        <v>0</v>
      </c>
      <c r="DQ1" t="e">
        <f>AND('Planilla_General_07-12-2012_8_3'!A8,"AAAAAH+NjXg=")</f>
        <v>#VALUE!</v>
      </c>
      <c r="DR1" t="e">
        <f>AND('Planilla_General_07-12-2012_8_3'!B8,"AAAAAH+NjXk=")</f>
        <v>#VALUE!</v>
      </c>
      <c r="DS1" t="e">
        <f>AND('Planilla_General_07-12-2012_8_3'!C8,"AAAAAH+NjXo=")</f>
        <v>#VALUE!</v>
      </c>
      <c r="DT1" t="e">
        <f>AND('Planilla_General_07-12-2012_8_3'!D8,"AAAAAH+NjXs=")</f>
        <v>#VALUE!</v>
      </c>
      <c r="DU1" t="e">
        <f>AND('Planilla_General_07-12-2012_8_3'!E8,"AAAAAH+NjXw=")</f>
        <v>#VALUE!</v>
      </c>
      <c r="DV1" t="e">
        <f>AND('Planilla_General_07-12-2012_8_3'!F8,"AAAAAH+NjX0=")</f>
        <v>#VALUE!</v>
      </c>
      <c r="DW1" t="e">
        <f>AND('Planilla_General_07-12-2012_8_3'!G8,"AAAAAH+NjX4=")</f>
        <v>#VALUE!</v>
      </c>
      <c r="DX1" t="e">
        <f>AND('Planilla_General_07-12-2012_8_3'!H8,"AAAAAH+NjX8=")</f>
        <v>#VALUE!</v>
      </c>
      <c r="DY1" t="e">
        <f>AND('Planilla_General_07-12-2012_8_3'!I8,"AAAAAH+NjYA=")</f>
        <v>#VALUE!</v>
      </c>
      <c r="DZ1" t="e">
        <f>AND('Planilla_General_07-12-2012_8_3'!J8,"AAAAAH+NjYE=")</f>
        <v>#VALUE!</v>
      </c>
      <c r="EA1" t="e">
        <f>AND('Planilla_General_07-12-2012_8_3'!K8,"AAAAAH+NjYI=")</f>
        <v>#VALUE!</v>
      </c>
      <c r="EB1" t="e">
        <f>AND('Planilla_General_07-12-2012_8_3'!L8,"AAAAAH+NjYM=")</f>
        <v>#VALUE!</v>
      </c>
      <c r="EC1" t="e">
        <f>AND('Planilla_General_07-12-2012_8_3'!M8,"AAAAAH+NjYQ=")</f>
        <v>#VALUE!</v>
      </c>
      <c r="ED1" t="e">
        <f>AND('Planilla_General_07-12-2012_8_3'!N8,"AAAAAH+NjYU=")</f>
        <v>#VALUE!</v>
      </c>
      <c r="EE1" t="e">
        <f>AND('Planilla_General_07-12-2012_8_3'!O8,"AAAAAH+NjYY=")</f>
        <v>#VALUE!</v>
      </c>
      <c r="EF1" t="e">
        <f>AND('Planilla_General_07-12-2012_8_3'!P8,"AAAAAH+NjYc=")</f>
        <v>#VALUE!</v>
      </c>
      <c r="EG1">
        <f>IF('Planilla_General_07-12-2012_8_3'!9:9,"AAAAAH+NjYg=",0)</f>
        <v>0</v>
      </c>
      <c r="EH1" t="e">
        <f>AND('Planilla_General_07-12-2012_8_3'!A9,"AAAAAH+NjYk=")</f>
        <v>#VALUE!</v>
      </c>
      <c r="EI1" t="e">
        <f>AND('Planilla_General_07-12-2012_8_3'!B9,"AAAAAH+NjYo=")</f>
        <v>#VALUE!</v>
      </c>
      <c r="EJ1" t="e">
        <f>AND('Planilla_General_07-12-2012_8_3'!C9,"AAAAAH+NjYs=")</f>
        <v>#VALUE!</v>
      </c>
      <c r="EK1" t="e">
        <f>AND('Planilla_General_07-12-2012_8_3'!D9,"AAAAAH+NjYw=")</f>
        <v>#VALUE!</v>
      </c>
      <c r="EL1" t="e">
        <f>AND('Planilla_General_07-12-2012_8_3'!E9,"AAAAAH+NjY0=")</f>
        <v>#VALUE!</v>
      </c>
      <c r="EM1" t="e">
        <f>AND('Planilla_General_07-12-2012_8_3'!F9,"AAAAAH+NjY4=")</f>
        <v>#VALUE!</v>
      </c>
      <c r="EN1" t="e">
        <f>AND('Planilla_General_07-12-2012_8_3'!G9,"AAAAAH+NjY8=")</f>
        <v>#VALUE!</v>
      </c>
      <c r="EO1" t="e">
        <f>AND('Planilla_General_07-12-2012_8_3'!H9,"AAAAAH+NjZA=")</f>
        <v>#VALUE!</v>
      </c>
      <c r="EP1" t="e">
        <f>AND('Planilla_General_07-12-2012_8_3'!I9,"AAAAAH+NjZE=")</f>
        <v>#VALUE!</v>
      </c>
      <c r="EQ1" t="e">
        <f>AND('Planilla_General_07-12-2012_8_3'!J9,"AAAAAH+NjZI=")</f>
        <v>#VALUE!</v>
      </c>
      <c r="ER1" t="e">
        <f>AND('Planilla_General_07-12-2012_8_3'!K9,"AAAAAH+NjZM=")</f>
        <v>#VALUE!</v>
      </c>
      <c r="ES1" t="e">
        <f>AND('Planilla_General_07-12-2012_8_3'!L9,"AAAAAH+NjZQ=")</f>
        <v>#VALUE!</v>
      </c>
      <c r="ET1" t="e">
        <f>AND('Planilla_General_07-12-2012_8_3'!M9,"AAAAAH+NjZU=")</f>
        <v>#VALUE!</v>
      </c>
      <c r="EU1" t="e">
        <f>AND('Planilla_General_07-12-2012_8_3'!N9,"AAAAAH+NjZY=")</f>
        <v>#VALUE!</v>
      </c>
      <c r="EV1" t="e">
        <f>AND('Planilla_General_07-12-2012_8_3'!O9,"AAAAAH+NjZc=")</f>
        <v>#VALUE!</v>
      </c>
      <c r="EW1" t="e">
        <f>AND('Planilla_General_07-12-2012_8_3'!P9,"AAAAAH+NjZg=")</f>
        <v>#VALUE!</v>
      </c>
      <c r="EX1">
        <f>IF('Planilla_General_07-12-2012_8_3'!10:10,"AAAAAH+NjZk=",0)</f>
        <v>0</v>
      </c>
      <c r="EY1" t="e">
        <f>AND('Planilla_General_07-12-2012_8_3'!A10,"AAAAAH+NjZo=")</f>
        <v>#VALUE!</v>
      </c>
      <c r="EZ1" t="e">
        <f>AND('Planilla_General_07-12-2012_8_3'!B10,"AAAAAH+NjZs=")</f>
        <v>#VALUE!</v>
      </c>
      <c r="FA1" t="e">
        <f>AND('Planilla_General_07-12-2012_8_3'!C10,"AAAAAH+NjZw=")</f>
        <v>#VALUE!</v>
      </c>
      <c r="FB1" t="e">
        <f>AND('Planilla_General_07-12-2012_8_3'!D10,"AAAAAH+NjZ0=")</f>
        <v>#VALUE!</v>
      </c>
      <c r="FC1" t="e">
        <f>AND('Planilla_General_07-12-2012_8_3'!E10,"AAAAAH+NjZ4=")</f>
        <v>#VALUE!</v>
      </c>
      <c r="FD1" t="e">
        <f>AND('Planilla_General_07-12-2012_8_3'!F10,"AAAAAH+NjZ8=")</f>
        <v>#VALUE!</v>
      </c>
      <c r="FE1" t="e">
        <f>AND('Planilla_General_07-12-2012_8_3'!G10,"AAAAAH+NjaA=")</f>
        <v>#VALUE!</v>
      </c>
      <c r="FF1" t="e">
        <f>AND('Planilla_General_07-12-2012_8_3'!H10,"AAAAAH+NjaE=")</f>
        <v>#VALUE!</v>
      </c>
      <c r="FG1" t="e">
        <f>AND('Planilla_General_07-12-2012_8_3'!I10,"AAAAAH+NjaI=")</f>
        <v>#VALUE!</v>
      </c>
      <c r="FH1" t="e">
        <f>AND('Planilla_General_07-12-2012_8_3'!J10,"AAAAAH+NjaM=")</f>
        <v>#VALUE!</v>
      </c>
      <c r="FI1" t="e">
        <f>AND('Planilla_General_07-12-2012_8_3'!K10,"AAAAAH+NjaQ=")</f>
        <v>#VALUE!</v>
      </c>
      <c r="FJ1" t="e">
        <f>AND('Planilla_General_07-12-2012_8_3'!L10,"AAAAAH+NjaU=")</f>
        <v>#VALUE!</v>
      </c>
      <c r="FK1" t="e">
        <f>AND('Planilla_General_07-12-2012_8_3'!M10,"AAAAAH+NjaY=")</f>
        <v>#VALUE!</v>
      </c>
      <c r="FL1" t="e">
        <f>AND('Planilla_General_07-12-2012_8_3'!N10,"AAAAAH+Njac=")</f>
        <v>#VALUE!</v>
      </c>
      <c r="FM1" t="e">
        <f>AND('Planilla_General_07-12-2012_8_3'!O10,"AAAAAH+Njag=")</f>
        <v>#VALUE!</v>
      </c>
      <c r="FN1" t="e">
        <f>AND('Planilla_General_07-12-2012_8_3'!P10,"AAAAAH+Njak=")</f>
        <v>#VALUE!</v>
      </c>
      <c r="FO1">
        <f>IF('Planilla_General_07-12-2012_8_3'!11:11,"AAAAAH+Njao=",0)</f>
        <v>0</v>
      </c>
      <c r="FP1" t="e">
        <f>AND('Planilla_General_07-12-2012_8_3'!A11,"AAAAAH+Njas=")</f>
        <v>#VALUE!</v>
      </c>
      <c r="FQ1" t="e">
        <f>AND('Planilla_General_07-12-2012_8_3'!B11,"AAAAAH+Njaw=")</f>
        <v>#VALUE!</v>
      </c>
      <c r="FR1" t="e">
        <f>AND('Planilla_General_07-12-2012_8_3'!C11,"AAAAAH+Nja0=")</f>
        <v>#VALUE!</v>
      </c>
      <c r="FS1" t="e">
        <f>AND('Planilla_General_07-12-2012_8_3'!D11,"AAAAAH+Nja4=")</f>
        <v>#VALUE!</v>
      </c>
      <c r="FT1" t="e">
        <f>AND('Planilla_General_07-12-2012_8_3'!E11,"AAAAAH+Nja8=")</f>
        <v>#VALUE!</v>
      </c>
      <c r="FU1" t="e">
        <f>AND('Planilla_General_07-12-2012_8_3'!F11,"AAAAAH+NjbA=")</f>
        <v>#VALUE!</v>
      </c>
      <c r="FV1" t="e">
        <f>AND('Planilla_General_07-12-2012_8_3'!G11,"AAAAAH+NjbE=")</f>
        <v>#VALUE!</v>
      </c>
      <c r="FW1" t="e">
        <f>AND('Planilla_General_07-12-2012_8_3'!H11,"AAAAAH+NjbI=")</f>
        <v>#VALUE!</v>
      </c>
      <c r="FX1" t="e">
        <f>AND('Planilla_General_07-12-2012_8_3'!I11,"AAAAAH+NjbM=")</f>
        <v>#VALUE!</v>
      </c>
      <c r="FY1" t="e">
        <f>AND('Planilla_General_07-12-2012_8_3'!J11,"AAAAAH+NjbQ=")</f>
        <v>#VALUE!</v>
      </c>
      <c r="FZ1" t="e">
        <f>AND('Planilla_General_07-12-2012_8_3'!K11,"AAAAAH+NjbU=")</f>
        <v>#VALUE!</v>
      </c>
      <c r="GA1" t="e">
        <f>AND('Planilla_General_07-12-2012_8_3'!L11,"AAAAAH+NjbY=")</f>
        <v>#VALUE!</v>
      </c>
      <c r="GB1" t="e">
        <f>AND('Planilla_General_07-12-2012_8_3'!M11,"AAAAAH+Njbc=")</f>
        <v>#VALUE!</v>
      </c>
      <c r="GC1" t="e">
        <f>AND('Planilla_General_07-12-2012_8_3'!N11,"AAAAAH+Njbg=")</f>
        <v>#VALUE!</v>
      </c>
      <c r="GD1" t="e">
        <f>AND('Planilla_General_07-12-2012_8_3'!O11,"AAAAAH+Njbk=")</f>
        <v>#VALUE!</v>
      </c>
      <c r="GE1" t="e">
        <f>AND('Planilla_General_07-12-2012_8_3'!P11,"AAAAAH+Njbo=")</f>
        <v>#VALUE!</v>
      </c>
      <c r="GF1">
        <f>IF('Planilla_General_07-12-2012_8_3'!12:12,"AAAAAH+Njbs=",0)</f>
        <v>0</v>
      </c>
      <c r="GG1" t="e">
        <f>AND('Planilla_General_07-12-2012_8_3'!A12,"AAAAAH+Njbw=")</f>
        <v>#VALUE!</v>
      </c>
      <c r="GH1" t="e">
        <f>AND('Planilla_General_07-12-2012_8_3'!B12,"AAAAAH+Njb0=")</f>
        <v>#VALUE!</v>
      </c>
      <c r="GI1" t="e">
        <f>AND('Planilla_General_07-12-2012_8_3'!C12,"AAAAAH+Njb4=")</f>
        <v>#VALUE!</v>
      </c>
      <c r="GJ1" t="e">
        <f>AND('Planilla_General_07-12-2012_8_3'!D12,"AAAAAH+Njb8=")</f>
        <v>#VALUE!</v>
      </c>
      <c r="GK1" t="e">
        <f>AND('Planilla_General_07-12-2012_8_3'!E12,"AAAAAH+NjcA=")</f>
        <v>#VALUE!</v>
      </c>
      <c r="GL1" t="e">
        <f>AND('Planilla_General_07-12-2012_8_3'!F12,"AAAAAH+NjcE=")</f>
        <v>#VALUE!</v>
      </c>
      <c r="GM1" t="e">
        <f>AND('Planilla_General_07-12-2012_8_3'!G12,"AAAAAH+NjcI=")</f>
        <v>#VALUE!</v>
      </c>
      <c r="GN1" t="e">
        <f>AND('Planilla_General_07-12-2012_8_3'!H12,"AAAAAH+NjcM=")</f>
        <v>#VALUE!</v>
      </c>
      <c r="GO1" t="e">
        <f>AND('Planilla_General_07-12-2012_8_3'!I12,"AAAAAH+NjcQ=")</f>
        <v>#VALUE!</v>
      </c>
      <c r="GP1" t="e">
        <f>AND('Planilla_General_07-12-2012_8_3'!J12,"AAAAAH+NjcU=")</f>
        <v>#VALUE!</v>
      </c>
      <c r="GQ1" t="e">
        <f>AND('Planilla_General_07-12-2012_8_3'!K12,"AAAAAH+NjcY=")</f>
        <v>#VALUE!</v>
      </c>
      <c r="GR1" t="e">
        <f>AND('Planilla_General_07-12-2012_8_3'!L12,"AAAAAH+Njcc=")</f>
        <v>#VALUE!</v>
      </c>
      <c r="GS1" t="e">
        <f>AND('Planilla_General_07-12-2012_8_3'!M12,"AAAAAH+Njcg=")</f>
        <v>#VALUE!</v>
      </c>
      <c r="GT1" t="e">
        <f>AND('Planilla_General_07-12-2012_8_3'!N12,"AAAAAH+Njck=")</f>
        <v>#VALUE!</v>
      </c>
      <c r="GU1" t="e">
        <f>AND('Planilla_General_07-12-2012_8_3'!O12,"AAAAAH+Njco=")</f>
        <v>#VALUE!</v>
      </c>
      <c r="GV1" t="e">
        <f>AND('Planilla_General_07-12-2012_8_3'!P12,"AAAAAH+Njcs=")</f>
        <v>#VALUE!</v>
      </c>
      <c r="GW1">
        <f>IF('Planilla_General_07-12-2012_8_3'!13:13,"AAAAAH+Njcw=",0)</f>
        <v>0</v>
      </c>
      <c r="GX1" t="e">
        <f>AND('Planilla_General_07-12-2012_8_3'!A13,"AAAAAH+Njc0=")</f>
        <v>#VALUE!</v>
      </c>
      <c r="GY1" t="e">
        <f>AND('Planilla_General_07-12-2012_8_3'!B13,"AAAAAH+Njc4=")</f>
        <v>#VALUE!</v>
      </c>
      <c r="GZ1" t="e">
        <f>AND('Planilla_General_07-12-2012_8_3'!C13,"AAAAAH+Njc8=")</f>
        <v>#VALUE!</v>
      </c>
      <c r="HA1" t="e">
        <f>AND('Planilla_General_07-12-2012_8_3'!D13,"AAAAAH+NjdA=")</f>
        <v>#VALUE!</v>
      </c>
      <c r="HB1" t="e">
        <f>AND('Planilla_General_07-12-2012_8_3'!E13,"AAAAAH+NjdE=")</f>
        <v>#VALUE!</v>
      </c>
      <c r="HC1" t="e">
        <f>AND('Planilla_General_07-12-2012_8_3'!F13,"AAAAAH+NjdI=")</f>
        <v>#VALUE!</v>
      </c>
      <c r="HD1" t="e">
        <f>AND('Planilla_General_07-12-2012_8_3'!G13,"AAAAAH+NjdM=")</f>
        <v>#VALUE!</v>
      </c>
      <c r="HE1" t="e">
        <f>AND('Planilla_General_07-12-2012_8_3'!H13,"AAAAAH+NjdQ=")</f>
        <v>#VALUE!</v>
      </c>
      <c r="HF1" t="e">
        <f>AND('Planilla_General_07-12-2012_8_3'!I13,"AAAAAH+NjdU=")</f>
        <v>#VALUE!</v>
      </c>
      <c r="HG1" t="e">
        <f>AND('Planilla_General_07-12-2012_8_3'!J13,"AAAAAH+NjdY=")</f>
        <v>#VALUE!</v>
      </c>
      <c r="HH1" t="e">
        <f>AND('Planilla_General_07-12-2012_8_3'!K13,"AAAAAH+Njdc=")</f>
        <v>#VALUE!</v>
      </c>
      <c r="HI1" t="e">
        <f>AND('Planilla_General_07-12-2012_8_3'!L13,"AAAAAH+Njdg=")</f>
        <v>#VALUE!</v>
      </c>
      <c r="HJ1" t="e">
        <f>AND('Planilla_General_07-12-2012_8_3'!M13,"AAAAAH+Njdk=")</f>
        <v>#VALUE!</v>
      </c>
      <c r="HK1" t="e">
        <f>AND('Planilla_General_07-12-2012_8_3'!N13,"AAAAAH+Njdo=")</f>
        <v>#VALUE!</v>
      </c>
      <c r="HL1" t="e">
        <f>AND('Planilla_General_07-12-2012_8_3'!O13,"AAAAAH+Njds=")</f>
        <v>#VALUE!</v>
      </c>
      <c r="HM1" t="e">
        <f>AND('Planilla_General_07-12-2012_8_3'!P13,"AAAAAH+Njdw=")</f>
        <v>#VALUE!</v>
      </c>
      <c r="HN1">
        <f>IF('Planilla_General_07-12-2012_8_3'!14:14,"AAAAAH+Njd0=",0)</f>
        <v>0</v>
      </c>
      <c r="HO1" t="e">
        <f>AND('Planilla_General_07-12-2012_8_3'!A14,"AAAAAH+Njd4=")</f>
        <v>#VALUE!</v>
      </c>
      <c r="HP1" t="e">
        <f>AND('Planilla_General_07-12-2012_8_3'!B14,"AAAAAH+Njd8=")</f>
        <v>#VALUE!</v>
      </c>
      <c r="HQ1" t="e">
        <f>AND('Planilla_General_07-12-2012_8_3'!C14,"AAAAAH+NjeA=")</f>
        <v>#VALUE!</v>
      </c>
      <c r="HR1" t="e">
        <f>AND('Planilla_General_07-12-2012_8_3'!D14,"AAAAAH+NjeE=")</f>
        <v>#VALUE!</v>
      </c>
      <c r="HS1" t="e">
        <f>AND('Planilla_General_07-12-2012_8_3'!E14,"AAAAAH+NjeI=")</f>
        <v>#VALUE!</v>
      </c>
      <c r="HT1" t="e">
        <f>AND('Planilla_General_07-12-2012_8_3'!F14,"AAAAAH+NjeM=")</f>
        <v>#VALUE!</v>
      </c>
      <c r="HU1" t="e">
        <f>AND('Planilla_General_07-12-2012_8_3'!G14,"AAAAAH+NjeQ=")</f>
        <v>#VALUE!</v>
      </c>
      <c r="HV1" t="e">
        <f>AND('Planilla_General_07-12-2012_8_3'!H14,"AAAAAH+NjeU=")</f>
        <v>#VALUE!</v>
      </c>
      <c r="HW1" t="e">
        <f>AND('Planilla_General_07-12-2012_8_3'!I14,"AAAAAH+NjeY=")</f>
        <v>#VALUE!</v>
      </c>
      <c r="HX1" t="e">
        <f>AND('Planilla_General_07-12-2012_8_3'!J14,"AAAAAH+Njec=")</f>
        <v>#VALUE!</v>
      </c>
      <c r="HY1" t="e">
        <f>AND('Planilla_General_07-12-2012_8_3'!K14,"AAAAAH+Njeg=")</f>
        <v>#VALUE!</v>
      </c>
      <c r="HZ1" t="e">
        <f>AND('Planilla_General_07-12-2012_8_3'!L14,"AAAAAH+Njek=")</f>
        <v>#VALUE!</v>
      </c>
      <c r="IA1" t="e">
        <f>AND('Planilla_General_07-12-2012_8_3'!M14,"AAAAAH+Njeo=")</f>
        <v>#VALUE!</v>
      </c>
      <c r="IB1" t="e">
        <f>AND('Planilla_General_07-12-2012_8_3'!N14,"AAAAAH+Njes=")</f>
        <v>#VALUE!</v>
      </c>
      <c r="IC1" t="e">
        <f>AND('Planilla_General_07-12-2012_8_3'!O14,"AAAAAH+Njew=")</f>
        <v>#VALUE!</v>
      </c>
      <c r="ID1" t="e">
        <f>AND('Planilla_General_07-12-2012_8_3'!P14,"AAAAAH+Nje0=")</f>
        <v>#VALUE!</v>
      </c>
      <c r="IE1">
        <f>IF('Planilla_General_07-12-2012_8_3'!15:15,"AAAAAH+Nje4=",0)</f>
        <v>0</v>
      </c>
      <c r="IF1" t="e">
        <f>AND('Planilla_General_07-12-2012_8_3'!A15,"AAAAAH+Nje8=")</f>
        <v>#VALUE!</v>
      </c>
      <c r="IG1" t="e">
        <f>AND('Planilla_General_07-12-2012_8_3'!B15,"AAAAAH+NjfA=")</f>
        <v>#VALUE!</v>
      </c>
      <c r="IH1" t="e">
        <f>AND('Planilla_General_07-12-2012_8_3'!C15,"AAAAAH+NjfE=")</f>
        <v>#VALUE!</v>
      </c>
      <c r="II1" t="e">
        <f>AND('Planilla_General_07-12-2012_8_3'!D15,"AAAAAH+NjfI=")</f>
        <v>#VALUE!</v>
      </c>
      <c r="IJ1" t="e">
        <f>AND('Planilla_General_07-12-2012_8_3'!E15,"AAAAAH+NjfM=")</f>
        <v>#VALUE!</v>
      </c>
      <c r="IK1" t="e">
        <f>AND('Planilla_General_07-12-2012_8_3'!F15,"AAAAAH+NjfQ=")</f>
        <v>#VALUE!</v>
      </c>
      <c r="IL1" t="e">
        <f>AND('Planilla_General_07-12-2012_8_3'!G15,"AAAAAH+NjfU=")</f>
        <v>#VALUE!</v>
      </c>
      <c r="IM1" t="e">
        <f>AND('Planilla_General_07-12-2012_8_3'!H15,"AAAAAH+NjfY=")</f>
        <v>#VALUE!</v>
      </c>
      <c r="IN1" t="e">
        <f>AND('Planilla_General_07-12-2012_8_3'!I15,"AAAAAH+Njfc=")</f>
        <v>#VALUE!</v>
      </c>
      <c r="IO1" t="e">
        <f>AND('Planilla_General_07-12-2012_8_3'!J15,"AAAAAH+Njfg=")</f>
        <v>#VALUE!</v>
      </c>
      <c r="IP1" t="e">
        <f>AND('Planilla_General_07-12-2012_8_3'!K15,"AAAAAH+Njfk=")</f>
        <v>#VALUE!</v>
      </c>
      <c r="IQ1" t="e">
        <f>AND('Planilla_General_07-12-2012_8_3'!L15,"AAAAAH+Njfo=")</f>
        <v>#VALUE!</v>
      </c>
      <c r="IR1" t="e">
        <f>AND('Planilla_General_07-12-2012_8_3'!M15,"AAAAAH+Njfs=")</f>
        <v>#VALUE!</v>
      </c>
      <c r="IS1" t="e">
        <f>AND('Planilla_General_07-12-2012_8_3'!N15,"AAAAAH+Njfw=")</f>
        <v>#VALUE!</v>
      </c>
      <c r="IT1" t="e">
        <f>AND('Planilla_General_07-12-2012_8_3'!O15,"AAAAAH+Njf0=")</f>
        <v>#VALUE!</v>
      </c>
      <c r="IU1" t="e">
        <f>AND('Planilla_General_07-12-2012_8_3'!P15,"AAAAAH+Njf4=")</f>
        <v>#VALUE!</v>
      </c>
      <c r="IV1">
        <f>IF('Planilla_General_07-12-2012_8_3'!16:16,"AAAAAH+Njf8=",0)</f>
        <v>0</v>
      </c>
    </row>
    <row r="2" spans="1:256" x14ac:dyDescent="0.25">
      <c r="A2" t="e">
        <f>AND('Planilla_General_07-12-2012_8_3'!A16,"AAAAAD//+wA=")</f>
        <v>#VALUE!</v>
      </c>
      <c r="B2" t="e">
        <f>AND('Planilla_General_07-12-2012_8_3'!B16,"AAAAAD//+wE=")</f>
        <v>#VALUE!</v>
      </c>
      <c r="C2" t="e">
        <f>AND('Planilla_General_07-12-2012_8_3'!C16,"AAAAAD//+wI=")</f>
        <v>#VALUE!</v>
      </c>
      <c r="D2" t="e">
        <f>AND('Planilla_General_07-12-2012_8_3'!D16,"AAAAAD//+wM=")</f>
        <v>#VALUE!</v>
      </c>
      <c r="E2" t="e">
        <f>AND('Planilla_General_07-12-2012_8_3'!E16,"AAAAAD//+wQ=")</f>
        <v>#VALUE!</v>
      </c>
      <c r="F2" t="e">
        <f>AND('Planilla_General_07-12-2012_8_3'!F16,"AAAAAD//+wU=")</f>
        <v>#VALUE!</v>
      </c>
      <c r="G2" t="e">
        <f>AND('Planilla_General_07-12-2012_8_3'!G16,"AAAAAD//+wY=")</f>
        <v>#VALUE!</v>
      </c>
      <c r="H2" t="e">
        <f>AND('Planilla_General_07-12-2012_8_3'!H16,"AAAAAD//+wc=")</f>
        <v>#VALUE!</v>
      </c>
      <c r="I2" t="e">
        <f>AND('Planilla_General_07-12-2012_8_3'!I16,"AAAAAD//+wg=")</f>
        <v>#VALUE!</v>
      </c>
      <c r="J2" t="e">
        <f>AND('Planilla_General_07-12-2012_8_3'!J16,"AAAAAD//+wk=")</f>
        <v>#VALUE!</v>
      </c>
      <c r="K2" t="e">
        <f>AND('Planilla_General_07-12-2012_8_3'!K16,"AAAAAD//+wo=")</f>
        <v>#VALUE!</v>
      </c>
      <c r="L2" t="e">
        <f>AND('Planilla_General_07-12-2012_8_3'!L16,"AAAAAD//+ws=")</f>
        <v>#VALUE!</v>
      </c>
      <c r="M2" t="e">
        <f>AND('Planilla_General_07-12-2012_8_3'!M16,"AAAAAD//+ww=")</f>
        <v>#VALUE!</v>
      </c>
      <c r="N2" t="e">
        <f>AND('Planilla_General_07-12-2012_8_3'!N16,"AAAAAD//+w0=")</f>
        <v>#VALUE!</v>
      </c>
      <c r="O2" t="e">
        <f>AND('Planilla_General_07-12-2012_8_3'!O16,"AAAAAD//+w4=")</f>
        <v>#VALUE!</v>
      </c>
      <c r="P2" t="e">
        <f>AND('Planilla_General_07-12-2012_8_3'!P16,"AAAAAD//+w8=")</f>
        <v>#VALUE!</v>
      </c>
      <c r="Q2">
        <f>IF('Planilla_General_07-12-2012_8_3'!17:17,"AAAAAD//+xA=",0)</f>
        <v>0</v>
      </c>
      <c r="R2" t="e">
        <f>AND('Planilla_General_07-12-2012_8_3'!A17,"AAAAAD//+xE=")</f>
        <v>#VALUE!</v>
      </c>
      <c r="S2" t="e">
        <f>AND('Planilla_General_07-12-2012_8_3'!B17,"AAAAAD//+xI=")</f>
        <v>#VALUE!</v>
      </c>
      <c r="T2" t="e">
        <f>AND('Planilla_General_07-12-2012_8_3'!C17,"AAAAAD//+xM=")</f>
        <v>#VALUE!</v>
      </c>
      <c r="U2" t="e">
        <f>AND('Planilla_General_07-12-2012_8_3'!D17,"AAAAAD//+xQ=")</f>
        <v>#VALUE!</v>
      </c>
      <c r="V2" t="e">
        <f>AND('Planilla_General_07-12-2012_8_3'!E17,"AAAAAD//+xU=")</f>
        <v>#VALUE!</v>
      </c>
      <c r="W2" t="e">
        <f>AND('Planilla_General_07-12-2012_8_3'!F17,"AAAAAD//+xY=")</f>
        <v>#VALUE!</v>
      </c>
      <c r="X2" t="e">
        <f>AND('Planilla_General_07-12-2012_8_3'!G17,"AAAAAD//+xc=")</f>
        <v>#VALUE!</v>
      </c>
      <c r="Y2" t="e">
        <f>AND('Planilla_General_07-12-2012_8_3'!H17,"AAAAAD//+xg=")</f>
        <v>#VALUE!</v>
      </c>
      <c r="Z2" t="e">
        <f>AND('Planilla_General_07-12-2012_8_3'!I17,"AAAAAD//+xk=")</f>
        <v>#VALUE!</v>
      </c>
      <c r="AA2" t="e">
        <f>AND('Planilla_General_07-12-2012_8_3'!J17,"AAAAAD//+xo=")</f>
        <v>#VALUE!</v>
      </c>
      <c r="AB2" t="e">
        <f>AND('Planilla_General_07-12-2012_8_3'!K17,"AAAAAD//+xs=")</f>
        <v>#VALUE!</v>
      </c>
      <c r="AC2" t="e">
        <f>AND('Planilla_General_07-12-2012_8_3'!L17,"AAAAAD//+xw=")</f>
        <v>#VALUE!</v>
      </c>
      <c r="AD2" t="e">
        <f>AND('Planilla_General_07-12-2012_8_3'!M17,"AAAAAD//+x0=")</f>
        <v>#VALUE!</v>
      </c>
      <c r="AE2" t="e">
        <f>AND('Planilla_General_07-12-2012_8_3'!N17,"AAAAAD//+x4=")</f>
        <v>#VALUE!</v>
      </c>
      <c r="AF2" t="e">
        <f>AND('Planilla_General_07-12-2012_8_3'!O17,"AAAAAD//+x8=")</f>
        <v>#VALUE!</v>
      </c>
      <c r="AG2" t="e">
        <f>AND('Planilla_General_07-12-2012_8_3'!P17,"AAAAAD//+yA=")</f>
        <v>#VALUE!</v>
      </c>
      <c r="AH2">
        <f>IF('Planilla_General_07-12-2012_8_3'!18:18,"AAAAAD//+yE=",0)</f>
        <v>0</v>
      </c>
      <c r="AI2" t="e">
        <f>AND('Planilla_General_07-12-2012_8_3'!A18,"AAAAAD//+yI=")</f>
        <v>#VALUE!</v>
      </c>
      <c r="AJ2" t="e">
        <f>AND('Planilla_General_07-12-2012_8_3'!B18,"AAAAAD//+yM=")</f>
        <v>#VALUE!</v>
      </c>
      <c r="AK2" t="e">
        <f>AND('Planilla_General_07-12-2012_8_3'!C18,"AAAAAD//+yQ=")</f>
        <v>#VALUE!</v>
      </c>
      <c r="AL2" t="e">
        <f>AND('Planilla_General_07-12-2012_8_3'!D18,"AAAAAD//+yU=")</f>
        <v>#VALUE!</v>
      </c>
      <c r="AM2" t="e">
        <f>AND('Planilla_General_07-12-2012_8_3'!E18,"AAAAAD//+yY=")</f>
        <v>#VALUE!</v>
      </c>
      <c r="AN2" t="e">
        <f>AND('Planilla_General_07-12-2012_8_3'!F18,"AAAAAD//+yc=")</f>
        <v>#VALUE!</v>
      </c>
      <c r="AO2" t="e">
        <f>AND('Planilla_General_07-12-2012_8_3'!G18,"AAAAAD//+yg=")</f>
        <v>#VALUE!</v>
      </c>
      <c r="AP2" t="e">
        <f>AND('Planilla_General_07-12-2012_8_3'!H18,"AAAAAD//+yk=")</f>
        <v>#VALUE!</v>
      </c>
      <c r="AQ2" t="e">
        <f>AND('Planilla_General_07-12-2012_8_3'!I18,"AAAAAD//+yo=")</f>
        <v>#VALUE!</v>
      </c>
      <c r="AR2" t="e">
        <f>AND('Planilla_General_07-12-2012_8_3'!J18,"AAAAAD//+ys=")</f>
        <v>#VALUE!</v>
      </c>
      <c r="AS2" t="e">
        <f>AND('Planilla_General_07-12-2012_8_3'!K18,"AAAAAD//+yw=")</f>
        <v>#VALUE!</v>
      </c>
      <c r="AT2" t="e">
        <f>AND('Planilla_General_07-12-2012_8_3'!L18,"AAAAAD//+y0=")</f>
        <v>#VALUE!</v>
      </c>
      <c r="AU2" t="e">
        <f>AND('Planilla_General_07-12-2012_8_3'!M18,"AAAAAD//+y4=")</f>
        <v>#VALUE!</v>
      </c>
      <c r="AV2" t="e">
        <f>AND('Planilla_General_07-12-2012_8_3'!N18,"AAAAAD//+y8=")</f>
        <v>#VALUE!</v>
      </c>
      <c r="AW2" t="e">
        <f>AND('Planilla_General_07-12-2012_8_3'!O18,"AAAAAD//+zA=")</f>
        <v>#VALUE!</v>
      </c>
      <c r="AX2" t="e">
        <f>AND('Planilla_General_07-12-2012_8_3'!P18,"AAAAAD//+zE=")</f>
        <v>#VALUE!</v>
      </c>
      <c r="AY2">
        <f>IF('Planilla_General_07-12-2012_8_3'!19:19,"AAAAAD//+zI=",0)</f>
        <v>0</v>
      </c>
      <c r="AZ2" t="e">
        <f>AND('Planilla_General_07-12-2012_8_3'!A19,"AAAAAD//+zM=")</f>
        <v>#VALUE!</v>
      </c>
      <c r="BA2" t="e">
        <f>AND('Planilla_General_07-12-2012_8_3'!B19,"AAAAAD//+zQ=")</f>
        <v>#VALUE!</v>
      </c>
      <c r="BB2" t="e">
        <f>AND('Planilla_General_07-12-2012_8_3'!C19,"AAAAAD//+zU=")</f>
        <v>#VALUE!</v>
      </c>
      <c r="BC2" t="e">
        <f>AND('Planilla_General_07-12-2012_8_3'!D19,"AAAAAD//+zY=")</f>
        <v>#VALUE!</v>
      </c>
      <c r="BD2" t="e">
        <f>AND('Planilla_General_07-12-2012_8_3'!E19,"AAAAAD//+zc=")</f>
        <v>#VALUE!</v>
      </c>
      <c r="BE2" t="e">
        <f>AND('Planilla_General_07-12-2012_8_3'!F19,"AAAAAD//+zg=")</f>
        <v>#VALUE!</v>
      </c>
      <c r="BF2" t="e">
        <f>AND('Planilla_General_07-12-2012_8_3'!G19,"AAAAAD//+zk=")</f>
        <v>#VALUE!</v>
      </c>
      <c r="BG2" t="e">
        <f>AND('Planilla_General_07-12-2012_8_3'!H19,"AAAAAD//+zo=")</f>
        <v>#VALUE!</v>
      </c>
      <c r="BH2" t="e">
        <f>AND('Planilla_General_07-12-2012_8_3'!I19,"AAAAAD//+zs=")</f>
        <v>#VALUE!</v>
      </c>
      <c r="BI2" t="e">
        <f>AND('Planilla_General_07-12-2012_8_3'!J19,"AAAAAD//+zw=")</f>
        <v>#VALUE!</v>
      </c>
      <c r="BJ2" t="e">
        <f>AND('Planilla_General_07-12-2012_8_3'!K19,"AAAAAD//+z0=")</f>
        <v>#VALUE!</v>
      </c>
      <c r="BK2" t="e">
        <f>AND('Planilla_General_07-12-2012_8_3'!L19,"AAAAAD//+z4=")</f>
        <v>#VALUE!</v>
      </c>
      <c r="BL2" t="e">
        <f>AND('Planilla_General_07-12-2012_8_3'!M19,"AAAAAD//+z8=")</f>
        <v>#VALUE!</v>
      </c>
      <c r="BM2" t="e">
        <f>AND('Planilla_General_07-12-2012_8_3'!N19,"AAAAAD//+0A=")</f>
        <v>#VALUE!</v>
      </c>
      <c r="BN2" t="e">
        <f>AND('Planilla_General_07-12-2012_8_3'!O19,"AAAAAD//+0E=")</f>
        <v>#VALUE!</v>
      </c>
      <c r="BO2" t="e">
        <f>AND('Planilla_General_07-12-2012_8_3'!P19,"AAAAAD//+0I=")</f>
        <v>#VALUE!</v>
      </c>
      <c r="BP2">
        <f>IF('Planilla_General_07-12-2012_8_3'!20:20,"AAAAAD//+0M=",0)</f>
        <v>0</v>
      </c>
      <c r="BQ2" t="e">
        <f>AND('Planilla_General_07-12-2012_8_3'!A20,"AAAAAD//+0Q=")</f>
        <v>#VALUE!</v>
      </c>
      <c r="BR2" t="e">
        <f>AND('Planilla_General_07-12-2012_8_3'!B20,"AAAAAD//+0U=")</f>
        <v>#VALUE!</v>
      </c>
      <c r="BS2" t="e">
        <f>AND('Planilla_General_07-12-2012_8_3'!C20,"AAAAAD//+0Y=")</f>
        <v>#VALUE!</v>
      </c>
      <c r="BT2" t="e">
        <f>AND('Planilla_General_07-12-2012_8_3'!D20,"AAAAAD//+0c=")</f>
        <v>#VALUE!</v>
      </c>
      <c r="BU2" t="e">
        <f>AND('Planilla_General_07-12-2012_8_3'!E20,"AAAAAD//+0g=")</f>
        <v>#VALUE!</v>
      </c>
      <c r="BV2" t="e">
        <f>AND('Planilla_General_07-12-2012_8_3'!F20,"AAAAAD//+0k=")</f>
        <v>#VALUE!</v>
      </c>
      <c r="BW2" t="e">
        <f>AND('Planilla_General_07-12-2012_8_3'!G20,"AAAAAD//+0o=")</f>
        <v>#VALUE!</v>
      </c>
      <c r="BX2" t="e">
        <f>AND('Planilla_General_07-12-2012_8_3'!H20,"AAAAAD//+0s=")</f>
        <v>#VALUE!</v>
      </c>
      <c r="BY2" t="e">
        <f>AND('Planilla_General_07-12-2012_8_3'!I20,"AAAAAD//+0w=")</f>
        <v>#VALUE!</v>
      </c>
      <c r="BZ2" t="e">
        <f>AND('Planilla_General_07-12-2012_8_3'!J20,"AAAAAD//+00=")</f>
        <v>#VALUE!</v>
      </c>
      <c r="CA2" t="e">
        <f>AND('Planilla_General_07-12-2012_8_3'!K20,"AAAAAD//+04=")</f>
        <v>#VALUE!</v>
      </c>
      <c r="CB2" t="e">
        <f>AND('Planilla_General_07-12-2012_8_3'!L20,"AAAAAD//+08=")</f>
        <v>#VALUE!</v>
      </c>
      <c r="CC2" t="e">
        <f>AND('Planilla_General_07-12-2012_8_3'!M20,"AAAAAD//+1A=")</f>
        <v>#VALUE!</v>
      </c>
      <c r="CD2" t="e">
        <f>AND('Planilla_General_07-12-2012_8_3'!N20,"AAAAAD//+1E=")</f>
        <v>#VALUE!</v>
      </c>
      <c r="CE2" t="e">
        <f>AND('Planilla_General_07-12-2012_8_3'!O20,"AAAAAD//+1I=")</f>
        <v>#VALUE!</v>
      </c>
      <c r="CF2" t="e">
        <f>AND('Planilla_General_07-12-2012_8_3'!P20,"AAAAAD//+1M=")</f>
        <v>#VALUE!</v>
      </c>
      <c r="CG2">
        <f>IF('Planilla_General_07-12-2012_8_3'!21:21,"AAAAAD//+1Q=",0)</f>
        <v>0</v>
      </c>
      <c r="CH2" t="e">
        <f>AND('Planilla_General_07-12-2012_8_3'!A21,"AAAAAD//+1U=")</f>
        <v>#VALUE!</v>
      </c>
      <c r="CI2" t="e">
        <f>AND('Planilla_General_07-12-2012_8_3'!B21,"AAAAAD//+1Y=")</f>
        <v>#VALUE!</v>
      </c>
      <c r="CJ2" t="e">
        <f>AND('Planilla_General_07-12-2012_8_3'!C21,"AAAAAD//+1c=")</f>
        <v>#VALUE!</v>
      </c>
      <c r="CK2" t="e">
        <f>AND('Planilla_General_07-12-2012_8_3'!D21,"AAAAAD//+1g=")</f>
        <v>#VALUE!</v>
      </c>
      <c r="CL2" t="e">
        <f>AND('Planilla_General_07-12-2012_8_3'!E21,"AAAAAD//+1k=")</f>
        <v>#VALUE!</v>
      </c>
      <c r="CM2" t="e">
        <f>AND('Planilla_General_07-12-2012_8_3'!F21,"AAAAAD//+1o=")</f>
        <v>#VALUE!</v>
      </c>
      <c r="CN2" t="e">
        <f>AND('Planilla_General_07-12-2012_8_3'!G21,"AAAAAD//+1s=")</f>
        <v>#VALUE!</v>
      </c>
      <c r="CO2" t="e">
        <f>AND('Planilla_General_07-12-2012_8_3'!H21,"AAAAAD//+1w=")</f>
        <v>#VALUE!</v>
      </c>
      <c r="CP2" t="e">
        <f>AND('Planilla_General_07-12-2012_8_3'!I21,"AAAAAD//+10=")</f>
        <v>#VALUE!</v>
      </c>
      <c r="CQ2" t="e">
        <f>AND('Planilla_General_07-12-2012_8_3'!J21,"AAAAAD//+14=")</f>
        <v>#VALUE!</v>
      </c>
      <c r="CR2" t="e">
        <f>AND('Planilla_General_07-12-2012_8_3'!K21,"AAAAAD//+18=")</f>
        <v>#VALUE!</v>
      </c>
      <c r="CS2" t="e">
        <f>AND('Planilla_General_07-12-2012_8_3'!L21,"AAAAAD//+2A=")</f>
        <v>#VALUE!</v>
      </c>
      <c r="CT2" t="e">
        <f>AND('Planilla_General_07-12-2012_8_3'!M21,"AAAAAD//+2E=")</f>
        <v>#VALUE!</v>
      </c>
      <c r="CU2" t="e">
        <f>AND('Planilla_General_07-12-2012_8_3'!N21,"AAAAAD//+2I=")</f>
        <v>#VALUE!</v>
      </c>
      <c r="CV2" t="e">
        <f>AND('Planilla_General_07-12-2012_8_3'!O21,"AAAAAD//+2M=")</f>
        <v>#VALUE!</v>
      </c>
      <c r="CW2" t="e">
        <f>AND('Planilla_General_07-12-2012_8_3'!P21,"AAAAAD//+2Q=")</f>
        <v>#VALUE!</v>
      </c>
      <c r="CX2">
        <f>IF('Planilla_General_07-12-2012_8_3'!22:22,"AAAAAD//+2U=",0)</f>
        <v>0</v>
      </c>
      <c r="CY2" t="e">
        <f>AND('Planilla_General_07-12-2012_8_3'!A22,"AAAAAD//+2Y=")</f>
        <v>#VALUE!</v>
      </c>
      <c r="CZ2" t="e">
        <f>AND('Planilla_General_07-12-2012_8_3'!B22,"AAAAAD//+2c=")</f>
        <v>#VALUE!</v>
      </c>
      <c r="DA2" t="e">
        <f>AND('Planilla_General_07-12-2012_8_3'!C22,"AAAAAD//+2g=")</f>
        <v>#VALUE!</v>
      </c>
      <c r="DB2" t="e">
        <f>AND('Planilla_General_07-12-2012_8_3'!D22,"AAAAAD//+2k=")</f>
        <v>#VALUE!</v>
      </c>
      <c r="DC2" t="e">
        <f>AND('Planilla_General_07-12-2012_8_3'!E22,"AAAAAD//+2o=")</f>
        <v>#VALUE!</v>
      </c>
      <c r="DD2" t="e">
        <f>AND('Planilla_General_07-12-2012_8_3'!F22,"AAAAAD//+2s=")</f>
        <v>#VALUE!</v>
      </c>
      <c r="DE2" t="e">
        <f>AND('Planilla_General_07-12-2012_8_3'!G22,"AAAAAD//+2w=")</f>
        <v>#VALUE!</v>
      </c>
      <c r="DF2" t="e">
        <f>AND('Planilla_General_07-12-2012_8_3'!H22,"AAAAAD//+20=")</f>
        <v>#VALUE!</v>
      </c>
      <c r="DG2" t="e">
        <f>AND('Planilla_General_07-12-2012_8_3'!I22,"AAAAAD//+24=")</f>
        <v>#VALUE!</v>
      </c>
      <c r="DH2" t="e">
        <f>AND('Planilla_General_07-12-2012_8_3'!J22,"AAAAAD//+28=")</f>
        <v>#VALUE!</v>
      </c>
      <c r="DI2" t="e">
        <f>AND('Planilla_General_07-12-2012_8_3'!K22,"AAAAAD//+3A=")</f>
        <v>#VALUE!</v>
      </c>
      <c r="DJ2" t="e">
        <f>AND('Planilla_General_07-12-2012_8_3'!L22,"AAAAAD//+3E=")</f>
        <v>#VALUE!</v>
      </c>
      <c r="DK2" t="e">
        <f>AND('Planilla_General_07-12-2012_8_3'!M22,"AAAAAD//+3I=")</f>
        <v>#VALUE!</v>
      </c>
      <c r="DL2" t="e">
        <f>AND('Planilla_General_07-12-2012_8_3'!N22,"AAAAAD//+3M=")</f>
        <v>#VALUE!</v>
      </c>
      <c r="DM2" t="e">
        <f>AND('Planilla_General_07-12-2012_8_3'!O22,"AAAAAD//+3Q=")</f>
        <v>#VALUE!</v>
      </c>
      <c r="DN2" t="e">
        <f>AND('Planilla_General_07-12-2012_8_3'!P22,"AAAAAD//+3U=")</f>
        <v>#VALUE!</v>
      </c>
      <c r="DO2">
        <f>IF('Planilla_General_07-12-2012_8_3'!23:23,"AAAAAD//+3Y=",0)</f>
        <v>0</v>
      </c>
      <c r="DP2" t="e">
        <f>AND('Planilla_General_07-12-2012_8_3'!A23,"AAAAAD//+3c=")</f>
        <v>#VALUE!</v>
      </c>
      <c r="DQ2" t="e">
        <f>AND('Planilla_General_07-12-2012_8_3'!B23,"AAAAAD//+3g=")</f>
        <v>#VALUE!</v>
      </c>
      <c r="DR2" t="e">
        <f>AND('Planilla_General_07-12-2012_8_3'!C23,"AAAAAD//+3k=")</f>
        <v>#VALUE!</v>
      </c>
      <c r="DS2" t="e">
        <f>AND('Planilla_General_07-12-2012_8_3'!D23,"AAAAAD//+3o=")</f>
        <v>#VALUE!</v>
      </c>
      <c r="DT2" t="e">
        <f>AND('Planilla_General_07-12-2012_8_3'!E23,"AAAAAD//+3s=")</f>
        <v>#VALUE!</v>
      </c>
      <c r="DU2" t="e">
        <f>AND('Planilla_General_07-12-2012_8_3'!F23,"AAAAAD//+3w=")</f>
        <v>#VALUE!</v>
      </c>
      <c r="DV2" t="e">
        <f>AND('Planilla_General_07-12-2012_8_3'!G23,"AAAAAD//+30=")</f>
        <v>#VALUE!</v>
      </c>
      <c r="DW2" t="e">
        <f>AND('Planilla_General_07-12-2012_8_3'!H23,"AAAAAD//+34=")</f>
        <v>#VALUE!</v>
      </c>
      <c r="DX2" t="e">
        <f>AND('Planilla_General_07-12-2012_8_3'!I23,"AAAAAD//+38=")</f>
        <v>#VALUE!</v>
      </c>
      <c r="DY2" t="e">
        <f>AND('Planilla_General_07-12-2012_8_3'!J23,"AAAAAD//+4A=")</f>
        <v>#VALUE!</v>
      </c>
      <c r="DZ2" t="e">
        <f>AND('Planilla_General_07-12-2012_8_3'!K23,"AAAAAD//+4E=")</f>
        <v>#VALUE!</v>
      </c>
      <c r="EA2" t="e">
        <f>AND('Planilla_General_07-12-2012_8_3'!L23,"AAAAAD//+4I=")</f>
        <v>#VALUE!</v>
      </c>
      <c r="EB2" t="e">
        <f>AND('Planilla_General_07-12-2012_8_3'!M23,"AAAAAD//+4M=")</f>
        <v>#VALUE!</v>
      </c>
      <c r="EC2" t="e">
        <f>AND('Planilla_General_07-12-2012_8_3'!N23,"AAAAAD//+4Q=")</f>
        <v>#VALUE!</v>
      </c>
      <c r="ED2" t="e">
        <f>AND('Planilla_General_07-12-2012_8_3'!O23,"AAAAAD//+4U=")</f>
        <v>#VALUE!</v>
      </c>
      <c r="EE2" t="e">
        <f>AND('Planilla_General_07-12-2012_8_3'!P23,"AAAAAD//+4Y=")</f>
        <v>#VALUE!</v>
      </c>
      <c r="EF2">
        <f>IF('Planilla_General_07-12-2012_8_3'!24:24,"AAAAAD//+4c=",0)</f>
        <v>0</v>
      </c>
      <c r="EG2" t="e">
        <f>AND('Planilla_General_07-12-2012_8_3'!A24,"AAAAAD//+4g=")</f>
        <v>#VALUE!</v>
      </c>
      <c r="EH2" t="e">
        <f>AND('Planilla_General_07-12-2012_8_3'!B24,"AAAAAD//+4k=")</f>
        <v>#VALUE!</v>
      </c>
      <c r="EI2" t="e">
        <f>AND('Planilla_General_07-12-2012_8_3'!C24,"AAAAAD//+4o=")</f>
        <v>#VALUE!</v>
      </c>
      <c r="EJ2" t="e">
        <f>AND('Planilla_General_07-12-2012_8_3'!D24,"AAAAAD//+4s=")</f>
        <v>#VALUE!</v>
      </c>
      <c r="EK2" t="e">
        <f>AND('Planilla_General_07-12-2012_8_3'!E24,"AAAAAD//+4w=")</f>
        <v>#VALUE!</v>
      </c>
      <c r="EL2" t="e">
        <f>AND('Planilla_General_07-12-2012_8_3'!F24,"AAAAAD//+40=")</f>
        <v>#VALUE!</v>
      </c>
      <c r="EM2" t="e">
        <f>AND('Planilla_General_07-12-2012_8_3'!G24,"AAAAAD//+44=")</f>
        <v>#VALUE!</v>
      </c>
      <c r="EN2" t="e">
        <f>AND('Planilla_General_07-12-2012_8_3'!H24,"AAAAAD//+48=")</f>
        <v>#VALUE!</v>
      </c>
      <c r="EO2" t="e">
        <f>AND('Planilla_General_07-12-2012_8_3'!I24,"AAAAAD//+5A=")</f>
        <v>#VALUE!</v>
      </c>
      <c r="EP2" t="e">
        <f>AND('Planilla_General_07-12-2012_8_3'!J24,"AAAAAD//+5E=")</f>
        <v>#VALUE!</v>
      </c>
      <c r="EQ2" t="e">
        <f>AND('Planilla_General_07-12-2012_8_3'!K24,"AAAAAD//+5I=")</f>
        <v>#VALUE!</v>
      </c>
      <c r="ER2" t="e">
        <f>AND('Planilla_General_07-12-2012_8_3'!L24,"AAAAAD//+5M=")</f>
        <v>#VALUE!</v>
      </c>
      <c r="ES2" t="e">
        <f>AND('Planilla_General_07-12-2012_8_3'!M24,"AAAAAD//+5Q=")</f>
        <v>#VALUE!</v>
      </c>
      <c r="ET2" t="e">
        <f>AND('Planilla_General_07-12-2012_8_3'!N24,"AAAAAD//+5U=")</f>
        <v>#VALUE!</v>
      </c>
      <c r="EU2" t="e">
        <f>AND('Planilla_General_07-12-2012_8_3'!O24,"AAAAAD//+5Y=")</f>
        <v>#VALUE!</v>
      </c>
      <c r="EV2" t="e">
        <f>AND('Planilla_General_07-12-2012_8_3'!P24,"AAAAAD//+5c=")</f>
        <v>#VALUE!</v>
      </c>
      <c r="EW2">
        <f>IF('Planilla_General_07-12-2012_8_3'!25:25,"AAAAAD//+5g=",0)</f>
        <v>0</v>
      </c>
      <c r="EX2" t="e">
        <f>AND('Planilla_General_07-12-2012_8_3'!A25,"AAAAAD//+5k=")</f>
        <v>#VALUE!</v>
      </c>
      <c r="EY2" t="e">
        <f>AND('Planilla_General_07-12-2012_8_3'!B25,"AAAAAD//+5o=")</f>
        <v>#VALUE!</v>
      </c>
      <c r="EZ2" t="e">
        <f>AND('Planilla_General_07-12-2012_8_3'!C25,"AAAAAD//+5s=")</f>
        <v>#VALUE!</v>
      </c>
      <c r="FA2" t="e">
        <f>AND('Planilla_General_07-12-2012_8_3'!D25,"AAAAAD//+5w=")</f>
        <v>#VALUE!</v>
      </c>
      <c r="FB2" t="e">
        <f>AND('Planilla_General_07-12-2012_8_3'!E25,"AAAAAD//+50=")</f>
        <v>#VALUE!</v>
      </c>
      <c r="FC2" t="e">
        <f>AND('Planilla_General_07-12-2012_8_3'!F25,"AAAAAD//+54=")</f>
        <v>#VALUE!</v>
      </c>
      <c r="FD2" t="e">
        <f>AND('Planilla_General_07-12-2012_8_3'!G25,"AAAAAD//+58=")</f>
        <v>#VALUE!</v>
      </c>
      <c r="FE2" t="e">
        <f>AND('Planilla_General_07-12-2012_8_3'!H25,"AAAAAD//+6A=")</f>
        <v>#VALUE!</v>
      </c>
      <c r="FF2" t="e">
        <f>AND('Planilla_General_07-12-2012_8_3'!I25,"AAAAAD//+6E=")</f>
        <v>#VALUE!</v>
      </c>
      <c r="FG2" t="e">
        <f>AND('Planilla_General_07-12-2012_8_3'!J25,"AAAAAD//+6I=")</f>
        <v>#VALUE!</v>
      </c>
      <c r="FH2" t="e">
        <f>AND('Planilla_General_07-12-2012_8_3'!K25,"AAAAAD//+6M=")</f>
        <v>#VALUE!</v>
      </c>
      <c r="FI2" t="e">
        <f>AND('Planilla_General_07-12-2012_8_3'!L25,"AAAAAD//+6Q=")</f>
        <v>#VALUE!</v>
      </c>
      <c r="FJ2" t="e">
        <f>AND('Planilla_General_07-12-2012_8_3'!M25,"AAAAAD//+6U=")</f>
        <v>#VALUE!</v>
      </c>
      <c r="FK2" t="e">
        <f>AND('Planilla_General_07-12-2012_8_3'!N25,"AAAAAD//+6Y=")</f>
        <v>#VALUE!</v>
      </c>
      <c r="FL2" t="e">
        <f>AND('Planilla_General_07-12-2012_8_3'!O25,"AAAAAD//+6c=")</f>
        <v>#VALUE!</v>
      </c>
      <c r="FM2" t="e">
        <f>AND('Planilla_General_07-12-2012_8_3'!P25,"AAAAAD//+6g=")</f>
        <v>#VALUE!</v>
      </c>
      <c r="FN2">
        <f>IF('Planilla_General_07-12-2012_8_3'!26:26,"AAAAAD//+6k=",0)</f>
        <v>0</v>
      </c>
      <c r="FO2" t="e">
        <f>AND('Planilla_General_07-12-2012_8_3'!A26,"AAAAAD//+6o=")</f>
        <v>#VALUE!</v>
      </c>
      <c r="FP2" t="e">
        <f>AND('Planilla_General_07-12-2012_8_3'!B26,"AAAAAD//+6s=")</f>
        <v>#VALUE!</v>
      </c>
      <c r="FQ2" t="e">
        <f>AND('Planilla_General_07-12-2012_8_3'!C26,"AAAAAD//+6w=")</f>
        <v>#VALUE!</v>
      </c>
      <c r="FR2" t="e">
        <f>AND('Planilla_General_07-12-2012_8_3'!D26,"AAAAAD//+60=")</f>
        <v>#VALUE!</v>
      </c>
      <c r="FS2" t="e">
        <f>AND('Planilla_General_07-12-2012_8_3'!E26,"AAAAAD//+64=")</f>
        <v>#VALUE!</v>
      </c>
      <c r="FT2" t="e">
        <f>AND('Planilla_General_07-12-2012_8_3'!F26,"AAAAAD//+68=")</f>
        <v>#VALUE!</v>
      </c>
      <c r="FU2" t="e">
        <f>AND('Planilla_General_07-12-2012_8_3'!G26,"AAAAAD//+7A=")</f>
        <v>#VALUE!</v>
      </c>
      <c r="FV2" t="e">
        <f>AND('Planilla_General_07-12-2012_8_3'!H26,"AAAAAD//+7E=")</f>
        <v>#VALUE!</v>
      </c>
      <c r="FW2" t="e">
        <f>AND('Planilla_General_07-12-2012_8_3'!I26,"AAAAAD//+7I=")</f>
        <v>#VALUE!</v>
      </c>
      <c r="FX2" t="e">
        <f>AND('Planilla_General_07-12-2012_8_3'!J26,"AAAAAD//+7M=")</f>
        <v>#VALUE!</v>
      </c>
      <c r="FY2" t="e">
        <f>AND('Planilla_General_07-12-2012_8_3'!K26,"AAAAAD//+7Q=")</f>
        <v>#VALUE!</v>
      </c>
      <c r="FZ2" t="e">
        <f>AND('Planilla_General_07-12-2012_8_3'!L26,"AAAAAD//+7U=")</f>
        <v>#VALUE!</v>
      </c>
      <c r="GA2" t="e">
        <f>AND('Planilla_General_07-12-2012_8_3'!M26,"AAAAAD//+7Y=")</f>
        <v>#VALUE!</v>
      </c>
      <c r="GB2" t="e">
        <f>AND('Planilla_General_07-12-2012_8_3'!N26,"AAAAAD//+7c=")</f>
        <v>#VALUE!</v>
      </c>
      <c r="GC2" t="e">
        <f>AND('Planilla_General_07-12-2012_8_3'!O26,"AAAAAD//+7g=")</f>
        <v>#VALUE!</v>
      </c>
      <c r="GD2" t="e">
        <f>AND('Planilla_General_07-12-2012_8_3'!P26,"AAAAAD//+7k=")</f>
        <v>#VALUE!</v>
      </c>
      <c r="GE2">
        <f>IF('Planilla_General_07-12-2012_8_3'!27:27,"AAAAAD//+7o=",0)</f>
        <v>0</v>
      </c>
      <c r="GF2" t="e">
        <f>AND('Planilla_General_07-12-2012_8_3'!A27,"AAAAAD//+7s=")</f>
        <v>#VALUE!</v>
      </c>
      <c r="GG2" t="e">
        <f>AND('Planilla_General_07-12-2012_8_3'!B27,"AAAAAD//+7w=")</f>
        <v>#VALUE!</v>
      </c>
      <c r="GH2" t="e">
        <f>AND('Planilla_General_07-12-2012_8_3'!C27,"AAAAAD//+70=")</f>
        <v>#VALUE!</v>
      </c>
      <c r="GI2" t="e">
        <f>AND('Planilla_General_07-12-2012_8_3'!D27,"AAAAAD//+74=")</f>
        <v>#VALUE!</v>
      </c>
      <c r="GJ2" t="e">
        <f>AND('Planilla_General_07-12-2012_8_3'!E27,"AAAAAD//+78=")</f>
        <v>#VALUE!</v>
      </c>
      <c r="GK2" t="e">
        <f>AND('Planilla_General_07-12-2012_8_3'!F27,"AAAAAD//+8A=")</f>
        <v>#VALUE!</v>
      </c>
      <c r="GL2" t="e">
        <f>AND('Planilla_General_07-12-2012_8_3'!G27,"AAAAAD//+8E=")</f>
        <v>#VALUE!</v>
      </c>
      <c r="GM2" t="e">
        <f>AND('Planilla_General_07-12-2012_8_3'!H27,"AAAAAD//+8I=")</f>
        <v>#VALUE!</v>
      </c>
      <c r="GN2" t="e">
        <f>AND('Planilla_General_07-12-2012_8_3'!I27,"AAAAAD//+8M=")</f>
        <v>#VALUE!</v>
      </c>
      <c r="GO2" t="e">
        <f>AND('Planilla_General_07-12-2012_8_3'!J27,"AAAAAD//+8Q=")</f>
        <v>#VALUE!</v>
      </c>
      <c r="GP2" t="e">
        <f>AND('Planilla_General_07-12-2012_8_3'!K27,"AAAAAD//+8U=")</f>
        <v>#VALUE!</v>
      </c>
      <c r="GQ2" t="e">
        <f>AND('Planilla_General_07-12-2012_8_3'!L27,"AAAAAD//+8Y=")</f>
        <v>#VALUE!</v>
      </c>
      <c r="GR2" t="e">
        <f>AND('Planilla_General_07-12-2012_8_3'!M27,"AAAAAD//+8c=")</f>
        <v>#VALUE!</v>
      </c>
      <c r="GS2" t="e">
        <f>AND('Planilla_General_07-12-2012_8_3'!N27,"AAAAAD//+8g=")</f>
        <v>#VALUE!</v>
      </c>
      <c r="GT2" t="e">
        <f>AND('Planilla_General_07-12-2012_8_3'!O27,"AAAAAD//+8k=")</f>
        <v>#VALUE!</v>
      </c>
      <c r="GU2" t="e">
        <f>AND('Planilla_General_07-12-2012_8_3'!P27,"AAAAAD//+8o=")</f>
        <v>#VALUE!</v>
      </c>
      <c r="GV2">
        <f>IF('Planilla_General_07-12-2012_8_3'!28:28,"AAAAAD//+8s=",0)</f>
        <v>0</v>
      </c>
      <c r="GW2" t="e">
        <f>AND('Planilla_General_07-12-2012_8_3'!A28,"AAAAAD//+8w=")</f>
        <v>#VALUE!</v>
      </c>
      <c r="GX2" t="e">
        <f>AND('Planilla_General_07-12-2012_8_3'!B28,"AAAAAD//+80=")</f>
        <v>#VALUE!</v>
      </c>
      <c r="GY2" t="e">
        <f>AND('Planilla_General_07-12-2012_8_3'!C28,"AAAAAD//+84=")</f>
        <v>#VALUE!</v>
      </c>
      <c r="GZ2" t="e">
        <f>AND('Planilla_General_07-12-2012_8_3'!D28,"AAAAAD//+88=")</f>
        <v>#VALUE!</v>
      </c>
      <c r="HA2" t="e">
        <f>AND('Planilla_General_07-12-2012_8_3'!E28,"AAAAAD//+9A=")</f>
        <v>#VALUE!</v>
      </c>
      <c r="HB2" t="e">
        <f>AND('Planilla_General_07-12-2012_8_3'!F28,"AAAAAD//+9E=")</f>
        <v>#VALUE!</v>
      </c>
      <c r="HC2" t="e">
        <f>AND('Planilla_General_07-12-2012_8_3'!G28,"AAAAAD//+9I=")</f>
        <v>#VALUE!</v>
      </c>
      <c r="HD2" t="e">
        <f>AND('Planilla_General_07-12-2012_8_3'!H28,"AAAAAD//+9M=")</f>
        <v>#VALUE!</v>
      </c>
      <c r="HE2" t="e">
        <f>AND('Planilla_General_07-12-2012_8_3'!I28,"AAAAAD//+9Q=")</f>
        <v>#VALUE!</v>
      </c>
      <c r="HF2" t="e">
        <f>AND('Planilla_General_07-12-2012_8_3'!J28,"AAAAAD//+9U=")</f>
        <v>#VALUE!</v>
      </c>
      <c r="HG2" t="e">
        <f>AND('Planilla_General_07-12-2012_8_3'!K28,"AAAAAD//+9Y=")</f>
        <v>#VALUE!</v>
      </c>
      <c r="HH2" t="e">
        <f>AND('Planilla_General_07-12-2012_8_3'!L28,"AAAAAD//+9c=")</f>
        <v>#VALUE!</v>
      </c>
      <c r="HI2" t="e">
        <f>AND('Planilla_General_07-12-2012_8_3'!M28,"AAAAAD//+9g=")</f>
        <v>#VALUE!</v>
      </c>
      <c r="HJ2" t="e">
        <f>AND('Planilla_General_07-12-2012_8_3'!N28,"AAAAAD//+9k=")</f>
        <v>#VALUE!</v>
      </c>
      <c r="HK2" t="e">
        <f>AND('Planilla_General_07-12-2012_8_3'!O28,"AAAAAD//+9o=")</f>
        <v>#VALUE!</v>
      </c>
      <c r="HL2" t="e">
        <f>AND('Planilla_General_07-12-2012_8_3'!P28,"AAAAAD//+9s=")</f>
        <v>#VALUE!</v>
      </c>
      <c r="HM2">
        <f>IF('Planilla_General_07-12-2012_8_3'!29:29,"AAAAAD//+9w=",0)</f>
        <v>0</v>
      </c>
      <c r="HN2" t="e">
        <f>AND('Planilla_General_07-12-2012_8_3'!A29,"AAAAAD//+90=")</f>
        <v>#VALUE!</v>
      </c>
      <c r="HO2" t="e">
        <f>AND('Planilla_General_07-12-2012_8_3'!B29,"AAAAAD//+94=")</f>
        <v>#VALUE!</v>
      </c>
      <c r="HP2" t="e">
        <f>AND('Planilla_General_07-12-2012_8_3'!C29,"AAAAAD//+98=")</f>
        <v>#VALUE!</v>
      </c>
      <c r="HQ2" t="e">
        <f>AND('Planilla_General_07-12-2012_8_3'!D29,"AAAAAD//++A=")</f>
        <v>#VALUE!</v>
      </c>
      <c r="HR2" t="e">
        <f>AND('Planilla_General_07-12-2012_8_3'!E29,"AAAAAD//++E=")</f>
        <v>#VALUE!</v>
      </c>
      <c r="HS2" t="e">
        <f>AND('Planilla_General_07-12-2012_8_3'!F29,"AAAAAD//++I=")</f>
        <v>#VALUE!</v>
      </c>
      <c r="HT2" t="e">
        <f>AND('Planilla_General_07-12-2012_8_3'!G29,"AAAAAD//++M=")</f>
        <v>#VALUE!</v>
      </c>
      <c r="HU2" t="e">
        <f>AND('Planilla_General_07-12-2012_8_3'!H29,"AAAAAD//++Q=")</f>
        <v>#VALUE!</v>
      </c>
      <c r="HV2" t="e">
        <f>AND('Planilla_General_07-12-2012_8_3'!I29,"AAAAAD//++U=")</f>
        <v>#VALUE!</v>
      </c>
      <c r="HW2" t="e">
        <f>AND('Planilla_General_07-12-2012_8_3'!J29,"AAAAAD//++Y=")</f>
        <v>#VALUE!</v>
      </c>
      <c r="HX2" t="e">
        <f>AND('Planilla_General_07-12-2012_8_3'!K29,"AAAAAD//++c=")</f>
        <v>#VALUE!</v>
      </c>
      <c r="HY2" t="e">
        <f>AND('Planilla_General_07-12-2012_8_3'!L29,"AAAAAD//++g=")</f>
        <v>#VALUE!</v>
      </c>
      <c r="HZ2" t="e">
        <f>AND('Planilla_General_07-12-2012_8_3'!M29,"AAAAAD//++k=")</f>
        <v>#VALUE!</v>
      </c>
      <c r="IA2" t="e">
        <f>AND('Planilla_General_07-12-2012_8_3'!N29,"AAAAAD//++o=")</f>
        <v>#VALUE!</v>
      </c>
      <c r="IB2" t="e">
        <f>AND('Planilla_General_07-12-2012_8_3'!O29,"AAAAAD//++s=")</f>
        <v>#VALUE!</v>
      </c>
      <c r="IC2" t="e">
        <f>AND('Planilla_General_07-12-2012_8_3'!P29,"AAAAAD//++w=")</f>
        <v>#VALUE!</v>
      </c>
      <c r="ID2">
        <f>IF('Planilla_General_07-12-2012_8_3'!30:30,"AAAAAD//++0=",0)</f>
        <v>0</v>
      </c>
      <c r="IE2" t="e">
        <f>AND('Planilla_General_07-12-2012_8_3'!A30,"AAAAAD//++4=")</f>
        <v>#VALUE!</v>
      </c>
      <c r="IF2" t="e">
        <f>AND('Planilla_General_07-12-2012_8_3'!B30,"AAAAAD//++8=")</f>
        <v>#VALUE!</v>
      </c>
      <c r="IG2" t="e">
        <f>AND('Planilla_General_07-12-2012_8_3'!C30,"AAAAAD//+/A=")</f>
        <v>#VALUE!</v>
      </c>
      <c r="IH2" t="e">
        <f>AND('Planilla_General_07-12-2012_8_3'!D30,"AAAAAD//+/E=")</f>
        <v>#VALUE!</v>
      </c>
      <c r="II2" t="e">
        <f>AND('Planilla_General_07-12-2012_8_3'!E30,"AAAAAD//+/I=")</f>
        <v>#VALUE!</v>
      </c>
      <c r="IJ2" t="e">
        <f>AND('Planilla_General_07-12-2012_8_3'!F30,"AAAAAD//+/M=")</f>
        <v>#VALUE!</v>
      </c>
      <c r="IK2" t="e">
        <f>AND('Planilla_General_07-12-2012_8_3'!G30,"AAAAAD//+/Q=")</f>
        <v>#VALUE!</v>
      </c>
      <c r="IL2" t="e">
        <f>AND('Planilla_General_07-12-2012_8_3'!H30,"AAAAAD//+/U=")</f>
        <v>#VALUE!</v>
      </c>
      <c r="IM2" t="e">
        <f>AND('Planilla_General_07-12-2012_8_3'!I30,"AAAAAD//+/Y=")</f>
        <v>#VALUE!</v>
      </c>
      <c r="IN2" t="e">
        <f>AND('Planilla_General_07-12-2012_8_3'!J30,"AAAAAD//+/c=")</f>
        <v>#VALUE!</v>
      </c>
      <c r="IO2" t="e">
        <f>AND('Planilla_General_07-12-2012_8_3'!K30,"AAAAAD//+/g=")</f>
        <v>#VALUE!</v>
      </c>
      <c r="IP2" t="e">
        <f>AND('Planilla_General_07-12-2012_8_3'!L30,"AAAAAD//+/k=")</f>
        <v>#VALUE!</v>
      </c>
      <c r="IQ2" t="e">
        <f>AND('Planilla_General_07-12-2012_8_3'!M30,"AAAAAD//+/o=")</f>
        <v>#VALUE!</v>
      </c>
      <c r="IR2" t="e">
        <f>AND('Planilla_General_07-12-2012_8_3'!N30,"AAAAAD//+/s=")</f>
        <v>#VALUE!</v>
      </c>
      <c r="IS2" t="e">
        <f>AND('Planilla_General_07-12-2012_8_3'!O30,"AAAAAD//+/w=")</f>
        <v>#VALUE!</v>
      </c>
      <c r="IT2" t="e">
        <f>AND('Planilla_General_07-12-2012_8_3'!P30,"AAAAAD//+/0=")</f>
        <v>#VALUE!</v>
      </c>
      <c r="IU2">
        <f>IF('Planilla_General_07-12-2012_8_3'!31:31,"AAAAAD//+/4=",0)</f>
        <v>0</v>
      </c>
      <c r="IV2" t="e">
        <f>AND('Planilla_General_07-12-2012_8_3'!A31,"AAAAAD//+/8=")</f>
        <v>#VALUE!</v>
      </c>
    </row>
    <row r="3" spans="1:256" x14ac:dyDescent="0.25">
      <c r="A3" t="e">
        <f>AND('Planilla_General_07-12-2012_8_3'!B31,"AAAAAH92+wA=")</f>
        <v>#VALUE!</v>
      </c>
      <c r="B3" t="e">
        <f>AND('Planilla_General_07-12-2012_8_3'!C31,"AAAAAH92+wE=")</f>
        <v>#VALUE!</v>
      </c>
      <c r="C3" t="e">
        <f>AND('Planilla_General_07-12-2012_8_3'!D31,"AAAAAH92+wI=")</f>
        <v>#VALUE!</v>
      </c>
      <c r="D3" t="e">
        <f>AND('Planilla_General_07-12-2012_8_3'!E31,"AAAAAH92+wM=")</f>
        <v>#VALUE!</v>
      </c>
      <c r="E3" t="e">
        <f>AND('Planilla_General_07-12-2012_8_3'!F31,"AAAAAH92+wQ=")</f>
        <v>#VALUE!</v>
      </c>
      <c r="F3" t="e">
        <f>AND('Planilla_General_07-12-2012_8_3'!G31,"AAAAAH92+wU=")</f>
        <v>#VALUE!</v>
      </c>
      <c r="G3" t="e">
        <f>AND('Planilla_General_07-12-2012_8_3'!H31,"AAAAAH92+wY=")</f>
        <v>#VALUE!</v>
      </c>
      <c r="H3" t="e">
        <f>AND('Planilla_General_07-12-2012_8_3'!I31,"AAAAAH92+wc=")</f>
        <v>#VALUE!</v>
      </c>
      <c r="I3" t="e">
        <f>AND('Planilla_General_07-12-2012_8_3'!J31,"AAAAAH92+wg=")</f>
        <v>#VALUE!</v>
      </c>
      <c r="J3" t="e">
        <f>AND('Planilla_General_07-12-2012_8_3'!K31,"AAAAAH92+wk=")</f>
        <v>#VALUE!</v>
      </c>
      <c r="K3" t="e">
        <f>AND('Planilla_General_07-12-2012_8_3'!L31,"AAAAAH92+wo=")</f>
        <v>#VALUE!</v>
      </c>
      <c r="L3" t="e">
        <f>AND('Planilla_General_07-12-2012_8_3'!M31,"AAAAAH92+ws=")</f>
        <v>#VALUE!</v>
      </c>
      <c r="M3" t="e">
        <f>AND('Planilla_General_07-12-2012_8_3'!N31,"AAAAAH92+ww=")</f>
        <v>#VALUE!</v>
      </c>
      <c r="N3" t="e">
        <f>AND('Planilla_General_07-12-2012_8_3'!O31,"AAAAAH92+w0=")</f>
        <v>#VALUE!</v>
      </c>
      <c r="O3" t="e">
        <f>AND('Planilla_General_07-12-2012_8_3'!P31,"AAAAAH92+w4=")</f>
        <v>#VALUE!</v>
      </c>
      <c r="P3">
        <f>IF('Planilla_General_07-12-2012_8_3'!32:32,"AAAAAH92+w8=",0)</f>
        <v>0</v>
      </c>
      <c r="Q3" t="e">
        <f>AND('Planilla_General_07-12-2012_8_3'!A32,"AAAAAH92+xA=")</f>
        <v>#VALUE!</v>
      </c>
      <c r="R3" t="e">
        <f>AND('Planilla_General_07-12-2012_8_3'!B32,"AAAAAH92+xE=")</f>
        <v>#VALUE!</v>
      </c>
      <c r="S3" t="e">
        <f>AND('Planilla_General_07-12-2012_8_3'!C32,"AAAAAH92+xI=")</f>
        <v>#VALUE!</v>
      </c>
      <c r="T3" t="e">
        <f>AND('Planilla_General_07-12-2012_8_3'!D32,"AAAAAH92+xM=")</f>
        <v>#VALUE!</v>
      </c>
      <c r="U3" t="e">
        <f>AND('Planilla_General_07-12-2012_8_3'!E32,"AAAAAH92+xQ=")</f>
        <v>#VALUE!</v>
      </c>
      <c r="V3" t="e">
        <f>AND('Planilla_General_07-12-2012_8_3'!F32,"AAAAAH92+xU=")</f>
        <v>#VALUE!</v>
      </c>
      <c r="W3" t="e">
        <f>AND('Planilla_General_07-12-2012_8_3'!G32,"AAAAAH92+xY=")</f>
        <v>#VALUE!</v>
      </c>
      <c r="X3" t="e">
        <f>AND('Planilla_General_07-12-2012_8_3'!H32,"AAAAAH92+xc=")</f>
        <v>#VALUE!</v>
      </c>
      <c r="Y3" t="e">
        <f>AND('Planilla_General_07-12-2012_8_3'!I32,"AAAAAH92+xg=")</f>
        <v>#VALUE!</v>
      </c>
      <c r="Z3" t="e">
        <f>AND('Planilla_General_07-12-2012_8_3'!J32,"AAAAAH92+xk=")</f>
        <v>#VALUE!</v>
      </c>
      <c r="AA3" t="e">
        <f>AND('Planilla_General_07-12-2012_8_3'!K32,"AAAAAH92+xo=")</f>
        <v>#VALUE!</v>
      </c>
      <c r="AB3" t="e">
        <f>AND('Planilla_General_07-12-2012_8_3'!L32,"AAAAAH92+xs=")</f>
        <v>#VALUE!</v>
      </c>
      <c r="AC3" t="e">
        <f>AND('Planilla_General_07-12-2012_8_3'!M32,"AAAAAH92+xw=")</f>
        <v>#VALUE!</v>
      </c>
      <c r="AD3" t="e">
        <f>AND('Planilla_General_07-12-2012_8_3'!N32,"AAAAAH92+x0=")</f>
        <v>#VALUE!</v>
      </c>
      <c r="AE3" t="e">
        <f>AND('Planilla_General_07-12-2012_8_3'!O32,"AAAAAH92+x4=")</f>
        <v>#VALUE!</v>
      </c>
      <c r="AF3" t="e">
        <f>AND('Planilla_General_07-12-2012_8_3'!P32,"AAAAAH92+x8=")</f>
        <v>#VALUE!</v>
      </c>
      <c r="AG3">
        <f>IF('Planilla_General_07-12-2012_8_3'!33:33,"AAAAAH92+yA=",0)</f>
        <v>0</v>
      </c>
      <c r="AH3" t="e">
        <f>AND('Planilla_General_07-12-2012_8_3'!A33,"AAAAAH92+yE=")</f>
        <v>#VALUE!</v>
      </c>
      <c r="AI3" t="e">
        <f>AND('Planilla_General_07-12-2012_8_3'!B33,"AAAAAH92+yI=")</f>
        <v>#VALUE!</v>
      </c>
      <c r="AJ3" t="e">
        <f>AND('Planilla_General_07-12-2012_8_3'!C33,"AAAAAH92+yM=")</f>
        <v>#VALUE!</v>
      </c>
      <c r="AK3" t="e">
        <f>AND('Planilla_General_07-12-2012_8_3'!D33,"AAAAAH92+yQ=")</f>
        <v>#VALUE!</v>
      </c>
      <c r="AL3" t="e">
        <f>AND('Planilla_General_07-12-2012_8_3'!E33,"AAAAAH92+yU=")</f>
        <v>#VALUE!</v>
      </c>
      <c r="AM3" t="e">
        <f>AND('Planilla_General_07-12-2012_8_3'!F33,"AAAAAH92+yY=")</f>
        <v>#VALUE!</v>
      </c>
      <c r="AN3" t="e">
        <f>AND('Planilla_General_07-12-2012_8_3'!G33,"AAAAAH92+yc=")</f>
        <v>#VALUE!</v>
      </c>
      <c r="AO3" t="e">
        <f>AND('Planilla_General_07-12-2012_8_3'!H33,"AAAAAH92+yg=")</f>
        <v>#VALUE!</v>
      </c>
      <c r="AP3" t="e">
        <f>AND('Planilla_General_07-12-2012_8_3'!I33,"AAAAAH92+yk=")</f>
        <v>#VALUE!</v>
      </c>
      <c r="AQ3" t="e">
        <f>AND('Planilla_General_07-12-2012_8_3'!J33,"AAAAAH92+yo=")</f>
        <v>#VALUE!</v>
      </c>
      <c r="AR3" t="e">
        <f>AND('Planilla_General_07-12-2012_8_3'!K33,"AAAAAH92+ys=")</f>
        <v>#VALUE!</v>
      </c>
      <c r="AS3" t="e">
        <f>AND('Planilla_General_07-12-2012_8_3'!L33,"AAAAAH92+yw=")</f>
        <v>#VALUE!</v>
      </c>
      <c r="AT3" t="e">
        <f>AND('Planilla_General_07-12-2012_8_3'!M33,"AAAAAH92+y0=")</f>
        <v>#VALUE!</v>
      </c>
      <c r="AU3" t="e">
        <f>AND('Planilla_General_07-12-2012_8_3'!N33,"AAAAAH92+y4=")</f>
        <v>#VALUE!</v>
      </c>
      <c r="AV3" t="e">
        <f>AND('Planilla_General_07-12-2012_8_3'!O33,"AAAAAH92+y8=")</f>
        <v>#VALUE!</v>
      </c>
      <c r="AW3" t="e">
        <f>AND('Planilla_General_07-12-2012_8_3'!P33,"AAAAAH92+zA=")</f>
        <v>#VALUE!</v>
      </c>
      <c r="AX3">
        <f>IF('Planilla_General_07-12-2012_8_3'!34:34,"AAAAAH92+zE=",0)</f>
        <v>0</v>
      </c>
      <c r="AY3" t="e">
        <f>AND('Planilla_General_07-12-2012_8_3'!A34,"AAAAAH92+zI=")</f>
        <v>#VALUE!</v>
      </c>
      <c r="AZ3" t="e">
        <f>AND('Planilla_General_07-12-2012_8_3'!B34,"AAAAAH92+zM=")</f>
        <v>#VALUE!</v>
      </c>
      <c r="BA3" t="e">
        <f>AND('Planilla_General_07-12-2012_8_3'!C34,"AAAAAH92+zQ=")</f>
        <v>#VALUE!</v>
      </c>
      <c r="BB3" t="e">
        <f>AND('Planilla_General_07-12-2012_8_3'!D34,"AAAAAH92+zU=")</f>
        <v>#VALUE!</v>
      </c>
      <c r="BC3" t="e">
        <f>AND('Planilla_General_07-12-2012_8_3'!E34,"AAAAAH92+zY=")</f>
        <v>#VALUE!</v>
      </c>
      <c r="BD3" t="e">
        <f>AND('Planilla_General_07-12-2012_8_3'!F34,"AAAAAH92+zc=")</f>
        <v>#VALUE!</v>
      </c>
      <c r="BE3" t="e">
        <f>AND('Planilla_General_07-12-2012_8_3'!G34,"AAAAAH92+zg=")</f>
        <v>#VALUE!</v>
      </c>
      <c r="BF3" t="e">
        <f>AND('Planilla_General_07-12-2012_8_3'!H34,"AAAAAH92+zk=")</f>
        <v>#VALUE!</v>
      </c>
      <c r="BG3" t="e">
        <f>AND('Planilla_General_07-12-2012_8_3'!I34,"AAAAAH92+zo=")</f>
        <v>#VALUE!</v>
      </c>
      <c r="BH3" t="e">
        <f>AND('Planilla_General_07-12-2012_8_3'!J34,"AAAAAH92+zs=")</f>
        <v>#VALUE!</v>
      </c>
      <c r="BI3" t="e">
        <f>AND('Planilla_General_07-12-2012_8_3'!K34,"AAAAAH92+zw=")</f>
        <v>#VALUE!</v>
      </c>
      <c r="BJ3" t="e">
        <f>AND('Planilla_General_07-12-2012_8_3'!L34,"AAAAAH92+z0=")</f>
        <v>#VALUE!</v>
      </c>
      <c r="BK3" t="e">
        <f>AND('Planilla_General_07-12-2012_8_3'!M34,"AAAAAH92+z4=")</f>
        <v>#VALUE!</v>
      </c>
      <c r="BL3" t="e">
        <f>AND('Planilla_General_07-12-2012_8_3'!N34,"AAAAAH92+z8=")</f>
        <v>#VALUE!</v>
      </c>
      <c r="BM3" t="e">
        <f>AND('Planilla_General_07-12-2012_8_3'!O34,"AAAAAH92+0A=")</f>
        <v>#VALUE!</v>
      </c>
      <c r="BN3" t="e">
        <f>AND('Planilla_General_07-12-2012_8_3'!P34,"AAAAAH92+0E=")</f>
        <v>#VALUE!</v>
      </c>
      <c r="BO3">
        <f>IF('Planilla_General_07-12-2012_8_3'!35:35,"AAAAAH92+0I=",0)</f>
        <v>0</v>
      </c>
      <c r="BP3" t="e">
        <f>AND('Planilla_General_07-12-2012_8_3'!A35,"AAAAAH92+0M=")</f>
        <v>#VALUE!</v>
      </c>
      <c r="BQ3" t="e">
        <f>AND('Planilla_General_07-12-2012_8_3'!B35,"AAAAAH92+0Q=")</f>
        <v>#VALUE!</v>
      </c>
      <c r="BR3" t="e">
        <f>AND('Planilla_General_07-12-2012_8_3'!C35,"AAAAAH92+0U=")</f>
        <v>#VALUE!</v>
      </c>
      <c r="BS3" t="e">
        <f>AND('Planilla_General_07-12-2012_8_3'!D35,"AAAAAH92+0Y=")</f>
        <v>#VALUE!</v>
      </c>
      <c r="BT3" t="e">
        <f>AND('Planilla_General_07-12-2012_8_3'!E35,"AAAAAH92+0c=")</f>
        <v>#VALUE!</v>
      </c>
      <c r="BU3" t="e">
        <f>AND('Planilla_General_07-12-2012_8_3'!F35,"AAAAAH92+0g=")</f>
        <v>#VALUE!</v>
      </c>
      <c r="BV3" t="e">
        <f>AND('Planilla_General_07-12-2012_8_3'!G35,"AAAAAH92+0k=")</f>
        <v>#VALUE!</v>
      </c>
      <c r="BW3" t="e">
        <f>AND('Planilla_General_07-12-2012_8_3'!H35,"AAAAAH92+0o=")</f>
        <v>#VALUE!</v>
      </c>
      <c r="BX3" t="e">
        <f>AND('Planilla_General_07-12-2012_8_3'!I35,"AAAAAH92+0s=")</f>
        <v>#VALUE!</v>
      </c>
      <c r="BY3" t="e">
        <f>AND('Planilla_General_07-12-2012_8_3'!J35,"AAAAAH92+0w=")</f>
        <v>#VALUE!</v>
      </c>
      <c r="BZ3" t="e">
        <f>AND('Planilla_General_07-12-2012_8_3'!K35,"AAAAAH92+00=")</f>
        <v>#VALUE!</v>
      </c>
      <c r="CA3" t="e">
        <f>AND('Planilla_General_07-12-2012_8_3'!L35,"AAAAAH92+04=")</f>
        <v>#VALUE!</v>
      </c>
      <c r="CB3" t="e">
        <f>AND('Planilla_General_07-12-2012_8_3'!M35,"AAAAAH92+08=")</f>
        <v>#VALUE!</v>
      </c>
      <c r="CC3" t="e">
        <f>AND('Planilla_General_07-12-2012_8_3'!N35,"AAAAAH92+1A=")</f>
        <v>#VALUE!</v>
      </c>
      <c r="CD3" t="e">
        <f>AND('Planilla_General_07-12-2012_8_3'!O35,"AAAAAH92+1E=")</f>
        <v>#VALUE!</v>
      </c>
      <c r="CE3" t="e">
        <f>AND('Planilla_General_07-12-2012_8_3'!P35,"AAAAAH92+1I=")</f>
        <v>#VALUE!</v>
      </c>
      <c r="CF3">
        <f>IF('Planilla_General_07-12-2012_8_3'!36:36,"AAAAAH92+1M=",0)</f>
        <v>0</v>
      </c>
      <c r="CG3" t="e">
        <f>AND('Planilla_General_07-12-2012_8_3'!A36,"AAAAAH92+1Q=")</f>
        <v>#VALUE!</v>
      </c>
      <c r="CH3" t="e">
        <f>AND('Planilla_General_07-12-2012_8_3'!B36,"AAAAAH92+1U=")</f>
        <v>#VALUE!</v>
      </c>
      <c r="CI3" t="e">
        <f>AND('Planilla_General_07-12-2012_8_3'!C36,"AAAAAH92+1Y=")</f>
        <v>#VALUE!</v>
      </c>
      <c r="CJ3" t="e">
        <f>AND('Planilla_General_07-12-2012_8_3'!D36,"AAAAAH92+1c=")</f>
        <v>#VALUE!</v>
      </c>
      <c r="CK3" t="e">
        <f>AND('Planilla_General_07-12-2012_8_3'!E36,"AAAAAH92+1g=")</f>
        <v>#VALUE!</v>
      </c>
      <c r="CL3" t="e">
        <f>AND('Planilla_General_07-12-2012_8_3'!F36,"AAAAAH92+1k=")</f>
        <v>#VALUE!</v>
      </c>
      <c r="CM3" t="e">
        <f>AND('Planilla_General_07-12-2012_8_3'!G36,"AAAAAH92+1o=")</f>
        <v>#VALUE!</v>
      </c>
      <c r="CN3" t="e">
        <f>AND('Planilla_General_07-12-2012_8_3'!H36,"AAAAAH92+1s=")</f>
        <v>#VALUE!</v>
      </c>
      <c r="CO3" t="e">
        <f>AND('Planilla_General_07-12-2012_8_3'!I36,"AAAAAH92+1w=")</f>
        <v>#VALUE!</v>
      </c>
      <c r="CP3" t="e">
        <f>AND('Planilla_General_07-12-2012_8_3'!J36,"AAAAAH92+10=")</f>
        <v>#VALUE!</v>
      </c>
      <c r="CQ3" t="e">
        <f>AND('Planilla_General_07-12-2012_8_3'!K36,"AAAAAH92+14=")</f>
        <v>#VALUE!</v>
      </c>
      <c r="CR3" t="e">
        <f>AND('Planilla_General_07-12-2012_8_3'!L36,"AAAAAH92+18=")</f>
        <v>#VALUE!</v>
      </c>
      <c r="CS3" t="e">
        <f>AND('Planilla_General_07-12-2012_8_3'!M36,"AAAAAH92+2A=")</f>
        <v>#VALUE!</v>
      </c>
      <c r="CT3" t="e">
        <f>AND('Planilla_General_07-12-2012_8_3'!N36,"AAAAAH92+2E=")</f>
        <v>#VALUE!</v>
      </c>
      <c r="CU3" t="e">
        <f>AND('Planilla_General_07-12-2012_8_3'!O36,"AAAAAH92+2I=")</f>
        <v>#VALUE!</v>
      </c>
      <c r="CV3" t="e">
        <f>AND('Planilla_General_07-12-2012_8_3'!P36,"AAAAAH92+2M=")</f>
        <v>#VALUE!</v>
      </c>
      <c r="CW3">
        <f>IF('Planilla_General_07-12-2012_8_3'!37:37,"AAAAAH92+2Q=",0)</f>
        <v>0</v>
      </c>
      <c r="CX3" t="e">
        <f>AND('Planilla_General_07-12-2012_8_3'!A37,"AAAAAH92+2U=")</f>
        <v>#VALUE!</v>
      </c>
      <c r="CY3" t="e">
        <f>AND('Planilla_General_07-12-2012_8_3'!B37,"AAAAAH92+2Y=")</f>
        <v>#VALUE!</v>
      </c>
      <c r="CZ3" t="e">
        <f>AND('Planilla_General_07-12-2012_8_3'!C37,"AAAAAH92+2c=")</f>
        <v>#VALUE!</v>
      </c>
      <c r="DA3" t="e">
        <f>AND('Planilla_General_07-12-2012_8_3'!D37,"AAAAAH92+2g=")</f>
        <v>#VALUE!</v>
      </c>
      <c r="DB3" t="e">
        <f>AND('Planilla_General_07-12-2012_8_3'!E37,"AAAAAH92+2k=")</f>
        <v>#VALUE!</v>
      </c>
      <c r="DC3" t="e">
        <f>AND('Planilla_General_07-12-2012_8_3'!F37,"AAAAAH92+2o=")</f>
        <v>#VALUE!</v>
      </c>
      <c r="DD3" t="e">
        <f>AND('Planilla_General_07-12-2012_8_3'!G37,"AAAAAH92+2s=")</f>
        <v>#VALUE!</v>
      </c>
      <c r="DE3" t="e">
        <f>AND('Planilla_General_07-12-2012_8_3'!H37,"AAAAAH92+2w=")</f>
        <v>#VALUE!</v>
      </c>
      <c r="DF3" t="e">
        <f>AND('Planilla_General_07-12-2012_8_3'!I37,"AAAAAH92+20=")</f>
        <v>#VALUE!</v>
      </c>
      <c r="DG3" t="e">
        <f>AND('Planilla_General_07-12-2012_8_3'!J37,"AAAAAH92+24=")</f>
        <v>#VALUE!</v>
      </c>
      <c r="DH3" t="e">
        <f>AND('Planilla_General_07-12-2012_8_3'!K37,"AAAAAH92+28=")</f>
        <v>#VALUE!</v>
      </c>
      <c r="DI3" t="e">
        <f>AND('Planilla_General_07-12-2012_8_3'!L37,"AAAAAH92+3A=")</f>
        <v>#VALUE!</v>
      </c>
      <c r="DJ3" t="e">
        <f>AND('Planilla_General_07-12-2012_8_3'!M37,"AAAAAH92+3E=")</f>
        <v>#VALUE!</v>
      </c>
      <c r="DK3" t="e">
        <f>AND('Planilla_General_07-12-2012_8_3'!N37,"AAAAAH92+3I=")</f>
        <v>#VALUE!</v>
      </c>
      <c r="DL3" t="e">
        <f>AND('Planilla_General_07-12-2012_8_3'!O37,"AAAAAH92+3M=")</f>
        <v>#VALUE!</v>
      </c>
      <c r="DM3" t="e">
        <f>AND('Planilla_General_07-12-2012_8_3'!P37,"AAAAAH92+3Q=")</f>
        <v>#VALUE!</v>
      </c>
      <c r="DN3">
        <f>IF('Planilla_General_07-12-2012_8_3'!38:38,"AAAAAH92+3U=",0)</f>
        <v>0</v>
      </c>
      <c r="DO3" t="e">
        <f>AND('Planilla_General_07-12-2012_8_3'!A38,"AAAAAH92+3Y=")</f>
        <v>#VALUE!</v>
      </c>
      <c r="DP3" t="e">
        <f>AND('Planilla_General_07-12-2012_8_3'!B38,"AAAAAH92+3c=")</f>
        <v>#VALUE!</v>
      </c>
      <c r="DQ3" t="e">
        <f>AND('Planilla_General_07-12-2012_8_3'!C38,"AAAAAH92+3g=")</f>
        <v>#VALUE!</v>
      </c>
      <c r="DR3" t="e">
        <f>AND('Planilla_General_07-12-2012_8_3'!D38,"AAAAAH92+3k=")</f>
        <v>#VALUE!</v>
      </c>
      <c r="DS3" t="e">
        <f>AND('Planilla_General_07-12-2012_8_3'!E38,"AAAAAH92+3o=")</f>
        <v>#VALUE!</v>
      </c>
      <c r="DT3" t="e">
        <f>AND('Planilla_General_07-12-2012_8_3'!F38,"AAAAAH92+3s=")</f>
        <v>#VALUE!</v>
      </c>
      <c r="DU3" t="e">
        <f>AND('Planilla_General_07-12-2012_8_3'!G38,"AAAAAH92+3w=")</f>
        <v>#VALUE!</v>
      </c>
      <c r="DV3" t="e">
        <f>AND('Planilla_General_07-12-2012_8_3'!H38,"AAAAAH92+30=")</f>
        <v>#VALUE!</v>
      </c>
      <c r="DW3" t="e">
        <f>AND('Planilla_General_07-12-2012_8_3'!I38,"AAAAAH92+34=")</f>
        <v>#VALUE!</v>
      </c>
      <c r="DX3" t="e">
        <f>AND('Planilla_General_07-12-2012_8_3'!J38,"AAAAAH92+38=")</f>
        <v>#VALUE!</v>
      </c>
      <c r="DY3" t="e">
        <f>AND('Planilla_General_07-12-2012_8_3'!K38,"AAAAAH92+4A=")</f>
        <v>#VALUE!</v>
      </c>
      <c r="DZ3" t="e">
        <f>AND('Planilla_General_07-12-2012_8_3'!L38,"AAAAAH92+4E=")</f>
        <v>#VALUE!</v>
      </c>
      <c r="EA3" t="e">
        <f>AND('Planilla_General_07-12-2012_8_3'!M38,"AAAAAH92+4I=")</f>
        <v>#VALUE!</v>
      </c>
      <c r="EB3" t="e">
        <f>AND('Planilla_General_07-12-2012_8_3'!N38,"AAAAAH92+4M=")</f>
        <v>#VALUE!</v>
      </c>
      <c r="EC3" t="e">
        <f>AND('Planilla_General_07-12-2012_8_3'!O38,"AAAAAH92+4Q=")</f>
        <v>#VALUE!</v>
      </c>
      <c r="ED3" t="e">
        <f>AND('Planilla_General_07-12-2012_8_3'!P38,"AAAAAH92+4U=")</f>
        <v>#VALUE!</v>
      </c>
      <c r="EE3">
        <f>IF('Planilla_General_07-12-2012_8_3'!39:39,"AAAAAH92+4Y=",0)</f>
        <v>0</v>
      </c>
      <c r="EF3" t="e">
        <f>AND('Planilla_General_07-12-2012_8_3'!A39,"AAAAAH92+4c=")</f>
        <v>#VALUE!</v>
      </c>
      <c r="EG3" t="e">
        <f>AND('Planilla_General_07-12-2012_8_3'!B39,"AAAAAH92+4g=")</f>
        <v>#VALUE!</v>
      </c>
      <c r="EH3" t="e">
        <f>AND('Planilla_General_07-12-2012_8_3'!C39,"AAAAAH92+4k=")</f>
        <v>#VALUE!</v>
      </c>
      <c r="EI3" t="e">
        <f>AND('Planilla_General_07-12-2012_8_3'!D39,"AAAAAH92+4o=")</f>
        <v>#VALUE!</v>
      </c>
      <c r="EJ3" t="e">
        <f>AND('Planilla_General_07-12-2012_8_3'!E39,"AAAAAH92+4s=")</f>
        <v>#VALUE!</v>
      </c>
      <c r="EK3" t="e">
        <f>AND('Planilla_General_07-12-2012_8_3'!F39,"AAAAAH92+4w=")</f>
        <v>#VALUE!</v>
      </c>
      <c r="EL3" t="e">
        <f>AND('Planilla_General_07-12-2012_8_3'!G39,"AAAAAH92+40=")</f>
        <v>#VALUE!</v>
      </c>
      <c r="EM3" t="e">
        <f>AND('Planilla_General_07-12-2012_8_3'!H39,"AAAAAH92+44=")</f>
        <v>#VALUE!</v>
      </c>
      <c r="EN3" t="e">
        <f>AND('Planilla_General_07-12-2012_8_3'!I39,"AAAAAH92+48=")</f>
        <v>#VALUE!</v>
      </c>
      <c r="EO3" t="e">
        <f>AND('Planilla_General_07-12-2012_8_3'!J39,"AAAAAH92+5A=")</f>
        <v>#VALUE!</v>
      </c>
      <c r="EP3" t="e">
        <f>AND('Planilla_General_07-12-2012_8_3'!K39,"AAAAAH92+5E=")</f>
        <v>#VALUE!</v>
      </c>
      <c r="EQ3" t="e">
        <f>AND('Planilla_General_07-12-2012_8_3'!L39,"AAAAAH92+5I=")</f>
        <v>#VALUE!</v>
      </c>
      <c r="ER3" t="e">
        <f>AND('Planilla_General_07-12-2012_8_3'!M39,"AAAAAH92+5M=")</f>
        <v>#VALUE!</v>
      </c>
      <c r="ES3" t="e">
        <f>AND('Planilla_General_07-12-2012_8_3'!N39,"AAAAAH92+5Q=")</f>
        <v>#VALUE!</v>
      </c>
      <c r="ET3" t="e">
        <f>AND('Planilla_General_07-12-2012_8_3'!O39,"AAAAAH92+5U=")</f>
        <v>#VALUE!</v>
      </c>
      <c r="EU3" t="e">
        <f>AND('Planilla_General_07-12-2012_8_3'!P39,"AAAAAH92+5Y=")</f>
        <v>#VALUE!</v>
      </c>
      <c r="EV3">
        <f>IF('Planilla_General_07-12-2012_8_3'!40:40,"AAAAAH92+5c=",0)</f>
        <v>0</v>
      </c>
      <c r="EW3" t="e">
        <f>AND('Planilla_General_07-12-2012_8_3'!A40,"AAAAAH92+5g=")</f>
        <v>#VALUE!</v>
      </c>
      <c r="EX3" t="e">
        <f>AND('Planilla_General_07-12-2012_8_3'!B40,"AAAAAH92+5k=")</f>
        <v>#VALUE!</v>
      </c>
      <c r="EY3" t="e">
        <f>AND('Planilla_General_07-12-2012_8_3'!C40,"AAAAAH92+5o=")</f>
        <v>#VALUE!</v>
      </c>
      <c r="EZ3" t="e">
        <f>AND('Planilla_General_07-12-2012_8_3'!D40,"AAAAAH92+5s=")</f>
        <v>#VALUE!</v>
      </c>
      <c r="FA3" t="e">
        <f>AND('Planilla_General_07-12-2012_8_3'!E40,"AAAAAH92+5w=")</f>
        <v>#VALUE!</v>
      </c>
      <c r="FB3" t="e">
        <f>AND('Planilla_General_07-12-2012_8_3'!F40,"AAAAAH92+50=")</f>
        <v>#VALUE!</v>
      </c>
      <c r="FC3" t="e">
        <f>AND('Planilla_General_07-12-2012_8_3'!G40,"AAAAAH92+54=")</f>
        <v>#VALUE!</v>
      </c>
      <c r="FD3" t="e">
        <f>AND('Planilla_General_07-12-2012_8_3'!H40,"AAAAAH92+58=")</f>
        <v>#VALUE!</v>
      </c>
      <c r="FE3" t="e">
        <f>AND('Planilla_General_07-12-2012_8_3'!I40,"AAAAAH92+6A=")</f>
        <v>#VALUE!</v>
      </c>
      <c r="FF3" t="e">
        <f>AND('Planilla_General_07-12-2012_8_3'!J40,"AAAAAH92+6E=")</f>
        <v>#VALUE!</v>
      </c>
      <c r="FG3" t="e">
        <f>AND('Planilla_General_07-12-2012_8_3'!K40,"AAAAAH92+6I=")</f>
        <v>#VALUE!</v>
      </c>
      <c r="FH3" t="e">
        <f>AND('Planilla_General_07-12-2012_8_3'!L40,"AAAAAH92+6M=")</f>
        <v>#VALUE!</v>
      </c>
      <c r="FI3" t="e">
        <f>AND('Planilla_General_07-12-2012_8_3'!M40,"AAAAAH92+6Q=")</f>
        <v>#VALUE!</v>
      </c>
      <c r="FJ3" t="e">
        <f>AND('Planilla_General_07-12-2012_8_3'!N40,"AAAAAH92+6U=")</f>
        <v>#VALUE!</v>
      </c>
      <c r="FK3" t="e">
        <f>AND('Planilla_General_07-12-2012_8_3'!O40,"AAAAAH92+6Y=")</f>
        <v>#VALUE!</v>
      </c>
      <c r="FL3" t="e">
        <f>AND('Planilla_General_07-12-2012_8_3'!P40,"AAAAAH92+6c=")</f>
        <v>#VALUE!</v>
      </c>
      <c r="FM3">
        <f>IF('Planilla_General_07-12-2012_8_3'!41:41,"AAAAAH92+6g=",0)</f>
        <v>0</v>
      </c>
      <c r="FN3" t="e">
        <f>AND('Planilla_General_07-12-2012_8_3'!A41,"AAAAAH92+6k=")</f>
        <v>#VALUE!</v>
      </c>
      <c r="FO3" t="e">
        <f>AND('Planilla_General_07-12-2012_8_3'!B41,"AAAAAH92+6o=")</f>
        <v>#VALUE!</v>
      </c>
      <c r="FP3" t="e">
        <f>AND('Planilla_General_07-12-2012_8_3'!C41,"AAAAAH92+6s=")</f>
        <v>#VALUE!</v>
      </c>
      <c r="FQ3" t="e">
        <f>AND('Planilla_General_07-12-2012_8_3'!D41,"AAAAAH92+6w=")</f>
        <v>#VALUE!</v>
      </c>
      <c r="FR3" t="e">
        <f>AND('Planilla_General_07-12-2012_8_3'!E41,"AAAAAH92+60=")</f>
        <v>#VALUE!</v>
      </c>
      <c r="FS3" t="e">
        <f>AND('Planilla_General_07-12-2012_8_3'!F41,"AAAAAH92+64=")</f>
        <v>#VALUE!</v>
      </c>
      <c r="FT3" t="e">
        <f>AND('Planilla_General_07-12-2012_8_3'!G41,"AAAAAH92+68=")</f>
        <v>#VALUE!</v>
      </c>
      <c r="FU3" t="e">
        <f>AND('Planilla_General_07-12-2012_8_3'!H41,"AAAAAH92+7A=")</f>
        <v>#VALUE!</v>
      </c>
      <c r="FV3" t="e">
        <f>AND('Planilla_General_07-12-2012_8_3'!I41,"AAAAAH92+7E=")</f>
        <v>#VALUE!</v>
      </c>
      <c r="FW3" t="e">
        <f>AND('Planilla_General_07-12-2012_8_3'!J41,"AAAAAH92+7I=")</f>
        <v>#VALUE!</v>
      </c>
      <c r="FX3" t="e">
        <f>AND('Planilla_General_07-12-2012_8_3'!K41,"AAAAAH92+7M=")</f>
        <v>#VALUE!</v>
      </c>
      <c r="FY3" t="e">
        <f>AND('Planilla_General_07-12-2012_8_3'!L41,"AAAAAH92+7Q=")</f>
        <v>#VALUE!</v>
      </c>
      <c r="FZ3" t="e">
        <f>AND('Planilla_General_07-12-2012_8_3'!M41,"AAAAAH92+7U=")</f>
        <v>#VALUE!</v>
      </c>
      <c r="GA3" t="e">
        <f>AND('Planilla_General_07-12-2012_8_3'!N41,"AAAAAH92+7Y=")</f>
        <v>#VALUE!</v>
      </c>
      <c r="GB3" t="e">
        <f>AND('Planilla_General_07-12-2012_8_3'!O41,"AAAAAH92+7c=")</f>
        <v>#VALUE!</v>
      </c>
      <c r="GC3" t="e">
        <f>AND('Planilla_General_07-12-2012_8_3'!P41,"AAAAAH92+7g=")</f>
        <v>#VALUE!</v>
      </c>
      <c r="GD3">
        <f>IF('Planilla_General_07-12-2012_8_3'!42:42,"AAAAAH92+7k=",0)</f>
        <v>0</v>
      </c>
      <c r="GE3" t="e">
        <f>AND('Planilla_General_07-12-2012_8_3'!A42,"AAAAAH92+7o=")</f>
        <v>#VALUE!</v>
      </c>
      <c r="GF3" t="e">
        <f>AND('Planilla_General_07-12-2012_8_3'!B42,"AAAAAH92+7s=")</f>
        <v>#VALUE!</v>
      </c>
      <c r="GG3" t="e">
        <f>AND('Planilla_General_07-12-2012_8_3'!C42,"AAAAAH92+7w=")</f>
        <v>#VALUE!</v>
      </c>
      <c r="GH3" t="e">
        <f>AND('Planilla_General_07-12-2012_8_3'!D42,"AAAAAH92+70=")</f>
        <v>#VALUE!</v>
      </c>
      <c r="GI3" t="e">
        <f>AND('Planilla_General_07-12-2012_8_3'!E42,"AAAAAH92+74=")</f>
        <v>#VALUE!</v>
      </c>
      <c r="GJ3" t="e">
        <f>AND('Planilla_General_07-12-2012_8_3'!F42,"AAAAAH92+78=")</f>
        <v>#VALUE!</v>
      </c>
      <c r="GK3" t="e">
        <f>AND('Planilla_General_07-12-2012_8_3'!G42,"AAAAAH92+8A=")</f>
        <v>#VALUE!</v>
      </c>
      <c r="GL3" t="e">
        <f>AND('Planilla_General_07-12-2012_8_3'!H42,"AAAAAH92+8E=")</f>
        <v>#VALUE!</v>
      </c>
      <c r="GM3" t="e">
        <f>AND('Planilla_General_07-12-2012_8_3'!I42,"AAAAAH92+8I=")</f>
        <v>#VALUE!</v>
      </c>
      <c r="GN3" t="e">
        <f>AND('Planilla_General_07-12-2012_8_3'!J42,"AAAAAH92+8M=")</f>
        <v>#VALUE!</v>
      </c>
      <c r="GO3" t="e">
        <f>AND('Planilla_General_07-12-2012_8_3'!K42,"AAAAAH92+8Q=")</f>
        <v>#VALUE!</v>
      </c>
      <c r="GP3" t="e">
        <f>AND('Planilla_General_07-12-2012_8_3'!L42,"AAAAAH92+8U=")</f>
        <v>#VALUE!</v>
      </c>
      <c r="GQ3" t="e">
        <f>AND('Planilla_General_07-12-2012_8_3'!M42,"AAAAAH92+8Y=")</f>
        <v>#VALUE!</v>
      </c>
      <c r="GR3" t="e">
        <f>AND('Planilla_General_07-12-2012_8_3'!N42,"AAAAAH92+8c=")</f>
        <v>#VALUE!</v>
      </c>
      <c r="GS3" t="e">
        <f>AND('Planilla_General_07-12-2012_8_3'!O42,"AAAAAH92+8g=")</f>
        <v>#VALUE!</v>
      </c>
      <c r="GT3" t="e">
        <f>AND('Planilla_General_07-12-2012_8_3'!P42,"AAAAAH92+8k=")</f>
        <v>#VALUE!</v>
      </c>
      <c r="GU3">
        <f>IF('Planilla_General_07-12-2012_8_3'!43:43,"AAAAAH92+8o=",0)</f>
        <v>0</v>
      </c>
      <c r="GV3" t="e">
        <f>AND('Planilla_General_07-12-2012_8_3'!A43,"AAAAAH92+8s=")</f>
        <v>#VALUE!</v>
      </c>
      <c r="GW3" t="e">
        <f>AND('Planilla_General_07-12-2012_8_3'!B43,"AAAAAH92+8w=")</f>
        <v>#VALUE!</v>
      </c>
      <c r="GX3" t="e">
        <f>AND('Planilla_General_07-12-2012_8_3'!C43,"AAAAAH92+80=")</f>
        <v>#VALUE!</v>
      </c>
      <c r="GY3" t="e">
        <f>AND('Planilla_General_07-12-2012_8_3'!D43,"AAAAAH92+84=")</f>
        <v>#VALUE!</v>
      </c>
      <c r="GZ3" t="e">
        <f>AND('Planilla_General_07-12-2012_8_3'!E43,"AAAAAH92+88=")</f>
        <v>#VALUE!</v>
      </c>
      <c r="HA3" t="e">
        <f>AND('Planilla_General_07-12-2012_8_3'!F43,"AAAAAH92+9A=")</f>
        <v>#VALUE!</v>
      </c>
      <c r="HB3" t="e">
        <f>AND('Planilla_General_07-12-2012_8_3'!G43,"AAAAAH92+9E=")</f>
        <v>#VALUE!</v>
      </c>
      <c r="HC3" t="e">
        <f>AND('Planilla_General_07-12-2012_8_3'!H43,"AAAAAH92+9I=")</f>
        <v>#VALUE!</v>
      </c>
      <c r="HD3" t="e">
        <f>AND('Planilla_General_07-12-2012_8_3'!I43,"AAAAAH92+9M=")</f>
        <v>#VALUE!</v>
      </c>
      <c r="HE3" t="e">
        <f>AND('Planilla_General_07-12-2012_8_3'!J43,"AAAAAH92+9Q=")</f>
        <v>#VALUE!</v>
      </c>
      <c r="HF3" t="e">
        <f>AND('Planilla_General_07-12-2012_8_3'!K43,"AAAAAH92+9U=")</f>
        <v>#VALUE!</v>
      </c>
      <c r="HG3" t="e">
        <f>AND('Planilla_General_07-12-2012_8_3'!L43,"AAAAAH92+9Y=")</f>
        <v>#VALUE!</v>
      </c>
      <c r="HH3" t="e">
        <f>AND('Planilla_General_07-12-2012_8_3'!M43,"AAAAAH92+9c=")</f>
        <v>#VALUE!</v>
      </c>
      <c r="HI3" t="e">
        <f>AND('Planilla_General_07-12-2012_8_3'!N43,"AAAAAH92+9g=")</f>
        <v>#VALUE!</v>
      </c>
      <c r="HJ3" t="e">
        <f>AND('Planilla_General_07-12-2012_8_3'!O43,"AAAAAH92+9k=")</f>
        <v>#VALUE!</v>
      </c>
      <c r="HK3" t="e">
        <f>AND('Planilla_General_07-12-2012_8_3'!P43,"AAAAAH92+9o=")</f>
        <v>#VALUE!</v>
      </c>
      <c r="HL3">
        <f>IF('Planilla_General_07-12-2012_8_3'!44:44,"AAAAAH92+9s=",0)</f>
        <v>0</v>
      </c>
      <c r="HM3" t="e">
        <f>AND('Planilla_General_07-12-2012_8_3'!A44,"AAAAAH92+9w=")</f>
        <v>#VALUE!</v>
      </c>
      <c r="HN3" t="e">
        <f>AND('Planilla_General_07-12-2012_8_3'!B44,"AAAAAH92+90=")</f>
        <v>#VALUE!</v>
      </c>
      <c r="HO3" t="e">
        <f>AND('Planilla_General_07-12-2012_8_3'!C44,"AAAAAH92+94=")</f>
        <v>#VALUE!</v>
      </c>
      <c r="HP3" t="e">
        <f>AND('Planilla_General_07-12-2012_8_3'!D44,"AAAAAH92+98=")</f>
        <v>#VALUE!</v>
      </c>
      <c r="HQ3" t="e">
        <f>AND('Planilla_General_07-12-2012_8_3'!E44,"AAAAAH92++A=")</f>
        <v>#VALUE!</v>
      </c>
      <c r="HR3" t="e">
        <f>AND('Planilla_General_07-12-2012_8_3'!F44,"AAAAAH92++E=")</f>
        <v>#VALUE!</v>
      </c>
      <c r="HS3" t="e">
        <f>AND('Planilla_General_07-12-2012_8_3'!G44,"AAAAAH92++I=")</f>
        <v>#VALUE!</v>
      </c>
      <c r="HT3" t="e">
        <f>AND('Planilla_General_07-12-2012_8_3'!H44,"AAAAAH92++M=")</f>
        <v>#VALUE!</v>
      </c>
      <c r="HU3" t="e">
        <f>AND('Planilla_General_07-12-2012_8_3'!I44,"AAAAAH92++Q=")</f>
        <v>#VALUE!</v>
      </c>
      <c r="HV3" t="e">
        <f>AND('Planilla_General_07-12-2012_8_3'!J44,"AAAAAH92++U=")</f>
        <v>#VALUE!</v>
      </c>
      <c r="HW3" t="e">
        <f>AND('Planilla_General_07-12-2012_8_3'!K44,"AAAAAH92++Y=")</f>
        <v>#VALUE!</v>
      </c>
      <c r="HX3" t="e">
        <f>AND('Planilla_General_07-12-2012_8_3'!L44,"AAAAAH92++c=")</f>
        <v>#VALUE!</v>
      </c>
      <c r="HY3" t="e">
        <f>AND('Planilla_General_07-12-2012_8_3'!M44,"AAAAAH92++g=")</f>
        <v>#VALUE!</v>
      </c>
      <c r="HZ3" t="e">
        <f>AND('Planilla_General_07-12-2012_8_3'!N44,"AAAAAH92++k=")</f>
        <v>#VALUE!</v>
      </c>
      <c r="IA3" t="e">
        <f>AND('Planilla_General_07-12-2012_8_3'!O44,"AAAAAH92++o=")</f>
        <v>#VALUE!</v>
      </c>
      <c r="IB3" t="e">
        <f>AND('Planilla_General_07-12-2012_8_3'!P44,"AAAAAH92++s=")</f>
        <v>#VALUE!</v>
      </c>
      <c r="IC3">
        <f>IF('Planilla_General_07-12-2012_8_3'!45:45,"AAAAAH92++w=",0)</f>
        <v>0</v>
      </c>
      <c r="ID3" t="e">
        <f>AND('Planilla_General_07-12-2012_8_3'!A45,"AAAAAH92++0=")</f>
        <v>#VALUE!</v>
      </c>
      <c r="IE3" t="e">
        <f>AND('Planilla_General_07-12-2012_8_3'!B45,"AAAAAH92++4=")</f>
        <v>#VALUE!</v>
      </c>
      <c r="IF3" t="e">
        <f>AND('Planilla_General_07-12-2012_8_3'!C45,"AAAAAH92++8=")</f>
        <v>#VALUE!</v>
      </c>
      <c r="IG3" t="e">
        <f>AND('Planilla_General_07-12-2012_8_3'!D45,"AAAAAH92+/A=")</f>
        <v>#VALUE!</v>
      </c>
      <c r="IH3" t="e">
        <f>AND('Planilla_General_07-12-2012_8_3'!E45,"AAAAAH92+/E=")</f>
        <v>#VALUE!</v>
      </c>
      <c r="II3" t="e">
        <f>AND('Planilla_General_07-12-2012_8_3'!F45,"AAAAAH92+/I=")</f>
        <v>#VALUE!</v>
      </c>
      <c r="IJ3" t="e">
        <f>AND('Planilla_General_07-12-2012_8_3'!G45,"AAAAAH92+/M=")</f>
        <v>#VALUE!</v>
      </c>
      <c r="IK3" t="e">
        <f>AND('Planilla_General_07-12-2012_8_3'!H45,"AAAAAH92+/Q=")</f>
        <v>#VALUE!</v>
      </c>
      <c r="IL3" t="e">
        <f>AND('Planilla_General_07-12-2012_8_3'!I45,"AAAAAH92+/U=")</f>
        <v>#VALUE!</v>
      </c>
      <c r="IM3" t="e">
        <f>AND('Planilla_General_07-12-2012_8_3'!J45,"AAAAAH92+/Y=")</f>
        <v>#VALUE!</v>
      </c>
      <c r="IN3" t="e">
        <f>AND('Planilla_General_07-12-2012_8_3'!K45,"AAAAAH92+/c=")</f>
        <v>#VALUE!</v>
      </c>
      <c r="IO3" t="e">
        <f>AND('Planilla_General_07-12-2012_8_3'!L45,"AAAAAH92+/g=")</f>
        <v>#VALUE!</v>
      </c>
      <c r="IP3" t="e">
        <f>AND('Planilla_General_07-12-2012_8_3'!M45,"AAAAAH92+/k=")</f>
        <v>#VALUE!</v>
      </c>
      <c r="IQ3" t="e">
        <f>AND('Planilla_General_07-12-2012_8_3'!N45,"AAAAAH92+/o=")</f>
        <v>#VALUE!</v>
      </c>
      <c r="IR3" t="e">
        <f>AND('Planilla_General_07-12-2012_8_3'!O45,"AAAAAH92+/s=")</f>
        <v>#VALUE!</v>
      </c>
      <c r="IS3" t="e">
        <f>AND('Planilla_General_07-12-2012_8_3'!P45,"AAAAAH92+/w=")</f>
        <v>#VALUE!</v>
      </c>
      <c r="IT3">
        <f>IF('Planilla_General_07-12-2012_8_3'!46:46,"AAAAAH92+/0=",0)</f>
        <v>0</v>
      </c>
      <c r="IU3" t="e">
        <f>AND('Planilla_General_07-12-2012_8_3'!A46,"AAAAAH92+/4=")</f>
        <v>#VALUE!</v>
      </c>
      <c r="IV3" t="e">
        <f>AND('Planilla_General_07-12-2012_8_3'!B46,"AAAAAH92+/8=")</f>
        <v>#VALUE!</v>
      </c>
    </row>
    <row r="4" spans="1:256" x14ac:dyDescent="0.25">
      <c r="A4" t="e">
        <f>AND('Planilla_General_07-12-2012_8_3'!C46,"AAAAAGz//wA=")</f>
        <v>#VALUE!</v>
      </c>
      <c r="B4" t="e">
        <f>AND('Planilla_General_07-12-2012_8_3'!D46,"AAAAAGz//wE=")</f>
        <v>#VALUE!</v>
      </c>
      <c r="C4" t="e">
        <f>AND('Planilla_General_07-12-2012_8_3'!E46,"AAAAAGz//wI=")</f>
        <v>#VALUE!</v>
      </c>
      <c r="D4" t="e">
        <f>AND('Planilla_General_07-12-2012_8_3'!F46,"AAAAAGz//wM=")</f>
        <v>#VALUE!</v>
      </c>
      <c r="E4" t="e">
        <f>AND('Planilla_General_07-12-2012_8_3'!G46,"AAAAAGz//wQ=")</f>
        <v>#VALUE!</v>
      </c>
      <c r="F4" t="e">
        <f>AND('Planilla_General_07-12-2012_8_3'!H46,"AAAAAGz//wU=")</f>
        <v>#VALUE!</v>
      </c>
      <c r="G4" t="e">
        <f>AND('Planilla_General_07-12-2012_8_3'!I46,"AAAAAGz//wY=")</f>
        <v>#VALUE!</v>
      </c>
      <c r="H4" t="e">
        <f>AND('Planilla_General_07-12-2012_8_3'!J46,"AAAAAGz//wc=")</f>
        <v>#VALUE!</v>
      </c>
      <c r="I4" t="e">
        <f>AND('Planilla_General_07-12-2012_8_3'!K46,"AAAAAGz//wg=")</f>
        <v>#VALUE!</v>
      </c>
      <c r="J4" t="e">
        <f>AND('Planilla_General_07-12-2012_8_3'!L46,"AAAAAGz//wk=")</f>
        <v>#VALUE!</v>
      </c>
      <c r="K4" t="e">
        <f>AND('Planilla_General_07-12-2012_8_3'!M46,"AAAAAGz//wo=")</f>
        <v>#VALUE!</v>
      </c>
      <c r="L4" t="e">
        <f>AND('Planilla_General_07-12-2012_8_3'!N46,"AAAAAGz//ws=")</f>
        <v>#VALUE!</v>
      </c>
      <c r="M4" t="e">
        <f>AND('Planilla_General_07-12-2012_8_3'!O46,"AAAAAGz//ww=")</f>
        <v>#VALUE!</v>
      </c>
      <c r="N4" t="e">
        <f>AND('Planilla_General_07-12-2012_8_3'!P46,"AAAAAGz//w0=")</f>
        <v>#VALUE!</v>
      </c>
      <c r="O4" t="str">
        <f>IF('Planilla_General_07-12-2012_8_3'!47:47,"AAAAAGz//w4=",0)</f>
        <v>AAAAAGz//w4=</v>
      </c>
      <c r="P4" t="e">
        <f>AND('Planilla_General_07-12-2012_8_3'!A47,"AAAAAGz//w8=")</f>
        <v>#VALUE!</v>
      </c>
      <c r="Q4" t="e">
        <f>AND('Planilla_General_07-12-2012_8_3'!B47,"AAAAAGz//xA=")</f>
        <v>#VALUE!</v>
      </c>
      <c r="R4" t="e">
        <f>AND('Planilla_General_07-12-2012_8_3'!C47,"AAAAAGz//xE=")</f>
        <v>#VALUE!</v>
      </c>
      <c r="S4" t="e">
        <f>AND('Planilla_General_07-12-2012_8_3'!D47,"AAAAAGz//xI=")</f>
        <v>#VALUE!</v>
      </c>
      <c r="T4" t="e">
        <f>AND('Planilla_General_07-12-2012_8_3'!E47,"AAAAAGz//xM=")</f>
        <v>#VALUE!</v>
      </c>
      <c r="U4" t="e">
        <f>AND('Planilla_General_07-12-2012_8_3'!F47,"AAAAAGz//xQ=")</f>
        <v>#VALUE!</v>
      </c>
      <c r="V4" t="e">
        <f>AND('Planilla_General_07-12-2012_8_3'!G47,"AAAAAGz//xU=")</f>
        <v>#VALUE!</v>
      </c>
      <c r="W4" t="e">
        <f>AND('Planilla_General_07-12-2012_8_3'!H47,"AAAAAGz//xY=")</f>
        <v>#VALUE!</v>
      </c>
      <c r="X4" t="e">
        <f>AND('Planilla_General_07-12-2012_8_3'!I47,"AAAAAGz//xc=")</f>
        <v>#VALUE!</v>
      </c>
      <c r="Y4" t="e">
        <f>AND('Planilla_General_07-12-2012_8_3'!J47,"AAAAAGz//xg=")</f>
        <v>#VALUE!</v>
      </c>
      <c r="Z4" t="e">
        <f>AND('Planilla_General_07-12-2012_8_3'!K47,"AAAAAGz//xk=")</f>
        <v>#VALUE!</v>
      </c>
      <c r="AA4" t="e">
        <f>AND('Planilla_General_07-12-2012_8_3'!L47,"AAAAAGz//xo=")</f>
        <v>#VALUE!</v>
      </c>
      <c r="AB4" t="e">
        <f>AND('Planilla_General_07-12-2012_8_3'!M47,"AAAAAGz//xs=")</f>
        <v>#VALUE!</v>
      </c>
      <c r="AC4" t="e">
        <f>AND('Planilla_General_07-12-2012_8_3'!N47,"AAAAAGz//xw=")</f>
        <v>#VALUE!</v>
      </c>
      <c r="AD4" t="e">
        <f>AND('Planilla_General_07-12-2012_8_3'!O47,"AAAAAGz//x0=")</f>
        <v>#VALUE!</v>
      </c>
      <c r="AE4" t="e">
        <f>AND('Planilla_General_07-12-2012_8_3'!P47,"AAAAAGz//x4=")</f>
        <v>#VALUE!</v>
      </c>
      <c r="AF4">
        <f>IF('Planilla_General_07-12-2012_8_3'!48:48,"AAAAAGz//x8=",0)</f>
        <v>0</v>
      </c>
      <c r="AG4" t="e">
        <f>AND('Planilla_General_07-12-2012_8_3'!A48,"AAAAAGz//yA=")</f>
        <v>#VALUE!</v>
      </c>
      <c r="AH4" t="e">
        <f>AND('Planilla_General_07-12-2012_8_3'!B48,"AAAAAGz//yE=")</f>
        <v>#VALUE!</v>
      </c>
      <c r="AI4" t="e">
        <f>AND('Planilla_General_07-12-2012_8_3'!C48,"AAAAAGz//yI=")</f>
        <v>#VALUE!</v>
      </c>
      <c r="AJ4" t="e">
        <f>AND('Planilla_General_07-12-2012_8_3'!D48,"AAAAAGz//yM=")</f>
        <v>#VALUE!</v>
      </c>
      <c r="AK4" t="e">
        <f>AND('Planilla_General_07-12-2012_8_3'!E48,"AAAAAGz//yQ=")</f>
        <v>#VALUE!</v>
      </c>
      <c r="AL4" t="e">
        <f>AND('Planilla_General_07-12-2012_8_3'!F48,"AAAAAGz//yU=")</f>
        <v>#VALUE!</v>
      </c>
      <c r="AM4" t="e">
        <f>AND('Planilla_General_07-12-2012_8_3'!G48,"AAAAAGz//yY=")</f>
        <v>#VALUE!</v>
      </c>
      <c r="AN4" t="e">
        <f>AND('Planilla_General_07-12-2012_8_3'!H48,"AAAAAGz//yc=")</f>
        <v>#VALUE!</v>
      </c>
      <c r="AO4" t="e">
        <f>AND('Planilla_General_07-12-2012_8_3'!I48,"AAAAAGz//yg=")</f>
        <v>#VALUE!</v>
      </c>
      <c r="AP4" t="e">
        <f>AND('Planilla_General_07-12-2012_8_3'!J48,"AAAAAGz//yk=")</f>
        <v>#VALUE!</v>
      </c>
      <c r="AQ4" t="e">
        <f>AND('Planilla_General_07-12-2012_8_3'!K48,"AAAAAGz//yo=")</f>
        <v>#VALUE!</v>
      </c>
      <c r="AR4" t="e">
        <f>AND('Planilla_General_07-12-2012_8_3'!L48,"AAAAAGz//ys=")</f>
        <v>#VALUE!</v>
      </c>
      <c r="AS4" t="e">
        <f>AND('Planilla_General_07-12-2012_8_3'!M48,"AAAAAGz//yw=")</f>
        <v>#VALUE!</v>
      </c>
      <c r="AT4" t="e">
        <f>AND('Planilla_General_07-12-2012_8_3'!N48,"AAAAAGz//y0=")</f>
        <v>#VALUE!</v>
      </c>
      <c r="AU4" t="e">
        <f>AND('Planilla_General_07-12-2012_8_3'!O48,"AAAAAGz//y4=")</f>
        <v>#VALUE!</v>
      </c>
      <c r="AV4" t="e">
        <f>AND('Planilla_General_07-12-2012_8_3'!P48,"AAAAAGz//y8=")</f>
        <v>#VALUE!</v>
      </c>
      <c r="AW4">
        <f>IF('Planilla_General_07-12-2012_8_3'!49:49,"AAAAAGz//zA=",0)</f>
        <v>0</v>
      </c>
      <c r="AX4" t="e">
        <f>AND('Planilla_General_07-12-2012_8_3'!A49,"AAAAAGz//zE=")</f>
        <v>#VALUE!</v>
      </c>
      <c r="AY4" t="e">
        <f>AND('Planilla_General_07-12-2012_8_3'!B49,"AAAAAGz//zI=")</f>
        <v>#VALUE!</v>
      </c>
      <c r="AZ4" t="e">
        <f>AND('Planilla_General_07-12-2012_8_3'!C49,"AAAAAGz//zM=")</f>
        <v>#VALUE!</v>
      </c>
      <c r="BA4" t="e">
        <f>AND('Planilla_General_07-12-2012_8_3'!D49,"AAAAAGz//zQ=")</f>
        <v>#VALUE!</v>
      </c>
      <c r="BB4" t="e">
        <f>AND('Planilla_General_07-12-2012_8_3'!E49,"AAAAAGz//zU=")</f>
        <v>#VALUE!</v>
      </c>
      <c r="BC4" t="e">
        <f>AND('Planilla_General_07-12-2012_8_3'!F49,"AAAAAGz//zY=")</f>
        <v>#VALUE!</v>
      </c>
      <c r="BD4" t="e">
        <f>AND('Planilla_General_07-12-2012_8_3'!G49,"AAAAAGz//zc=")</f>
        <v>#VALUE!</v>
      </c>
      <c r="BE4" t="e">
        <f>AND('Planilla_General_07-12-2012_8_3'!H49,"AAAAAGz//zg=")</f>
        <v>#VALUE!</v>
      </c>
      <c r="BF4" t="e">
        <f>AND('Planilla_General_07-12-2012_8_3'!I49,"AAAAAGz//zk=")</f>
        <v>#VALUE!</v>
      </c>
      <c r="BG4" t="e">
        <f>AND('Planilla_General_07-12-2012_8_3'!J49,"AAAAAGz//zo=")</f>
        <v>#VALUE!</v>
      </c>
      <c r="BH4" t="e">
        <f>AND('Planilla_General_07-12-2012_8_3'!K49,"AAAAAGz//zs=")</f>
        <v>#VALUE!</v>
      </c>
      <c r="BI4" t="e">
        <f>AND('Planilla_General_07-12-2012_8_3'!L49,"AAAAAGz//zw=")</f>
        <v>#VALUE!</v>
      </c>
      <c r="BJ4" t="e">
        <f>AND('Planilla_General_07-12-2012_8_3'!M49,"AAAAAGz//z0=")</f>
        <v>#VALUE!</v>
      </c>
      <c r="BK4" t="e">
        <f>AND('Planilla_General_07-12-2012_8_3'!N49,"AAAAAGz//z4=")</f>
        <v>#VALUE!</v>
      </c>
      <c r="BL4" t="e">
        <f>AND('Planilla_General_07-12-2012_8_3'!O49,"AAAAAGz//z8=")</f>
        <v>#VALUE!</v>
      </c>
      <c r="BM4" t="e">
        <f>AND('Planilla_General_07-12-2012_8_3'!P49,"AAAAAGz//0A=")</f>
        <v>#VALUE!</v>
      </c>
      <c r="BN4">
        <f>IF('Planilla_General_07-12-2012_8_3'!50:50,"AAAAAGz//0E=",0)</f>
        <v>0</v>
      </c>
      <c r="BO4" t="e">
        <f>AND('Planilla_General_07-12-2012_8_3'!A50,"AAAAAGz//0I=")</f>
        <v>#VALUE!</v>
      </c>
      <c r="BP4" t="e">
        <f>AND('Planilla_General_07-12-2012_8_3'!B50,"AAAAAGz//0M=")</f>
        <v>#VALUE!</v>
      </c>
      <c r="BQ4" t="e">
        <f>AND('Planilla_General_07-12-2012_8_3'!C50,"AAAAAGz//0Q=")</f>
        <v>#VALUE!</v>
      </c>
      <c r="BR4" t="e">
        <f>AND('Planilla_General_07-12-2012_8_3'!D50,"AAAAAGz//0U=")</f>
        <v>#VALUE!</v>
      </c>
      <c r="BS4" t="e">
        <f>AND('Planilla_General_07-12-2012_8_3'!E50,"AAAAAGz//0Y=")</f>
        <v>#VALUE!</v>
      </c>
      <c r="BT4" t="e">
        <f>AND('Planilla_General_07-12-2012_8_3'!F50,"AAAAAGz//0c=")</f>
        <v>#VALUE!</v>
      </c>
      <c r="BU4" t="e">
        <f>AND('Planilla_General_07-12-2012_8_3'!G50,"AAAAAGz//0g=")</f>
        <v>#VALUE!</v>
      </c>
      <c r="BV4" t="e">
        <f>AND('Planilla_General_07-12-2012_8_3'!H50,"AAAAAGz//0k=")</f>
        <v>#VALUE!</v>
      </c>
      <c r="BW4" t="e">
        <f>AND('Planilla_General_07-12-2012_8_3'!I50,"AAAAAGz//0o=")</f>
        <v>#VALUE!</v>
      </c>
      <c r="BX4" t="e">
        <f>AND('Planilla_General_07-12-2012_8_3'!J50,"AAAAAGz//0s=")</f>
        <v>#VALUE!</v>
      </c>
      <c r="BY4" t="e">
        <f>AND('Planilla_General_07-12-2012_8_3'!K50,"AAAAAGz//0w=")</f>
        <v>#VALUE!</v>
      </c>
      <c r="BZ4" t="e">
        <f>AND('Planilla_General_07-12-2012_8_3'!L50,"AAAAAGz//00=")</f>
        <v>#VALUE!</v>
      </c>
      <c r="CA4" t="e">
        <f>AND('Planilla_General_07-12-2012_8_3'!M50,"AAAAAGz//04=")</f>
        <v>#VALUE!</v>
      </c>
      <c r="CB4" t="e">
        <f>AND('Planilla_General_07-12-2012_8_3'!N50,"AAAAAGz//08=")</f>
        <v>#VALUE!</v>
      </c>
      <c r="CC4" t="e">
        <f>AND('Planilla_General_07-12-2012_8_3'!O50,"AAAAAGz//1A=")</f>
        <v>#VALUE!</v>
      </c>
      <c r="CD4" t="e">
        <f>AND('Planilla_General_07-12-2012_8_3'!P50,"AAAAAGz//1E=")</f>
        <v>#VALUE!</v>
      </c>
      <c r="CE4">
        <f>IF('Planilla_General_07-12-2012_8_3'!51:51,"AAAAAGz//1I=",0)</f>
        <v>0</v>
      </c>
      <c r="CF4" t="e">
        <f>AND('Planilla_General_07-12-2012_8_3'!A51,"AAAAAGz//1M=")</f>
        <v>#VALUE!</v>
      </c>
      <c r="CG4" t="e">
        <f>AND('Planilla_General_07-12-2012_8_3'!B51,"AAAAAGz//1Q=")</f>
        <v>#VALUE!</v>
      </c>
      <c r="CH4" t="e">
        <f>AND('Planilla_General_07-12-2012_8_3'!C51,"AAAAAGz//1U=")</f>
        <v>#VALUE!</v>
      </c>
      <c r="CI4" t="e">
        <f>AND('Planilla_General_07-12-2012_8_3'!D51,"AAAAAGz//1Y=")</f>
        <v>#VALUE!</v>
      </c>
      <c r="CJ4" t="e">
        <f>AND('Planilla_General_07-12-2012_8_3'!E51,"AAAAAGz//1c=")</f>
        <v>#VALUE!</v>
      </c>
      <c r="CK4" t="e">
        <f>AND('Planilla_General_07-12-2012_8_3'!F51,"AAAAAGz//1g=")</f>
        <v>#VALUE!</v>
      </c>
      <c r="CL4" t="e">
        <f>AND('Planilla_General_07-12-2012_8_3'!G51,"AAAAAGz//1k=")</f>
        <v>#VALUE!</v>
      </c>
      <c r="CM4" t="e">
        <f>AND('Planilla_General_07-12-2012_8_3'!H51,"AAAAAGz//1o=")</f>
        <v>#VALUE!</v>
      </c>
      <c r="CN4" t="e">
        <f>AND('Planilla_General_07-12-2012_8_3'!I51,"AAAAAGz//1s=")</f>
        <v>#VALUE!</v>
      </c>
      <c r="CO4" t="e">
        <f>AND('Planilla_General_07-12-2012_8_3'!J51,"AAAAAGz//1w=")</f>
        <v>#VALUE!</v>
      </c>
      <c r="CP4" t="e">
        <f>AND('Planilla_General_07-12-2012_8_3'!K51,"AAAAAGz//10=")</f>
        <v>#VALUE!</v>
      </c>
      <c r="CQ4" t="e">
        <f>AND('Planilla_General_07-12-2012_8_3'!L51,"AAAAAGz//14=")</f>
        <v>#VALUE!</v>
      </c>
      <c r="CR4" t="e">
        <f>AND('Planilla_General_07-12-2012_8_3'!M51,"AAAAAGz//18=")</f>
        <v>#VALUE!</v>
      </c>
      <c r="CS4" t="e">
        <f>AND('Planilla_General_07-12-2012_8_3'!N51,"AAAAAGz//2A=")</f>
        <v>#VALUE!</v>
      </c>
      <c r="CT4" t="e">
        <f>AND('Planilla_General_07-12-2012_8_3'!O51,"AAAAAGz//2E=")</f>
        <v>#VALUE!</v>
      </c>
      <c r="CU4" t="e">
        <f>AND('Planilla_General_07-12-2012_8_3'!P51,"AAAAAGz//2I=")</f>
        <v>#VALUE!</v>
      </c>
      <c r="CV4">
        <f>IF('Planilla_General_07-12-2012_8_3'!52:52,"AAAAAGz//2M=",0)</f>
        <v>0</v>
      </c>
      <c r="CW4" t="e">
        <f>AND('Planilla_General_07-12-2012_8_3'!A52,"AAAAAGz//2Q=")</f>
        <v>#VALUE!</v>
      </c>
      <c r="CX4" t="e">
        <f>AND('Planilla_General_07-12-2012_8_3'!B52,"AAAAAGz//2U=")</f>
        <v>#VALUE!</v>
      </c>
      <c r="CY4" t="e">
        <f>AND('Planilla_General_07-12-2012_8_3'!C52,"AAAAAGz//2Y=")</f>
        <v>#VALUE!</v>
      </c>
      <c r="CZ4" t="e">
        <f>AND('Planilla_General_07-12-2012_8_3'!D52,"AAAAAGz//2c=")</f>
        <v>#VALUE!</v>
      </c>
      <c r="DA4" t="e">
        <f>AND('Planilla_General_07-12-2012_8_3'!E52,"AAAAAGz//2g=")</f>
        <v>#VALUE!</v>
      </c>
      <c r="DB4" t="e">
        <f>AND('Planilla_General_07-12-2012_8_3'!F52,"AAAAAGz//2k=")</f>
        <v>#VALUE!</v>
      </c>
      <c r="DC4" t="e">
        <f>AND('Planilla_General_07-12-2012_8_3'!G52,"AAAAAGz//2o=")</f>
        <v>#VALUE!</v>
      </c>
      <c r="DD4" t="e">
        <f>AND('Planilla_General_07-12-2012_8_3'!H52,"AAAAAGz//2s=")</f>
        <v>#VALUE!</v>
      </c>
      <c r="DE4" t="e">
        <f>AND('Planilla_General_07-12-2012_8_3'!I52,"AAAAAGz//2w=")</f>
        <v>#VALUE!</v>
      </c>
      <c r="DF4" t="e">
        <f>AND('Planilla_General_07-12-2012_8_3'!J52,"AAAAAGz//20=")</f>
        <v>#VALUE!</v>
      </c>
      <c r="DG4" t="e">
        <f>AND('Planilla_General_07-12-2012_8_3'!K52,"AAAAAGz//24=")</f>
        <v>#VALUE!</v>
      </c>
      <c r="DH4" t="e">
        <f>AND('Planilla_General_07-12-2012_8_3'!L52,"AAAAAGz//28=")</f>
        <v>#VALUE!</v>
      </c>
      <c r="DI4" t="e">
        <f>AND('Planilla_General_07-12-2012_8_3'!M52,"AAAAAGz//3A=")</f>
        <v>#VALUE!</v>
      </c>
      <c r="DJ4" t="e">
        <f>AND('Planilla_General_07-12-2012_8_3'!N52,"AAAAAGz//3E=")</f>
        <v>#VALUE!</v>
      </c>
      <c r="DK4" t="e">
        <f>AND('Planilla_General_07-12-2012_8_3'!O52,"AAAAAGz//3I=")</f>
        <v>#VALUE!</v>
      </c>
      <c r="DL4" t="e">
        <f>AND('Planilla_General_07-12-2012_8_3'!P52,"AAAAAGz//3M=")</f>
        <v>#VALUE!</v>
      </c>
      <c r="DM4">
        <f>IF('Planilla_General_07-12-2012_8_3'!53:53,"AAAAAGz//3Q=",0)</f>
        <v>0</v>
      </c>
      <c r="DN4" t="e">
        <f>AND('Planilla_General_07-12-2012_8_3'!A53,"AAAAAGz//3U=")</f>
        <v>#VALUE!</v>
      </c>
      <c r="DO4" t="e">
        <f>AND('Planilla_General_07-12-2012_8_3'!B53,"AAAAAGz//3Y=")</f>
        <v>#VALUE!</v>
      </c>
      <c r="DP4" t="e">
        <f>AND('Planilla_General_07-12-2012_8_3'!C53,"AAAAAGz//3c=")</f>
        <v>#VALUE!</v>
      </c>
      <c r="DQ4" t="e">
        <f>AND('Planilla_General_07-12-2012_8_3'!D53,"AAAAAGz//3g=")</f>
        <v>#VALUE!</v>
      </c>
      <c r="DR4" t="e">
        <f>AND('Planilla_General_07-12-2012_8_3'!E53,"AAAAAGz//3k=")</f>
        <v>#VALUE!</v>
      </c>
      <c r="DS4" t="e">
        <f>AND('Planilla_General_07-12-2012_8_3'!F53,"AAAAAGz//3o=")</f>
        <v>#VALUE!</v>
      </c>
      <c r="DT4" t="e">
        <f>AND('Planilla_General_07-12-2012_8_3'!G53,"AAAAAGz//3s=")</f>
        <v>#VALUE!</v>
      </c>
      <c r="DU4" t="e">
        <f>AND('Planilla_General_07-12-2012_8_3'!H53,"AAAAAGz//3w=")</f>
        <v>#VALUE!</v>
      </c>
      <c r="DV4" t="e">
        <f>AND('Planilla_General_07-12-2012_8_3'!I53,"AAAAAGz//30=")</f>
        <v>#VALUE!</v>
      </c>
      <c r="DW4" t="e">
        <f>AND('Planilla_General_07-12-2012_8_3'!J53,"AAAAAGz//34=")</f>
        <v>#VALUE!</v>
      </c>
      <c r="DX4" t="e">
        <f>AND('Planilla_General_07-12-2012_8_3'!K53,"AAAAAGz//38=")</f>
        <v>#VALUE!</v>
      </c>
      <c r="DY4" t="e">
        <f>AND('Planilla_General_07-12-2012_8_3'!L53,"AAAAAGz//4A=")</f>
        <v>#VALUE!</v>
      </c>
      <c r="DZ4" t="e">
        <f>AND('Planilla_General_07-12-2012_8_3'!M53,"AAAAAGz//4E=")</f>
        <v>#VALUE!</v>
      </c>
      <c r="EA4" t="e">
        <f>AND('Planilla_General_07-12-2012_8_3'!N53,"AAAAAGz//4I=")</f>
        <v>#VALUE!</v>
      </c>
      <c r="EB4" t="e">
        <f>AND('Planilla_General_07-12-2012_8_3'!O53,"AAAAAGz//4M=")</f>
        <v>#VALUE!</v>
      </c>
      <c r="EC4" t="e">
        <f>AND('Planilla_General_07-12-2012_8_3'!P53,"AAAAAGz//4Q=")</f>
        <v>#VALUE!</v>
      </c>
      <c r="ED4">
        <f>IF('Planilla_General_07-12-2012_8_3'!54:54,"AAAAAGz//4U=",0)</f>
        <v>0</v>
      </c>
      <c r="EE4" t="e">
        <f>AND('Planilla_General_07-12-2012_8_3'!A54,"AAAAAGz//4Y=")</f>
        <v>#VALUE!</v>
      </c>
      <c r="EF4" t="e">
        <f>AND('Planilla_General_07-12-2012_8_3'!B54,"AAAAAGz//4c=")</f>
        <v>#VALUE!</v>
      </c>
      <c r="EG4" t="e">
        <f>AND('Planilla_General_07-12-2012_8_3'!C54,"AAAAAGz//4g=")</f>
        <v>#VALUE!</v>
      </c>
      <c r="EH4" t="e">
        <f>AND('Planilla_General_07-12-2012_8_3'!D54,"AAAAAGz//4k=")</f>
        <v>#VALUE!</v>
      </c>
      <c r="EI4" t="e">
        <f>AND('Planilla_General_07-12-2012_8_3'!E54,"AAAAAGz//4o=")</f>
        <v>#VALUE!</v>
      </c>
      <c r="EJ4" t="e">
        <f>AND('Planilla_General_07-12-2012_8_3'!F54,"AAAAAGz//4s=")</f>
        <v>#VALUE!</v>
      </c>
      <c r="EK4" t="e">
        <f>AND('Planilla_General_07-12-2012_8_3'!G54,"AAAAAGz//4w=")</f>
        <v>#VALUE!</v>
      </c>
      <c r="EL4" t="e">
        <f>AND('Planilla_General_07-12-2012_8_3'!H54,"AAAAAGz//40=")</f>
        <v>#VALUE!</v>
      </c>
      <c r="EM4" t="e">
        <f>AND('Planilla_General_07-12-2012_8_3'!I54,"AAAAAGz//44=")</f>
        <v>#VALUE!</v>
      </c>
      <c r="EN4" t="e">
        <f>AND('Planilla_General_07-12-2012_8_3'!J54,"AAAAAGz//48=")</f>
        <v>#VALUE!</v>
      </c>
      <c r="EO4" t="e">
        <f>AND('Planilla_General_07-12-2012_8_3'!K54,"AAAAAGz//5A=")</f>
        <v>#VALUE!</v>
      </c>
      <c r="EP4" t="e">
        <f>AND('Planilla_General_07-12-2012_8_3'!L54,"AAAAAGz//5E=")</f>
        <v>#VALUE!</v>
      </c>
      <c r="EQ4" t="e">
        <f>AND('Planilla_General_07-12-2012_8_3'!M54,"AAAAAGz//5I=")</f>
        <v>#VALUE!</v>
      </c>
      <c r="ER4" t="e">
        <f>AND('Planilla_General_07-12-2012_8_3'!N54,"AAAAAGz//5M=")</f>
        <v>#VALUE!</v>
      </c>
      <c r="ES4" t="e">
        <f>AND('Planilla_General_07-12-2012_8_3'!O54,"AAAAAGz//5Q=")</f>
        <v>#VALUE!</v>
      </c>
      <c r="ET4" t="e">
        <f>AND('Planilla_General_07-12-2012_8_3'!P54,"AAAAAGz//5U=")</f>
        <v>#VALUE!</v>
      </c>
      <c r="EU4">
        <f>IF('Planilla_General_07-12-2012_8_3'!55:55,"AAAAAGz//5Y=",0)</f>
        <v>0</v>
      </c>
      <c r="EV4" t="e">
        <f>AND('Planilla_General_07-12-2012_8_3'!A55,"AAAAAGz//5c=")</f>
        <v>#VALUE!</v>
      </c>
      <c r="EW4" t="e">
        <f>AND('Planilla_General_07-12-2012_8_3'!B55,"AAAAAGz//5g=")</f>
        <v>#VALUE!</v>
      </c>
      <c r="EX4" t="e">
        <f>AND('Planilla_General_07-12-2012_8_3'!C55,"AAAAAGz//5k=")</f>
        <v>#VALUE!</v>
      </c>
      <c r="EY4" t="e">
        <f>AND('Planilla_General_07-12-2012_8_3'!D55,"AAAAAGz//5o=")</f>
        <v>#VALUE!</v>
      </c>
      <c r="EZ4" t="e">
        <f>AND('Planilla_General_07-12-2012_8_3'!E55,"AAAAAGz//5s=")</f>
        <v>#VALUE!</v>
      </c>
      <c r="FA4" t="e">
        <f>AND('Planilla_General_07-12-2012_8_3'!F55,"AAAAAGz//5w=")</f>
        <v>#VALUE!</v>
      </c>
      <c r="FB4" t="e">
        <f>AND('Planilla_General_07-12-2012_8_3'!G55,"AAAAAGz//50=")</f>
        <v>#VALUE!</v>
      </c>
      <c r="FC4" t="e">
        <f>AND('Planilla_General_07-12-2012_8_3'!H55,"AAAAAGz//54=")</f>
        <v>#VALUE!</v>
      </c>
      <c r="FD4" t="e">
        <f>AND('Planilla_General_07-12-2012_8_3'!I55,"AAAAAGz//58=")</f>
        <v>#VALUE!</v>
      </c>
      <c r="FE4" t="e">
        <f>AND('Planilla_General_07-12-2012_8_3'!J55,"AAAAAGz//6A=")</f>
        <v>#VALUE!</v>
      </c>
      <c r="FF4" t="e">
        <f>AND('Planilla_General_07-12-2012_8_3'!K55,"AAAAAGz//6E=")</f>
        <v>#VALUE!</v>
      </c>
      <c r="FG4" t="e">
        <f>AND('Planilla_General_07-12-2012_8_3'!L55,"AAAAAGz//6I=")</f>
        <v>#VALUE!</v>
      </c>
      <c r="FH4" t="e">
        <f>AND('Planilla_General_07-12-2012_8_3'!M55,"AAAAAGz//6M=")</f>
        <v>#VALUE!</v>
      </c>
      <c r="FI4" t="e">
        <f>AND('Planilla_General_07-12-2012_8_3'!N55,"AAAAAGz//6Q=")</f>
        <v>#VALUE!</v>
      </c>
      <c r="FJ4" t="e">
        <f>AND('Planilla_General_07-12-2012_8_3'!O55,"AAAAAGz//6U=")</f>
        <v>#VALUE!</v>
      </c>
      <c r="FK4" t="e">
        <f>AND('Planilla_General_07-12-2012_8_3'!P55,"AAAAAGz//6Y=")</f>
        <v>#VALUE!</v>
      </c>
      <c r="FL4">
        <f>IF('Planilla_General_07-12-2012_8_3'!56:56,"AAAAAGz//6c=",0)</f>
        <v>0</v>
      </c>
      <c r="FM4" t="e">
        <f>AND('Planilla_General_07-12-2012_8_3'!A56,"AAAAAGz//6g=")</f>
        <v>#VALUE!</v>
      </c>
      <c r="FN4" t="e">
        <f>AND('Planilla_General_07-12-2012_8_3'!B56,"AAAAAGz//6k=")</f>
        <v>#VALUE!</v>
      </c>
      <c r="FO4" t="e">
        <f>AND('Planilla_General_07-12-2012_8_3'!C56,"AAAAAGz//6o=")</f>
        <v>#VALUE!</v>
      </c>
      <c r="FP4" t="e">
        <f>AND('Planilla_General_07-12-2012_8_3'!D56,"AAAAAGz//6s=")</f>
        <v>#VALUE!</v>
      </c>
      <c r="FQ4" t="e">
        <f>AND('Planilla_General_07-12-2012_8_3'!E56,"AAAAAGz//6w=")</f>
        <v>#VALUE!</v>
      </c>
      <c r="FR4" t="e">
        <f>AND('Planilla_General_07-12-2012_8_3'!F56,"AAAAAGz//60=")</f>
        <v>#VALUE!</v>
      </c>
      <c r="FS4" t="e">
        <f>AND('Planilla_General_07-12-2012_8_3'!G56,"AAAAAGz//64=")</f>
        <v>#VALUE!</v>
      </c>
      <c r="FT4" t="e">
        <f>AND('Planilla_General_07-12-2012_8_3'!H56,"AAAAAGz//68=")</f>
        <v>#VALUE!</v>
      </c>
      <c r="FU4" t="e">
        <f>AND('Planilla_General_07-12-2012_8_3'!I56,"AAAAAGz//7A=")</f>
        <v>#VALUE!</v>
      </c>
      <c r="FV4" t="e">
        <f>AND('Planilla_General_07-12-2012_8_3'!J56,"AAAAAGz//7E=")</f>
        <v>#VALUE!</v>
      </c>
      <c r="FW4" t="e">
        <f>AND('Planilla_General_07-12-2012_8_3'!K56,"AAAAAGz//7I=")</f>
        <v>#VALUE!</v>
      </c>
      <c r="FX4" t="e">
        <f>AND('Planilla_General_07-12-2012_8_3'!L56,"AAAAAGz//7M=")</f>
        <v>#VALUE!</v>
      </c>
      <c r="FY4" t="e">
        <f>AND('Planilla_General_07-12-2012_8_3'!M56,"AAAAAGz//7Q=")</f>
        <v>#VALUE!</v>
      </c>
      <c r="FZ4" t="e">
        <f>AND('Planilla_General_07-12-2012_8_3'!N56,"AAAAAGz//7U=")</f>
        <v>#VALUE!</v>
      </c>
      <c r="GA4" t="e">
        <f>AND('Planilla_General_07-12-2012_8_3'!O56,"AAAAAGz//7Y=")</f>
        <v>#VALUE!</v>
      </c>
      <c r="GB4" t="e">
        <f>AND('Planilla_General_07-12-2012_8_3'!P56,"AAAAAGz//7c=")</f>
        <v>#VALUE!</v>
      </c>
      <c r="GC4">
        <f>IF('Planilla_General_07-12-2012_8_3'!57:57,"AAAAAGz//7g=",0)</f>
        <v>0</v>
      </c>
      <c r="GD4" t="e">
        <f>AND('Planilla_General_07-12-2012_8_3'!A57,"AAAAAGz//7k=")</f>
        <v>#VALUE!</v>
      </c>
      <c r="GE4" t="e">
        <f>AND('Planilla_General_07-12-2012_8_3'!B57,"AAAAAGz//7o=")</f>
        <v>#VALUE!</v>
      </c>
      <c r="GF4" t="e">
        <f>AND('Planilla_General_07-12-2012_8_3'!C57,"AAAAAGz//7s=")</f>
        <v>#VALUE!</v>
      </c>
      <c r="GG4" t="e">
        <f>AND('Planilla_General_07-12-2012_8_3'!D57,"AAAAAGz//7w=")</f>
        <v>#VALUE!</v>
      </c>
      <c r="GH4" t="e">
        <f>AND('Planilla_General_07-12-2012_8_3'!E57,"AAAAAGz//70=")</f>
        <v>#VALUE!</v>
      </c>
      <c r="GI4" t="e">
        <f>AND('Planilla_General_07-12-2012_8_3'!F57,"AAAAAGz//74=")</f>
        <v>#VALUE!</v>
      </c>
      <c r="GJ4" t="e">
        <f>AND('Planilla_General_07-12-2012_8_3'!G57,"AAAAAGz//78=")</f>
        <v>#VALUE!</v>
      </c>
      <c r="GK4" t="e">
        <f>AND('Planilla_General_07-12-2012_8_3'!H57,"AAAAAGz//8A=")</f>
        <v>#VALUE!</v>
      </c>
      <c r="GL4" t="e">
        <f>AND('Planilla_General_07-12-2012_8_3'!I57,"AAAAAGz//8E=")</f>
        <v>#VALUE!</v>
      </c>
      <c r="GM4" t="e">
        <f>AND('Planilla_General_07-12-2012_8_3'!J57,"AAAAAGz//8I=")</f>
        <v>#VALUE!</v>
      </c>
      <c r="GN4" t="e">
        <f>AND('Planilla_General_07-12-2012_8_3'!K57,"AAAAAGz//8M=")</f>
        <v>#VALUE!</v>
      </c>
      <c r="GO4" t="e">
        <f>AND('Planilla_General_07-12-2012_8_3'!L57,"AAAAAGz//8Q=")</f>
        <v>#VALUE!</v>
      </c>
      <c r="GP4" t="e">
        <f>AND('Planilla_General_07-12-2012_8_3'!M57,"AAAAAGz//8U=")</f>
        <v>#VALUE!</v>
      </c>
      <c r="GQ4" t="e">
        <f>AND('Planilla_General_07-12-2012_8_3'!N57,"AAAAAGz//8Y=")</f>
        <v>#VALUE!</v>
      </c>
      <c r="GR4" t="e">
        <f>AND('Planilla_General_07-12-2012_8_3'!O57,"AAAAAGz//8c=")</f>
        <v>#VALUE!</v>
      </c>
      <c r="GS4" t="e">
        <f>AND('Planilla_General_07-12-2012_8_3'!P57,"AAAAAGz//8g=")</f>
        <v>#VALUE!</v>
      </c>
      <c r="GT4">
        <f>IF('Planilla_General_07-12-2012_8_3'!58:58,"AAAAAGz//8k=",0)</f>
        <v>0</v>
      </c>
      <c r="GU4" t="e">
        <f>AND('Planilla_General_07-12-2012_8_3'!A58,"AAAAAGz//8o=")</f>
        <v>#VALUE!</v>
      </c>
      <c r="GV4" t="e">
        <f>AND('Planilla_General_07-12-2012_8_3'!B58,"AAAAAGz//8s=")</f>
        <v>#VALUE!</v>
      </c>
      <c r="GW4" t="e">
        <f>AND('Planilla_General_07-12-2012_8_3'!C58,"AAAAAGz//8w=")</f>
        <v>#VALUE!</v>
      </c>
      <c r="GX4" t="e">
        <f>AND('Planilla_General_07-12-2012_8_3'!D58,"AAAAAGz//80=")</f>
        <v>#VALUE!</v>
      </c>
      <c r="GY4" t="e">
        <f>AND('Planilla_General_07-12-2012_8_3'!E58,"AAAAAGz//84=")</f>
        <v>#VALUE!</v>
      </c>
      <c r="GZ4" t="e">
        <f>AND('Planilla_General_07-12-2012_8_3'!F58,"AAAAAGz//88=")</f>
        <v>#VALUE!</v>
      </c>
      <c r="HA4" t="e">
        <f>AND('Planilla_General_07-12-2012_8_3'!G58,"AAAAAGz//9A=")</f>
        <v>#VALUE!</v>
      </c>
      <c r="HB4" t="e">
        <f>AND('Planilla_General_07-12-2012_8_3'!H58,"AAAAAGz//9E=")</f>
        <v>#VALUE!</v>
      </c>
      <c r="HC4" t="e">
        <f>AND('Planilla_General_07-12-2012_8_3'!I58,"AAAAAGz//9I=")</f>
        <v>#VALUE!</v>
      </c>
      <c r="HD4" t="e">
        <f>AND('Planilla_General_07-12-2012_8_3'!J58,"AAAAAGz//9M=")</f>
        <v>#VALUE!</v>
      </c>
      <c r="HE4" t="e">
        <f>AND('Planilla_General_07-12-2012_8_3'!K58,"AAAAAGz//9Q=")</f>
        <v>#VALUE!</v>
      </c>
      <c r="HF4" t="e">
        <f>AND('Planilla_General_07-12-2012_8_3'!L58,"AAAAAGz//9U=")</f>
        <v>#VALUE!</v>
      </c>
      <c r="HG4" t="e">
        <f>AND('Planilla_General_07-12-2012_8_3'!M58,"AAAAAGz//9Y=")</f>
        <v>#VALUE!</v>
      </c>
      <c r="HH4" t="e">
        <f>AND('Planilla_General_07-12-2012_8_3'!N58,"AAAAAGz//9c=")</f>
        <v>#VALUE!</v>
      </c>
      <c r="HI4" t="e">
        <f>AND('Planilla_General_07-12-2012_8_3'!O58,"AAAAAGz//9g=")</f>
        <v>#VALUE!</v>
      </c>
      <c r="HJ4" t="e">
        <f>AND('Planilla_General_07-12-2012_8_3'!P58,"AAAAAGz//9k=")</f>
        <v>#VALUE!</v>
      </c>
      <c r="HK4">
        <f>IF('Planilla_General_07-12-2012_8_3'!59:59,"AAAAAGz//9o=",0)</f>
        <v>0</v>
      </c>
      <c r="HL4" t="e">
        <f>AND('Planilla_General_07-12-2012_8_3'!A59,"AAAAAGz//9s=")</f>
        <v>#VALUE!</v>
      </c>
      <c r="HM4" t="e">
        <f>AND('Planilla_General_07-12-2012_8_3'!B59,"AAAAAGz//9w=")</f>
        <v>#VALUE!</v>
      </c>
      <c r="HN4" t="e">
        <f>AND('Planilla_General_07-12-2012_8_3'!C59,"AAAAAGz//90=")</f>
        <v>#VALUE!</v>
      </c>
      <c r="HO4" t="e">
        <f>AND('Planilla_General_07-12-2012_8_3'!D59,"AAAAAGz//94=")</f>
        <v>#VALUE!</v>
      </c>
      <c r="HP4" t="e">
        <f>AND('Planilla_General_07-12-2012_8_3'!E59,"AAAAAGz//98=")</f>
        <v>#VALUE!</v>
      </c>
      <c r="HQ4" t="e">
        <f>AND('Planilla_General_07-12-2012_8_3'!F59,"AAAAAGz//+A=")</f>
        <v>#VALUE!</v>
      </c>
      <c r="HR4" t="e">
        <f>AND('Planilla_General_07-12-2012_8_3'!G59,"AAAAAGz//+E=")</f>
        <v>#VALUE!</v>
      </c>
      <c r="HS4" t="e">
        <f>AND('Planilla_General_07-12-2012_8_3'!H59,"AAAAAGz//+I=")</f>
        <v>#VALUE!</v>
      </c>
      <c r="HT4" t="e">
        <f>AND('Planilla_General_07-12-2012_8_3'!I59,"AAAAAGz//+M=")</f>
        <v>#VALUE!</v>
      </c>
      <c r="HU4" t="e">
        <f>AND('Planilla_General_07-12-2012_8_3'!J59,"AAAAAGz//+Q=")</f>
        <v>#VALUE!</v>
      </c>
      <c r="HV4" t="e">
        <f>AND('Planilla_General_07-12-2012_8_3'!K59,"AAAAAGz//+U=")</f>
        <v>#VALUE!</v>
      </c>
      <c r="HW4" t="e">
        <f>AND('Planilla_General_07-12-2012_8_3'!L59,"AAAAAGz//+Y=")</f>
        <v>#VALUE!</v>
      </c>
      <c r="HX4" t="e">
        <f>AND('Planilla_General_07-12-2012_8_3'!M59,"AAAAAGz//+c=")</f>
        <v>#VALUE!</v>
      </c>
      <c r="HY4" t="e">
        <f>AND('Planilla_General_07-12-2012_8_3'!N59,"AAAAAGz//+g=")</f>
        <v>#VALUE!</v>
      </c>
      <c r="HZ4" t="e">
        <f>AND('Planilla_General_07-12-2012_8_3'!O59,"AAAAAGz//+k=")</f>
        <v>#VALUE!</v>
      </c>
      <c r="IA4" t="e">
        <f>AND('Planilla_General_07-12-2012_8_3'!P59,"AAAAAGz//+o=")</f>
        <v>#VALUE!</v>
      </c>
      <c r="IB4">
        <f>IF('Planilla_General_07-12-2012_8_3'!60:60,"AAAAAGz//+s=",0)</f>
        <v>0</v>
      </c>
      <c r="IC4" t="e">
        <f>AND('Planilla_General_07-12-2012_8_3'!A60,"AAAAAGz//+w=")</f>
        <v>#VALUE!</v>
      </c>
      <c r="ID4" t="e">
        <f>AND('Planilla_General_07-12-2012_8_3'!B60,"AAAAAGz//+0=")</f>
        <v>#VALUE!</v>
      </c>
      <c r="IE4" t="e">
        <f>AND('Planilla_General_07-12-2012_8_3'!C60,"AAAAAGz//+4=")</f>
        <v>#VALUE!</v>
      </c>
      <c r="IF4" t="e">
        <f>AND('Planilla_General_07-12-2012_8_3'!D60,"AAAAAGz//+8=")</f>
        <v>#VALUE!</v>
      </c>
      <c r="IG4" t="e">
        <f>AND('Planilla_General_07-12-2012_8_3'!E60,"AAAAAGz///A=")</f>
        <v>#VALUE!</v>
      </c>
      <c r="IH4" t="e">
        <f>AND('Planilla_General_07-12-2012_8_3'!F60,"AAAAAGz///E=")</f>
        <v>#VALUE!</v>
      </c>
      <c r="II4" t="e">
        <f>AND('Planilla_General_07-12-2012_8_3'!G60,"AAAAAGz///I=")</f>
        <v>#VALUE!</v>
      </c>
      <c r="IJ4" t="e">
        <f>AND('Planilla_General_07-12-2012_8_3'!H60,"AAAAAGz///M=")</f>
        <v>#VALUE!</v>
      </c>
      <c r="IK4" t="e">
        <f>AND('Planilla_General_07-12-2012_8_3'!I60,"AAAAAGz///Q=")</f>
        <v>#VALUE!</v>
      </c>
      <c r="IL4" t="e">
        <f>AND('Planilla_General_07-12-2012_8_3'!J60,"AAAAAGz///U=")</f>
        <v>#VALUE!</v>
      </c>
      <c r="IM4" t="e">
        <f>AND('Planilla_General_07-12-2012_8_3'!K60,"AAAAAGz///Y=")</f>
        <v>#VALUE!</v>
      </c>
      <c r="IN4" t="e">
        <f>AND('Planilla_General_07-12-2012_8_3'!L60,"AAAAAGz///c=")</f>
        <v>#VALUE!</v>
      </c>
      <c r="IO4" t="e">
        <f>AND('Planilla_General_07-12-2012_8_3'!M60,"AAAAAGz///g=")</f>
        <v>#VALUE!</v>
      </c>
      <c r="IP4" t="e">
        <f>AND('Planilla_General_07-12-2012_8_3'!N60,"AAAAAGz///k=")</f>
        <v>#VALUE!</v>
      </c>
      <c r="IQ4" t="e">
        <f>AND('Planilla_General_07-12-2012_8_3'!O60,"AAAAAGz///o=")</f>
        <v>#VALUE!</v>
      </c>
      <c r="IR4" t="e">
        <f>AND('Planilla_General_07-12-2012_8_3'!P60,"AAAAAGz///s=")</f>
        <v>#VALUE!</v>
      </c>
      <c r="IS4">
        <f>IF('Planilla_General_07-12-2012_8_3'!61:61,"AAAAAGz///w=",0)</f>
        <v>0</v>
      </c>
      <c r="IT4" t="e">
        <f>AND('Planilla_General_07-12-2012_8_3'!A61,"AAAAAGz///0=")</f>
        <v>#VALUE!</v>
      </c>
      <c r="IU4" t="e">
        <f>AND('Planilla_General_07-12-2012_8_3'!B61,"AAAAAGz///4=")</f>
        <v>#VALUE!</v>
      </c>
      <c r="IV4" t="e">
        <f>AND('Planilla_General_07-12-2012_8_3'!C61,"AAAAAGz///8=")</f>
        <v>#VALUE!</v>
      </c>
    </row>
    <row r="5" spans="1:256" x14ac:dyDescent="0.25">
      <c r="A5" t="e">
        <f>AND('Planilla_General_07-12-2012_8_3'!D61,"AAAAAD7/vgA=")</f>
        <v>#VALUE!</v>
      </c>
      <c r="B5" t="e">
        <f>AND('Planilla_General_07-12-2012_8_3'!E61,"AAAAAD7/vgE=")</f>
        <v>#VALUE!</v>
      </c>
      <c r="C5" t="e">
        <f>AND('Planilla_General_07-12-2012_8_3'!F61,"AAAAAD7/vgI=")</f>
        <v>#VALUE!</v>
      </c>
      <c r="D5" t="e">
        <f>AND('Planilla_General_07-12-2012_8_3'!G61,"AAAAAD7/vgM=")</f>
        <v>#VALUE!</v>
      </c>
      <c r="E5" t="e">
        <f>AND('Planilla_General_07-12-2012_8_3'!H61,"AAAAAD7/vgQ=")</f>
        <v>#VALUE!</v>
      </c>
      <c r="F5" t="e">
        <f>AND('Planilla_General_07-12-2012_8_3'!I61,"AAAAAD7/vgU=")</f>
        <v>#VALUE!</v>
      </c>
      <c r="G5" t="e">
        <f>AND('Planilla_General_07-12-2012_8_3'!J61,"AAAAAD7/vgY=")</f>
        <v>#VALUE!</v>
      </c>
      <c r="H5" t="e">
        <f>AND('Planilla_General_07-12-2012_8_3'!K61,"AAAAAD7/vgc=")</f>
        <v>#VALUE!</v>
      </c>
      <c r="I5" t="e">
        <f>AND('Planilla_General_07-12-2012_8_3'!L61,"AAAAAD7/vgg=")</f>
        <v>#VALUE!</v>
      </c>
      <c r="J5" t="e">
        <f>AND('Planilla_General_07-12-2012_8_3'!M61,"AAAAAD7/vgk=")</f>
        <v>#VALUE!</v>
      </c>
      <c r="K5" t="e">
        <f>AND('Planilla_General_07-12-2012_8_3'!N61,"AAAAAD7/vgo=")</f>
        <v>#VALUE!</v>
      </c>
      <c r="L5" t="e">
        <f>AND('Planilla_General_07-12-2012_8_3'!O61,"AAAAAD7/vgs=")</f>
        <v>#VALUE!</v>
      </c>
      <c r="M5" t="e">
        <f>AND('Planilla_General_07-12-2012_8_3'!P61,"AAAAAD7/vgw=")</f>
        <v>#VALUE!</v>
      </c>
      <c r="N5" t="str">
        <f>IF('Planilla_General_07-12-2012_8_3'!62:62,"AAAAAD7/vg0=",0)</f>
        <v>AAAAAD7/vg0=</v>
      </c>
      <c r="O5" t="e">
        <f>AND('Planilla_General_07-12-2012_8_3'!A62,"AAAAAD7/vg4=")</f>
        <v>#VALUE!</v>
      </c>
      <c r="P5" t="e">
        <f>AND('Planilla_General_07-12-2012_8_3'!B62,"AAAAAD7/vg8=")</f>
        <v>#VALUE!</v>
      </c>
      <c r="Q5" t="e">
        <f>AND('Planilla_General_07-12-2012_8_3'!C62,"AAAAAD7/vhA=")</f>
        <v>#VALUE!</v>
      </c>
      <c r="R5" t="e">
        <f>AND('Planilla_General_07-12-2012_8_3'!D62,"AAAAAD7/vhE=")</f>
        <v>#VALUE!</v>
      </c>
      <c r="S5" t="e">
        <f>AND('Planilla_General_07-12-2012_8_3'!E62,"AAAAAD7/vhI=")</f>
        <v>#VALUE!</v>
      </c>
      <c r="T5" t="e">
        <f>AND('Planilla_General_07-12-2012_8_3'!F62,"AAAAAD7/vhM=")</f>
        <v>#VALUE!</v>
      </c>
      <c r="U5" t="e">
        <f>AND('Planilla_General_07-12-2012_8_3'!G62,"AAAAAD7/vhQ=")</f>
        <v>#VALUE!</v>
      </c>
      <c r="V5" t="e">
        <f>AND('Planilla_General_07-12-2012_8_3'!H62,"AAAAAD7/vhU=")</f>
        <v>#VALUE!</v>
      </c>
      <c r="W5" t="e">
        <f>AND('Planilla_General_07-12-2012_8_3'!I62,"AAAAAD7/vhY=")</f>
        <v>#VALUE!</v>
      </c>
      <c r="X5" t="e">
        <f>AND('Planilla_General_07-12-2012_8_3'!J62,"AAAAAD7/vhc=")</f>
        <v>#VALUE!</v>
      </c>
      <c r="Y5" t="e">
        <f>AND('Planilla_General_07-12-2012_8_3'!K62,"AAAAAD7/vhg=")</f>
        <v>#VALUE!</v>
      </c>
      <c r="Z5" t="e">
        <f>AND('Planilla_General_07-12-2012_8_3'!L62,"AAAAAD7/vhk=")</f>
        <v>#VALUE!</v>
      </c>
      <c r="AA5" t="e">
        <f>AND('Planilla_General_07-12-2012_8_3'!M62,"AAAAAD7/vho=")</f>
        <v>#VALUE!</v>
      </c>
      <c r="AB5" t="e">
        <f>AND('Planilla_General_07-12-2012_8_3'!N62,"AAAAAD7/vhs=")</f>
        <v>#VALUE!</v>
      </c>
      <c r="AC5" t="e">
        <f>AND('Planilla_General_07-12-2012_8_3'!O62,"AAAAAD7/vhw=")</f>
        <v>#VALUE!</v>
      </c>
      <c r="AD5" t="e">
        <f>AND('Planilla_General_07-12-2012_8_3'!P62,"AAAAAD7/vh0=")</f>
        <v>#VALUE!</v>
      </c>
      <c r="AE5">
        <f>IF('Planilla_General_07-12-2012_8_3'!63:63,"AAAAAD7/vh4=",0)</f>
        <v>0</v>
      </c>
      <c r="AF5" t="e">
        <f>AND('Planilla_General_07-12-2012_8_3'!A63,"AAAAAD7/vh8=")</f>
        <v>#VALUE!</v>
      </c>
      <c r="AG5" t="e">
        <f>AND('Planilla_General_07-12-2012_8_3'!B63,"AAAAAD7/viA=")</f>
        <v>#VALUE!</v>
      </c>
      <c r="AH5" t="e">
        <f>AND('Planilla_General_07-12-2012_8_3'!C63,"AAAAAD7/viE=")</f>
        <v>#VALUE!</v>
      </c>
      <c r="AI5" t="e">
        <f>AND('Planilla_General_07-12-2012_8_3'!D63,"AAAAAD7/viI=")</f>
        <v>#VALUE!</v>
      </c>
      <c r="AJ5" t="e">
        <f>AND('Planilla_General_07-12-2012_8_3'!E63,"AAAAAD7/viM=")</f>
        <v>#VALUE!</v>
      </c>
      <c r="AK5" t="e">
        <f>AND('Planilla_General_07-12-2012_8_3'!F63,"AAAAAD7/viQ=")</f>
        <v>#VALUE!</v>
      </c>
      <c r="AL5" t="e">
        <f>AND('Planilla_General_07-12-2012_8_3'!G63,"AAAAAD7/viU=")</f>
        <v>#VALUE!</v>
      </c>
      <c r="AM5" t="e">
        <f>AND('Planilla_General_07-12-2012_8_3'!H63,"AAAAAD7/viY=")</f>
        <v>#VALUE!</v>
      </c>
      <c r="AN5" t="e">
        <f>AND('Planilla_General_07-12-2012_8_3'!I63,"AAAAAD7/vic=")</f>
        <v>#VALUE!</v>
      </c>
      <c r="AO5" t="e">
        <f>AND('Planilla_General_07-12-2012_8_3'!J63,"AAAAAD7/vig=")</f>
        <v>#VALUE!</v>
      </c>
      <c r="AP5" t="e">
        <f>AND('Planilla_General_07-12-2012_8_3'!K63,"AAAAAD7/vik=")</f>
        <v>#VALUE!</v>
      </c>
      <c r="AQ5" t="e">
        <f>AND('Planilla_General_07-12-2012_8_3'!L63,"AAAAAD7/vio=")</f>
        <v>#VALUE!</v>
      </c>
      <c r="AR5" t="e">
        <f>AND('Planilla_General_07-12-2012_8_3'!M63,"AAAAAD7/vis=")</f>
        <v>#VALUE!</v>
      </c>
      <c r="AS5" t="e">
        <f>AND('Planilla_General_07-12-2012_8_3'!N63,"AAAAAD7/viw=")</f>
        <v>#VALUE!</v>
      </c>
      <c r="AT5" t="e">
        <f>AND('Planilla_General_07-12-2012_8_3'!O63,"AAAAAD7/vi0=")</f>
        <v>#VALUE!</v>
      </c>
      <c r="AU5" t="e">
        <f>AND('Planilla_General_07-12-2012_8_3'!P63,"AAAAAD7/vi4=")</f>
        <v>#VALUE!</v>
      </c>
      <c r="AV5">
        <f>IF('Planilla_General_07-12-2012_8_3'!64:64,"AAAAAD7/vi8=",0)</f>
        <v>0</v>
      </c>
      <c r="AW5" t="e">
        <f>AND('Planilla_General_07-12-2012_8_3'!A64,"AAAAAD7/vjA=")</f>
        <v>#VALUE!</v>
      </c>
      <c r="AX5" t="e">
        <f>AND('Planilla_General_07-12-2012_8_3'!B64,"AAAAAD7/vjE=")</f>
        <v>#VALUE!</v>
      </c>
      <c r="AY5" t="e">
        <f>AND('Planilla_General_07-12-2012_8_3'!C64,"AAAAAD7/vjI=")</f>
        <v>#VALUE!</v>
      </c>
      <c r="AZ5" t="e">
        <f>AND('Planilla_General_07-12-2012_8_3'!D64,"AAAAAD7/vjM=")</f>
        <v>#VALUE!</v>
      </c>
      <c r="BA5" t="e">
        <f>AND('Planilla_General_07-12-2012_8_3'!E64,"AAAAAD7/vjQ=")</f>
        <v>#VALUE!</v>
      </c>
      <c r="BB5" t="e">
        <f>AND('Planilla_General_07-12-2012_8_3'!F64,"AAAAAD7/vjU=")</f>
        <v>#VALUE!</v>
      </c>
      <c r="BC5" t="e">
        <f>AND('Planilla_General_07-12-2012_8_3'!G64,"AAAAAD7/vjY=")</f>
        <v>#VALUE!</v>
      </c>
      <c r="BD5" t="e">
        <f>AND('Planilla_General_07-12-2012_8_3'!H64,"AAAAAD7/vjc=")</f>
        <v>#VALUE!</v>
      </c>
      <c r="BE5" t="e">
        <f>AND('Planilla_General_07-12-2012_8_3'!I64,"AAAAAD7/vjg=")</f>
        <v>#VALUE!</v>
      </c>
      <c r="BF5" t="e">
        <f>AND('Planilla_General_07-12-2012_8_3'!J64,"AAAAAD7/vjk=")</f>
        <v>#VALUE!</v>
      </c>
      <c r="BG5" t="e">
        <f>AND('Planilla_General_07-12-2012_8_3'!K64,"AAAAAD7/vjo=")</f>
        <v>#VALUE!</v>
      </c>
      <c r="BH5" t="e">
        <f>AND('Planilla_General_07-12-2012_8_3'!L64,"AAAAAD7/vjs=")</f>
        <v>#VALUE!</v>
      </c>
      <c r="BI5" t="e">
        <f>AND('Planilla_General_07-12-2012_8_3'!M64,"AAAAAD7/vjw=")</f>
        <v>#VALUE!</v>
      </c>
      <c r="BJ5" t="e">
        <f>AND('Planilla_General_07-12-2012_8_3'!N64,"AAAAAD7/vj0=")</f>
        <v>#VALUE!</v>
      </c>
      <c r="BK5" t="e">
        <f>AND('Planilla_General_07-12-2012_8_3'!O64,"AAAAAD7/vj4=")</f>
        <v>#VALUE!</v>
      </c>
      <c r="BL5" t="e">
        <f>AND('Planilla_General_07-12-2012_8_3'!P64,"AAAAAD7/vj8=")</f>
        <v>#VALUE!</v>
      </c>
      <c r="BM5">
        <f>IF('Planilla_General_07-12-2012_8_3'!65:65,"AAAAAD7/vkA=",0)</f>
        <v>0</v>
      </c>
      <c r="BN5" t="e">
        <f>AND('Planilla_General_07-12-2012_8_3'!A65,"AAAAAD7/vkE=")</f>
        <v>#VALUE!</v>
      </c>
      <c r="BO5" t="e">
        <f>AND('Planilla_General_07-12-2012_8_3'!B65,"AAAAAD7/vkI=")</f>
        <v>#VALUE!</v>
      </c>
      <c r="BP5" t="e">
        <f>AND('Planilla_General_07-12-2012_8_3'!C65,"AAAAAD7/vkM=")</f>
        <v>#VALUE!</v>
      </c>
      <c r="BQ5" t="e">
        <f>AND('Planilla_General_07-12-2012_8_3'!D65,"AAAAAD7/vkQ=")</f>
        <v>#VALUE!</v>
      </c>
      <c r="BR5" t="e">
        <f>AND('Planilla_General_07-12-2012_8_3'!E65,"AAAAAD7/vkU=")</f>
        <v>#VALUE!</v>
      </c>
      <c r="BS5" t="e">
        <f>AND('Planilla_General_07-12-2012_8_3'!F65,"AAAAAD7/vkY=")</f>
        <v>#VALUE!</v>
      </c>
      <c r="BT5" t="e">
        <f>AND('Planilla_General_07-12-2012_8_3'!G65,"AAAAAD7/vkc=")</f>
        <v>#VALUE!</v>
      </c>
      <c r="BU5" t="e">
        <f>AND('Planilla_General_07-12-2012_8_3'!H65,"AAAAAD7/vkg=")</f>
        <v>#VALUE!</v>
      </c>
      <c r="BV5" t="e">
        <f>AND('Planilla_General_07-12-2012_8_3'!I65,"AAAAAD7/vkk=")</f>
        <v>#VALUE!</v>
      </c>
      <c r="BW5" t="e">
        <f>AND('Planilla_General_07-12-2012_8_3'!J65,"AAAAAD7/vko=")</f>
        <v>#VALUE!</v>
      </c>
      <c r="BX5" t="e">
        <f>AND('Planilla_General_07-12-2012_8_3'!K65,"AAAAAD7/vks=")</f>
        <v>#VALUE!</v>
      </c>
      <c r="BY5" t="e">
        <f>AND('Planilla_General_07-12-2012_8_3'!L65,"AAAAAD7/vkw=")</f>
        <v>#VALUE!</v>
      </c>
      <c r="BZ5" t="e">
        <f>AND('Planilla_General_07-12-2012_8_3'!M65,"AAAAAD7/vk0=")</f>
        <v>#VALUE!</v>
      </c>
      <c r="CA5" t="e">
        <f>AND('Planilla_General_07-12-2012_8_3'!N65,"AAAAAD7/vk4=")</f>
        <v>#VALUE!</v>
      </c>
      <c r="CB5" t="e">
        <f>AND('Planilla_General_07-12-2012_8_3'!O65,"AAAAAD7/vk8=")</f>
        <v>#VALUE!</v>
      </c>
      <c r="CC5" t="e">
        <f>AND('Planilla_General_07-12-2012_8_3'!P65,"AAAAAD7/vlA=")</f>
        <v>#VALUE!</v>
      </c>
      <c r="CD5">
        <f>IF('Planilla_General_07-12-2012_8_3'!66:66,"AAAAAD7/vlE=",0)</f>
        <v>0</v>
      </c>
      <c r="CE5" t="e">
        <f>AND('Planilla_General_07-12-2012_8_3'!A66,"AAAAAD7/vlI=")</f>
        <v>#VALUE!</v>
      </c>
      <c r="CF5" t="e">
        <f>AND('Planilla_General_07-12-2012_8_3'!B66,"AAAAAD7/vlM=")</f>
        <v>#VALUE!</v>
      </c>
      <c r="CG5" t="e">
        <f>AND('Planilla_General_07-12-2012_8_3'!C66,"AAAAAD7/vlQ=")</f>
        <v>#VALUE!</v>
      </c>
      <c r="CH5" t="e">
        <f>AND('Planilla_General_07-12-2012_8_3'!D66,"AAAAAD7/vlU=")</f>
        <v>#VALUE!</v>
      </c>
      <c r="CI5" t="e">
        <f>AND('Planilla_General_07-12-2012_8_3'!E66,"AAAAAD7/vlY=")</f>
        <v>#VALUE!</v>
      </c>
      <c r="CJ5" t="e">
        <f>AND('Planilla_General_07-12-2012_8_3'!F66,"AAAAAD7/vlc=")</f>
        <v>#VALUE!</v>
      </c>
      <c r="CK5" t="e">
        <f>AND('Planilla_General_07-12-2012_8_3'!G66,"AAAAAD7/vlg=")</f>
        <v>#VALUE!</v>
      </c>
      <c r="CL5" t="e">
        <f>AND('Planilla_General_07-12-2012_8_3'!H66,"AAAAAD7/vlk=")</f>
        <v>#VALUE!</v>
      </c>
      <c r="CM5" t="e">
        <f>AND('Planilla_General_07-12-2012_8_3'!I66,"AAAAAD7/vlo=")</f>
        <v>#VALUE!</v>
      </c>
      <c r="CN5" t="e">
        <f>AND('Planilla_General_07-12-2012_8_3'!J66,"AAAAAD7/vls=")</f>
        <v>#VALUE!</v>
      </c>
      <c r="CO5" t="e">
        <f>AND('Planilla_General_07-12-2012_8_3'!K66,"AAAAAD7/vlw=")</f>
        <v>#VALUE!</v>
      </c>
      <c r="CP5" t="e">
        <f>AND('Planilla_General_07-12-2012_8_3'!L66,"AAAAAD7/vl0=")</f>
        <v>#VALUE!</v>
      </c>
      <c r="CQ5" t="e">
        <f>AND('Planilla_General_07-12-2012_8_3'!M66,"AAAAAD7/vl4=")</f>
        <v>#VALUE!</v>
      </c>
      <c r="CR5" t="e">
        <f>AND('Planilla_General_07-12-2012_8_3'!N66,"AAAAAD7/vl8=")</f>
        <v>#VALUE!</v>
      </c>
      <c r="CS5" t="e">
        <f>AND('Planilla_General_07-12-2012_8_3'!O66,"AAAAAD7/vmA=")</f>
        <v>#VALUE!</v>
      </c>
      <c r="CT5" t="e">
        <f>AND('Planilla_General_07-12-2012_8_3'!P66,"AAAAAD7/vmE=")</f>
        <v>#VALUE!</v>
      </c>
      <c r="CU5">
        <f>IF('Planilla_General_07-12-2012_8_3'!67:67,"AAAAAD7/vmI=",0)</f>
        <v>0</v>
      </c>
      <c r="CV5" t="e">
        <f>AND('Planilla_General_07-12-2012_8_3'!A67,"AAAAAD7/vmM=")</f>
        <v>#VALUE!</v>
      </c>
      <c r="CW5" t="e">
        <f>AND('Planilla_General_07-12-2012_8_3'!B67,"AAAAAD7/vmQ=")</f>
        <v>#VALUE!</v>
      </c>
      <c r="CX5" t="e">
        <f>AND('Planilla_General_07-12-2012_8_3'!C67,"AAAAAD7/vmU=")</f>
        <v>#VALUE!</v>
      </c>
      <c r="CY5" t="e">
        <f>AND('Planilla_General_07-12-2012_8_3'!D67,"AAAAAD7/vmY=")</f>
        <v>#VALUE!</v>
      </c>
      <c r="CZ5" t="e">
        <f>AND('Planilla_General_07-12-2012_8_3'!E67,"AAAAAD7/vmc=")</f>
        <v>#VALUE!</v>
      </c>
      <c r="DA5" t="e">
        <f>AND('Planilla_General_07-12-2012_8_3'!F67,"AAAAAD7/vmg=")</f>
        <v>#VALUE!</v>
      </c>
      <c r="DB5" t="e">
        <f>AND('Planilla_General_07-12-2012_8_3'!G67,"AAAAAD7/vmk=")</f>
        <v>#VALUE!</v>
      </c>
      <c r="DC5" t="e">
        <f>AND('Planilla_General_07-12-2012_8_3'!H67,"AAAAAD7/vmo=")</f>
        <v>#VALUE!</v>
      </c>
      <c r="DD5" t="e">
        <f>AND('Planilla_General_07-12-2012_8_3'!I67,"AAAAAD7/vms=")</f>
        <v>#VALUE!</v>
      </c>
      <c r="DE5" t="e">
        <f>AND('Planilla_General_07-12-2012_8_3'!J67,"AAAAAD7/vmw=")</f>
        <v>#VALUE!</v>
      </c>
      <c r="DF5" t="e">
        <f>AND('Planilla_General_07-12-2012_8_3'!K67,"AAAAAD7/vm0=")</f>
        <v>#VALUE!</v>
      </c>
      <c r="DG5" t="e">
        <f>AND('Planilla_General_07-12-2012_8_3'!L67,"AAAAAD7/vm4=")</f>
        <v>#VALUE!</v>
      </c>
      <c r="DH5" t="e">
        <f>AND('Planilla_General_07-12-2012_8_3'!M67,"AAAAAD7/vm8=")</f>
        <v>#VALUE!</v>
      </c>
      <c r="DI5" t="e">
        <f>AND('Planilla_General_07-12-2012_8_3'!N67,"AAAAAD7/vnA=")</f>
        <v>#VALUE!</v>
      </c>
      <c r="DJ5" t="e">
        <f>AND('Planilla_General_07-12-2012_8_3'!O67,"AAAAAD7/vnE=")</f>
        <v>#VALUE!</v>
      </c>
      <c r="DK5" t="e">
        <f>AND('Planilla_General_07-12-2012_8_3'!P67,"AAAAAD7/vnI=")</f>
        <v>#VALUE!</v>
      </c>
      <c r="DL5">
        <f>IF('Planilla_General_07-12-2012_8_3'!68:68,"AAAAAD7/vnM=",0)</f>
        <v>0</v>
      </c>
      <c r="DM5" t="e">
        <f>AND('Planilla_General_07-12-2012_8_3'!A68,"AAAAAD7/vnQ=")</f>
        <v>#VALUE!</v>
      </c>
      <c r="DN5" t="e">
        <f>AND('Planilla_General_07-12-2012_8_3'!B68,"AAAAAD7/vnU=")</f>
        <v>#VALUE!</v>
      </c>
      <c r="DO5" t="e">
        <f>AND('Planilla_General_07-12-2012_8_3'!C68,"AAAAAD7/vnY=")</f>
        <v>#VALUE!</v>
      </c>
      <c r="DP5" t="e">
        <f>AND('Planilla_General_07-12-2012_8_3'!D68,"AAAAAD7/vnc=")</f>
        <v>#VALUE!</v>
      </c>
      <c r="DQ5" t="e">
        <f>AND('Planilla_General_07-12-2012_8_3'!E68,"AAAAAD7/vng=")</f>
        <v>#VALUE!</v>
      </c>
      <c r="DR5" t="e">
        <f>AND('Planilla_General_07-12-2012_8_3'!F68,"AAAAAD7/vnk=")</f>
        <v>#VALUE!</v>
      </c>
      <c r="DS5" t="e">
        <f>AND('Planilla_General_07-12-2012_8_3'!G68,"AAAAAD7/vno=")</f>
        <v>#VALUE!</v>
      </c>
      <c r="DT5" t="e">
        <f>AND('Planilla_General_07-12-2012_8_3'!H68,"AAAAAD7/vns=")</f>
        <v>#VALUE!</v>
      </c>
      <c r="DU5" t="e">
        <f>AND('Planilla_General_07-12-2012_8_3'!I68,"AAAAAD7/vnw=")</f>
        <v>#VALUE!</v>
      </c>
      <c r="DV5" t="e">
        <f>AND('Planilla_General_07-12-2012_8_3'!J68,"AAAAAD7/vn0=")</f>
        <v>#VALUE!</v>
      </c>
      <c r="DW5" t="e">
        <f>AND('Planilla_General_07-12-2012_8_3'!K68,"AAAAAD7/vn4=")</f>
        <v>#VALUE!</v>
      </c>
      <c r="DX5" t="e">
        <f>AND('Planilla_General_07-12-2012_8_3'!L68,"AAAAAD7/vn8=")</f>
        <v>#VALUE!</v>
      </c>
      <c r="DY5" t="e">
        <f>AND('Planilla_General_07-12-2012_8_3'!M68,"AAAAAD7/voA=")</f>
        <v>#VALUE!</v>
      </c>
      <c r="DZ5" t="e">
        <f>AND('Planilla_General_07-12-2012_8_3'!N68,"AAAAAD7/voE=")</f>
        <v>#VALUE!</v>
      </c>
      <c r="EA5" t="e">
        <f>AND('Planilla_General_07-12-2012_8_3'!O68,"AAAAAD7/voI=")</f>
        <v>#VALUE!</v>
      </c>
      <c r="EB5" t="e">
        <f>AND('Planilla_General_07-12-2012_8_3'!P68,"AAAAAD7/voM=")</f>
        <v>#VALUE!</v>
      </c>
      <c r="EC5">
        <f>IF('Planilla_General_07-12-2012_8_3'!69:69,"AAAAAD7/voQ=",0)</f>
        <v>0</v>
      </c>
      <c r="ED5" t="e">
        <f>AND('Planilla_General_07-12-2012_8_3'!A69,"AAAAAD7/voU=")</f>
        <v>#VALUE!</v>
      </c>
      <c r="EE5" t="e">
        <f>AND('Planilla_General_07-12-2012_8_3'!B69,"AAAAAD7/voY=")</f>
        <v>#VALUE!</v>
      </c>
      <c r="EF5" t="e">
        <f>AND('Planilla_General_07-12-2012_8_3'!C69,"AAAAAD7/voc=")</f>
        <v>#VALUE!</v>
      </c>
      <c r="EG5" t="e">
        <f>AND('Planilla_General_07-12-2012_8_3'!D69,"AAAAAD7/vog=")</f>
        <v>#VALUE!</v>
      </c>
      <c r="EH5" t="e">
        <f>AND('Planilla_General_07-12-2012_8_3'!E69,"AAAAAD7/vok=")</f>
        <v>#VALUE!</v>
      </c>
      <c r="EI5" t="e">
        <f>AND('Planilla_General_07-12-2012_8_3'!F69,"AAAAAD7/voo=")</f>
        <v>#VALUE!</v>
      </c>
      <c r="EJ5" t="e">
        <f>AND('Planilla_General_07-12-2012_8_3'!G69,"AAAAAD7/vos=")</f>
        <v>#VALUE!</v>
      </c>
      <c r="EK5" t="e">
        <f>AND('Planilla_General_07-12-2012_8_3'!H69,"AAAAAD7/vow=")</f>
        <v>#VALUE!</v>
      </c>
      <c r="EL5" t="e">
        <f>AND('Planilla_General_07-12-2012_8_3'!I69,"AAAAAD7/vo0=")</f>
        <v>#VALUE!</v>
      </c>
      <c r="EM5" t="e">
        <f>AND('Planilla_General_07-12-2012_8_3'!J69,"AAAAAD7/vo4=")</f>
        <v>#VALUE!</v>
      </c>
      <c r="EN5" t="e">
        <f>AND('Planilla_General_07-12-2012_8_3'!K69,"AAAAAD7/vo8=")</f>
        <v>#VALUE!</v>
      </c>
      <c r="EO5" t="e">
        <f>AND('Planilla_General_07-12-2012_8_3'!L69,"AAAAAD7/vpA=")</f>
        <v>#VALUE!</v>
      </c>
      <c r="EP5" t="e">
        <f>AND('Planilla_General_07-12-2012_8_3'!M69,"AAAAAD7/vpE=")</f>
        <v>#VALUE!</v>
      </c>
      <c r="EQ5" t="e">
        <f>AND('Planilla_General_07-12-2012_8_3'!N69,"AAAAAD7/vpI=")</f>
        <v>#VALUE!</v>
      </c>
      <c r="ER5" t="e">
        <f>AND('Planilla_General_07-12-2012_8_3'!O69,"AAAAAD7/vpM=")</f>
        <v>#VALUE!</v>
      </c>
      <c r="ES5" t="e">
        <f>AND('Planilla_General_07-12-2012_8_3'!P69,"AAAAAD7/vpQ=")</f>
        <v>#VALUE!</v>
      </c>
      <c r="ET5">
        <f>IF('Planilla_General_07-12-2012_8_3'!70:70,"AAAAAD7/vpU=",0)</f>
        <v>0</v>
      </c>
      <c r="EU5" t="e">
        <f>AND('Planilla_General_07-12-2012_8_3'!A70,"AAAAAD7/vpY=")</f>
        <v>#VALUE!</v>
      </c>
      <c r="EV5" t="e">
        <f>AND('Planilla_General_07-12-2012_8_3'!B70,"AAAAAD7/vpc=")</f>
        <v>#VALUE!</v>
      </c>
      <c r="EW5" t="e">
        <f>AND('Planilla_General_07-12-2012_8_3'!C70,"AAAAAD7/vpg=")</f>
        <v>#VALUE!</v>
      </c>
      <c r="EX5" t="e">
        <f>AND('Planilla_General_07-12-2012_8_3'!D70,"AAAAAD7/vpk=")</f>
        <v>#VALUE!</v>
      </c>
      <c r="EY5" t="e">
        <f>AND('Planilla_General_07-12-2012_8_3'!E70,"AAAAAD7/vpo=")</f>
        <v>#VALUE!</v>
      </c>
      <c r="EZ5" t="e">
        <f>AND('Planilla_General_07-12-2012_8_3'!F70,"AAAAAD7/vps=")</f>
        <v>#VALUE!</v>
      </c>
      <c r="FA5" t="e">
        <f>AND('Planilla_General_07-12-2012_8_3'!G70,"AAAAAD7/vpw=")</f>
        <v>#VALUE!</v>
      </c>
      <c r="FB5" t="e">
        <f>AND('Planilla_General_07-12-2012_8_3'!H70,"AAAAAD7/vp0=")</f>
        <v>#VALUE!</v>
      </c>
      <c r="FC5" t="e">
        <f>AND('Planilla_General_07-12-2012_8_3'!I70,"AAAAAD7/vp4=")</f>
        <v>#VALUE!</v>
      </c>
      <c r="FD5" t="e">
        <f>AND('Planilla_General_07-12-2012_8_3'!J70,"AAAAAD7/vp8=")</f>
        <v>#VALUE!</v>
      </c>
      <c r="FE5" t="e">
        <f>AND('Planilla_General_07-12-2012_8_3'!K70,"AAAAAD7/vqA=")</f>
        <v>#VALUE!</v>
      </c>
      <c r="FF5" t="e">
        <f>AND('Planilla_General_07-12-2012_8_3'!L70,"AAAAAD7/vqE=")</f>
        <v>#VALUE!</v>
      </c>
      <c r="FG5" t="e">
        <f>AND('Planilla_General_07-12-2012_8_3'!M70,"AAAAAD7/vqI=")</f>
        <v>#VALUE!</v>
      </c>
      <c r="FH5" t="e">
        <f>AND('Planilla_General_07-12-2012_8_3'!N70,"AAAAAD7/vqM=")</f>
        <v>#VALUE!</v>
      </c>
      <c r="FI5" t="e">
        <f>AND('Planilla_General_07-12-2012_8_3'!O70,"AAAAAD7/vqQ=")</f>
        <v>#VALUE!</v>
      </c>
      <c r="FJ5" t="e">
        <f>AND('Planilla_General_07-12-2012_8_3'!P70,"AAAAAD7/vqU=")</f>
        <v>#VALUE!</v>
      </c>
      <c r="FK5">
        <f>IF('Planilla_General_07-12-2012_8_3'!71:71,"AAAAAD7/vqY=",0)</f>
        <v>0</v>
      </c>
      <c r="FL5" t="e">
        <f>AND('Planilla_General_07-12-2012_8_3'!A71,"AAAAAD7/vqc=")</f>
        <v>#VALUE!</v>
      </c>
      <c r="FM5" t="e">
        <f>AND('Planilla_General_07-12-2012_8_3'!B71,"AAAAAD7/vqg=")</f>
        <v>#VALUE!</v>
      </c>
      <c r="FN5" t="e">
        <f>AND('Planilla_General_07-12-2012_8_3'!C71,"AAAAAD7/vqk=")</f>
        <v>#VALUE!</v>
      </c>
      <c r="FO5" t="e">
        <f>AND('Planilla_General_07-12-2012_8_3'!D71,"AAAAAD7/vqo=")</f>
        <v>#VALUE!</v>
      </c>
      <c r="FP5" t="e">
        <f>AND('Planilla_General_07-12-2012_8_3'!E71,"AAAAAD7/vqs=")</f>
        <v>#VALUE!</v>
      </c>
      <c r="FQ5" t="e">
        <f>AND('Planilla_General_07-12-2012_8_3'!F71,"AAAAAD7/vqw=")</f>
        <v>#VALUE!</v>
      </c>
      <c r="FR5" t="e">
        <f>AND('Planilla_General_07-12-2012_8_3'!G71,"AAAAAD7/vq0=")</f>
        <v>#VALUE!</v>
      </c>
      <c r="FS5" t="e">
        <f>AND('Planilla_General_07-12-2012_8_3'!H71,"AAAAAD7/vq4=")</f>
        <v>#VALUE!</v>
      </c>
      <c r="FT5" t="e">
        <f>AND('Planilla_General_07-12-2012_8_3'!I71,"AAAAAD7/vq8=")</f>
        <v>#VALUE!</v>
      </c>
      <c r="FU5" t="e">
        <f>AND('Planilla_General_07-12-2012_8_3'!J71,"AAAAAD7/vrA=")</f>
        <v>#VALUE!</v>
      </c>
      <c r="FV5" t="e">
        <f>AND('Planilla_General_07-12-2012_8_3'!K71,"AAAAAD7/vrE=")</f>
        <v>#VALUE!</v>
      </c>
      <c r="FW5" t="e">
        <f>AND('Planilla_General_07-12-2012_8_3'!L71,"AAAAAD7/vrI=")</f>
        <v>#VALUE!</v>
      </c>
      <c r="FX5" t="e">
        <f>AND('Planilla_General_07-12-2012_8_3'!M71,"AAAAAD7/vrM=")</f>
        <v>#VALUE!</v>
      </c>
      <c r="FY5" t="e">
        <f>AND('Planilla_General_07-12-2012_8_3'!N71,"AAAAAD7/vrQ=")</f>
        <v>#VALUE!</v>
      </c>
      <c r="FZ5" t="e">
        <f>AND('Planilla_General_07-12-2012_8_3'!O71,"AAAAAD7/vrU=")</f>
        <v>#VALUE!</v>
      </c>
      <c r="GA5" t="e">
        <f>AND('Planilla_General_07-12-2012_8_3'!P71,"AAAAAD7/vrY=")</f>
        <v>#VALUE!</v>
      </c>
      <c r="GB5">
        <f>IF('Planilla_General_07-12-2012_8_3'!72:72,"AAAAAD7/vrc=",0)</f>
        <v>0</v>
      </c>
      <c r="GC5" t="e">
        <f>AND('Planilla_General_07-12-2012_8_3'!A72,"AAAAAD7/vrg=")</f>
        <v>#VALUE!</v>
      </c>
      <c r="GD5" t="e">
        <f>AND('Planilla_General_07-12-2012_8_3'!B72,"AAAAAD7/vrk=")</f>
        <v>#VALUE!</v>
      </c>
      <c r="GE5" t="e">
        <f>AND('Planilla_General_07-12-2012_8_3'!C72,"AAAAAD7/vro=")</f>
        <v>#VALUE!</v>
      </c>
      <c r="GF5" t="e">
        <f>AND('Planilla_General_07-12-2012_8_3'!D72,"AAAAAD7/vrs=")</f>
        <v>#VALUE!</v>
      </c>
      <c r="GG5" t="e">
        <f>AND('Planilla_General_07-12-2012_8_3'!E72,"AAAAAD7/vrw=")</f>
        <v>#VALUE!</v>
      </c>
      <c r="GH5" t="e">
        <f>AND('Planilla_General_07-12-2012_8_3'!F72,"AAAAAD7/vr0=")</f>
        <v>#VALUE!</v>
      </c>
      <c r="GI5" t="e">
        <f>AND('Planilla_General_07-12-2012_8_3'!G72,"AAAAAD7/vr4=")</f>
        <v>#VALUE!</v>
      </c>
      <c r="GJ5" t="e">
        <f>AND('Planilla_General_07-12-2012_8_3'!H72,"AAAAAD7/vr8=")</f>
        <v>#VALUE!</v>
      </c>
      <c r="GK5" t="e">
        <f>AND('Planilla_General_07-12-2012_8_3'!I72,"AAAAAD7/vsA=")</f>
        <v>#VALUE!</v>
      </c>
      <c r="GL5" t="e">
        <f>AND('Planilla_General_07-12-2012_8_3'!J72,"AAAAAD7/vsE=")</f>
        <v>#VALUE!</v>
      </c>
      <c r="GM5" t="e">
        <f>AND('Planilla_General_07-12-2012_8_3'!K72,"AAAAAD7/vsI=")</f>
        <v>#VALUE!</v>
      </c>
      <c r="GN5" t="e">
        <f>AND('Planilla_General_07-12-2012_8_3'!L72,"AAAAAD7/vsM=")</f>
        <v>#VALUE!</v>
      </c>
      <c r="GO5" t="e">
        <f>AND('Planilla_General_07-12-2012_8_3'!M72,"AAAAAD7/vsQ=")</f>
        <v>#VALUE!</v>
      </c>
      <c r="GP5" t="e">
        <f>AND('Planilla_General_07-12-2012_8_3'!N72,"AAAAAD7/vsU=")</f>
        <v>#VALUE!</v>
      </c>
      <c r="GQ5" t="e">
        <f>AND('Planilla_General_07-12-2012_8_3'!O72,"AAAAAD7/vsY=")</f>
        <v>#VALUE!</v>
      </c>
      <c r="GR5" t="e">
        <f>AND('Planilla_General_07-12-2012_8_3'!P72,"AAAAAD7/vsc=")</f>
        <v>#VALUE!</v>
      </c>
      <c r="GS5">
        <f>IF('Planilla_General_07-12-2012_8_3'!73:73,"AAAAAD7/vsg=",0)</f>
        <v>0</v>
      </c>
      <c r="GT5" t="e">
        <f>AND('Planilla_General_07-12-2012_8_3'!A73,"AAAAAD7/vsk=")</f>
        <v>#VALUE!</v>
      </c>
      <c r="GU5" t="e">
        <f>AND('Planilla_General_07-12-2012_8_3'!B73,"AAAAAD7/vso=")</f>
        <v>#VALUE!</v>
      </c>
      <c r="GV5" t="e">
        <f>AND('Planilla_General_07-12-2012_8_3'!C73,"AAAAAD7/vss=")</f>
        <v>#VALUE!</v>
      </c>
      <c r="GW5" t="e">
        <f>AND('Planilla_General_07-12-2012_8_3'!D73,"AAAAAD7/vsw=")</f>
        <v>#VALUE!</v>
      </c>
      <c r="GX5" t="e">
        <f>AND('Planilla_General_07-12-2012_8_3'!E73,"AAAAAD7/vs0=")</f>
        <v>#VALUE!</v>
      </c>
      <c r="GY5" t="e">
        <f>AND('Planilla_General_07-12-2012_8_3'!F73,"AAAAAD7/vs4=")</f>
        <v>#VALUE!</v>
      </c>
      <c r="GZ5" t="e">
        <f>AND('Planilla_General_07-12-2012_8_3'!G73,"AAAAAD7/vs8=")</f>
        <v>#VALUE!</v>
      </c>
      <c r="HA5" t="e">
        <f>AND('Planilla_General_07-12-2012_8_3'!H73,"AAAAAD7/vtA=")</f>
        <v>#VALUE!</v>
      </c>
      <c r="HB5" t="e">
        <f>AND('Planilla_General_07-12-2012_8_3'!I73,"AAAAAD7/vtE=")</f>
        <v>#VALUE!</v>
      </c>
      <c r="HC5" t="e">
        <f>AND('Planilla_General_07-12-2012_8_3'!J73,"AAAAAD7/vtI=")</f>
        <v>#VALUE!</v>
      </c>
      <c r="HD5" t="e">
        <f>AND('Planilla_General_07-12-2012_8_3'!K73,"AAAAAD7/vtM=")</f>
        <v>#VALUE!</v>
      </c>
      <c r="HE5" t="e">
        <f>AND('Planilla_General_07-12-2012_8_3'!L73,"AAAAAD7/vtQ=")</f>
        <v>#VALUE!</v>
      </c>
      <c r="HF5" t="e">
        <f>AND('Planilla_General_07-12-2012_8_3'!M73,"AAAAAD7/vtU=")</f>
        <v>#VALUE!</v>
      </c>
      <c r="HG5" t="e">
        <f>AND('Planilla_General_07-12-2012_8_3'!N73,"AAAAAD7/vtY=")</f>
        <v>#VALUE!</v>
      </c>
      <c r="HH5" t="e">
        <f>AND('Planilla_General_07-12-2012_8_3'!O73,"AAAAAD7/vtc=")</f>
        <v>#VALUE!</v>
      </c>
      <c r="HI5" t="e">
        <f>AND('Planilla_General_07-12-2012_8_3'!P73,"AAAAAD7/vtg=")</f>
        <v>#VALUE!</v>
      </c>
      <c r="HJ5">
        <f>IF('Planilla_General_07-12-2012_8_3'!74:74,"AAAAAD7/vtk=",0)</f>
        <v>0</v>
      </c>
      <c r="HK5" t="e">
        <f>AND('Planilla_General_07-12-2012_8_3'!A74,"AAAAAD7/vto=")</f>
        <v>#VALUE!</v>
      </c>
      <c r="HL5" t="e">
        <f>AND('Planilla_General_07-12-2012_8_3'!B74,"AAAAAD7/vts=")</f>
        <v>#VALUE!</v>
      </c>
      <c r="HM5" t="e">
        <f>AND('Planilla_General_07-12-2012_8_3'!C74,"AAAAAD7/vtw=")</f>
        <v>#VALUE!</v>
      </c>
      <c r="HN5" t="e">
        <f>AND('Planilla_General_07-12-2012_8_3'!D74,"AAAAAD7/vt0=")</f>
        <v>#VALUE!</v>
      </c>
      <c r="HO5" t="e">
        <f>AND('Planilla_General_07-12-2012_8_3'!E74,"AAAAAD7/vt4=")</f>
        <v>#VALUE!</v>
      </c>
      <c r="HP5" t="e">
        <f>AND('Planilla_General_07-12-2012_8_3'!F74,"AAAAAD7/vt8=")</f>
        <v>#VALUE!</v>
      </c>
      <c r="HQ5" t="e">
        <f>AND('Planilla_General_07-12-2012_8_3'!G74,"AAAAAD7/vuA=")</f>
        <v>#VALUE!</v>
      </c>
      <c r="HR5" t="e">
        <f>AND('Planilla_General_07-12-2012_8_3'!H74,"AAAAAD7/vuE=")</f>
        <v>#VALUE!</v>
      </c>
      <c r="HS5" t="e">
        <f>AND('Planilla_General_07-12-2012_8_3'!I74,"AAAAAD7/vuI=")</f>
        <v>#VALUE!</v>
      </c>
      <c r="HT5" t="e">
        <f>AND('Planilla_General_07-12-2012_8_3'!J74,"AAAAAD7/vuM=")</f>
        <v>#VALUE!</v>
      </c>
      <c r="HU5" t="e">
        <f>AND('Planilla_General_07-12-2012_8_3'!K74,"AAAAAD7/vuQ=")</f>
        <v>#VALUE!</v>
      </c>
      <c r="HV5" t="e">
        <f>AND('Planilla_General_07-12-2012_8_3'!L74,"AAAAAD7/vuU=")</f>
        <v>#VALUE!</v>
      </c>
      <c r="HW5" t="e">
        <f>AND('Planilla_General_07-12-2012_8_3'!M74,"AAAAAD7/vuY=")</f>
        <v>#VALUE!</v>
      </c>
      <c r="HX5" t="e">
        <f>AND('Planilla_General_07-12-2012_8_3'!N74,"AAAAAD7/vuc=")</f>
        <v>#VALUE!</v>
      </c>
      <c r="HY5" t="e">
        <f>AND('Planilla_General_07-12-2012_8_3'!O74,"AAAAAD7/vug=")</f>
        <v>#VALUE!</v>
      </c>
      <c r="HZ5" t="e">
        <f>AND('Planilla_General_07-12-2012_8_3'!P74,"AAAAAD7/vuk=")</f>
        <v>#VALUE!</v>
      </c>
      <c r="IA5">
        <f>IF('Planilla_General_07-12-2012_8_3'!75:75,"AAAAAD7/vuo=",0)</f>
        <v>0</v>
      </c>
      <c r="IB5" t="e">
        <f>AND('Planilla_General_07-12-2012_8_3'!A75,"AAAAAD7/vus=")</f>
        <v>#VALUE!</v>
      </c>
      <c r="IC5" t="e">
        <f>AND('Planilla_General_07-12-2012_8_3'!B75,"AAAAAD7/vuw=")</f>
        <v>#VALUE!</v>
      </c>
      <c r="ID5" t="e">
        <f>AND('Planilla_General_07-12-2012_8_3'!C75,"AAAAAD7/vu0=")</f>
        <v>#VALUE!</v>
      </c>
      <c r="IE5" t="e">
        <f>AND('Planilla_General_07-12-2012_8_3'!D75,"AAAAAD7/vu4=")</f>
        <v>#VALUE!</v>
      </c>
      <c r="IF5" t="e">
        <f>AND('Planilla_General_07-12-2012_8_3'!E75,"AAAAAD7/vu8=")</f>
        <v>#VALUE!</v>
      </c>
      <c r="IG5" t="e">
        <f>AND('Planilla_General_07-12-2012_8_3'!F75,"AAAAAD7/vvA=")</f>
        <v>#VALUE!</v>
      </c>
      <c r="IH5" t="e">
        <f>AND('Planilla_General_07-12-2012_8_3'!G75,"AAAAAD7/vvE=")</f>
        <v>#VALUE!</v>
      </c>
      <c r="II5" t="e">
        <f>AND('Planilla_General_07-12-2012_8_3'!H75,"AAAAAD7/vvI=")</f>
        <v>#VALUE!</v>
      </c>
      <c r="IJ5" t="e">
        <f>AND('Planilla_General_07-12-2012_8_3'!I75,"AAAAAD7/vvM=")</f>
        <v>#VALUE!</v>
      </c>
      <c r="IK5" t="e">
        <f>AND('Planilla_General_07-12-2012_8_3'!J75,"AAAAAD7/vvQ=")</f>
        <v>#VALUE!</v>
      </c>
      <c r="IL5" t="e">
        <f>AND('Planilla_General_07-12-2012_8_3'!K75,"AAAAAD7/vvU=")</f>
        <v>#VALUE!</v>
      </c>
      <c r="IM5" t="e">
        <f>AND('Planilla_General_07-12-2012_8_3'!L75,"AAAAAD7/vvY=")</f>
        <v>#VALUE!</v>
      </c>
      <c r="IN5" t="e">
        <f>AND('Planilla_General_07-12-2012_8_3'!M75,"AAAAAD7/vvc=")</f>
        <v>#VALUE!</v>
      </c>
      <c r="IO5" t="e">
        <f>AND('Planilla_General_07-12-2012_8_3'!N75,"AAAAAD7/vvg=")</f>
        <v>#VALUE!</v>
      </c>
      <c r="IP5" t="e">
        <f>AND('Planilla_General_07-12-2012_8_3'!O75,"AAAAAD7/vvk=")</f>
        <v>#VALUE!</v>
      </c>
      <c r="IQ5" t="e">
        <f>AND('Planilla_General_07-12-2012_8_3'!P75,"AAAAAD7/vvo=")</f>
        <v>#VALUE!</v>
      </c>
      <c r="IR5">
        <f>IF('Planilla_General_07-12-2012_8_3'!76:76,"AAAAAD7/vvs=",0)</f>
        <v>0</v>
      </c>
      <c r="IS5" t="e">
        <f>AND('Planilla_General_07-12-2012_8_3'!A76,"AAAAAD7/vvw=")</f>
        <v>#VALUE!</v>
      </c>
      <c r="IT5" t="e">
        <f>AND('Planilla_General_07-12-2012_8_3'!B76,"AAAAAD7/vv0=")</f>
        <v>#VALUE!</v>
      </c>
      <c r="IU5" t="e">
        <f>AND('Planilla_General_07-12-2012_8_3'!C76,"AAAAAD7/vv4=")</f>
        <v>#VALUE!</v>
      </c>
      <c r="IV5" t="e">
        <f>AND('Planilla_General_07-12-2012_8_3'!D76,"AAAAAD7/vv8=")</f>
        <v>#VALUE!</v>
      </c>
    </row>
    <row r="6" spans="1:256" x14ac:dyDescent="0.25">
      <c r="A6" t="e">
        <f>AND('Planilla_General_07-12-2012_8_3'!E76,"AAAAAB16swA=")</f>
        <v>#VALUE!</v>
      </c>
      <c r="B6" t="e">
        <f>AND('Planilla_General_07-12-2012_8_3'!F76,"AAAAAB16swE=")</f>
        <v>#VALUE!</v>
      </c>
      <c r="C6" t="e">
        <f>AND('Planilla_General_07-12-2012_8_3'!G76,"AAAAAB16swI=")</f>
        <v>#VALUE!</v>
      </c>
      <c r="D6" t="e">
        <f>AND('Planilla_General_07-12-2012_8_3'!H76,"AAAAAB16swM=")</f>
        <v>#VALUE!</v>
      </c>
      <c r="E6" t="e">
        <f>AND('Planilla_General_07-12-2012_8_3'!I76,"AAAAAB16swQ=")</f>
        <v>#VALUE!</v>
      </c>
      <c r="F6" t="e">
        <f>AND('Planilla_General_07-12-2012_8_3'!J76,"AAAAAB16swU=")</f>
        <v>#VALUE!</v>
      </c>
      <c r="G6" t="e">
        <f>AND('Planilla_General_07-12-2012_8_3'!K76,"AAAAAB16swY=")</f>
        <v>#VALUE!</v>
      </c>
      <c r="H6" t="e">
        <f>AND('Planilla_General_07-12-2012_8_3'!L76,"AAAAAB16swc=")</f>
        <v>#VALUE!</v>
      </c>
      <c r="I6" t="e">
        <f>AND('Planilla_General_07-12-2012_8_3'!M76,"AAAAAB16swg=")</f>
        <v>#VALUE!</v>
      </c>
      <c r="J6" t="e">
        <f>AND('Planilla_General_07-12-2012_8_3'!N76,"AAAAAB16swk=")</f>
        <v>#VALUE!</v>
      </c>
      <c r="K6" t="e">
        <f>AND('Planilla_General_07-12-2012_8_3'!O76,"AAAAAB16swo=")</f>
        <v>#VALUE!</v>
      </c>
      <c r="L6" t="e">
        <f>AND('Planilla_General_07-12-2012_8_3'!P76,"AAAAAB16sws=")</f>
        <v>#VALUE!</v>
      </c>
      <c r="M6" t="str">
        <f>IF('Planilla_General_07-12-2012_8_3'!77:77,"AAAAAB16sww=",0)</f>
        <v>AAAAAB16sww=</v>
      </c>
      <c r="N6" t="e">
        <f>AND('Planilla_General_07-12-2012_8_3'!A77,"AAAAAB16sw0=")</f>
        <v>#VALUE!</v>
      </c>
      <c r="O6" t="e">
        <f>AND('Planilla_General_07-12-2012_8_3'!B77,"AAAAAB16sw4=")</f>
        <v>#VALUE!</v>
      </c>
      <c r="P6" t="e">
        <f>AND('Planilla_General_07-12-2012_8_3'!C77,"AAAAAB16sw8=")</f>
        <v>#VALUE!</v>
      </c>
      <c r="Q6" t="e">
        <f>AND('Planilla_General_07-12-2012_8_3'!D77,"AAAAAB16sxA=")</f>
        <v>#VALUE!</v>
      </c>
      <c r="R6" t="e">
        <f>AND('Planilla_General_07-12-2012_8_3'!E77,"AAAAAB16sxE=")</f>
        <v>#VALUE!</v>
      </c>
      <c r="S6" t="e">
        <f>AND('Planilla_General_07-12-2012_8_3'!F77,"AAAAAB16sxI=")</f>
        <v>#VALUE!</v>
      </c>
      <c r="T6" t="e">
        <f>AND('Planilla_General_07-12-2012_8_3'!G77,"AAAAAB16sxM=")</f>
        <v>#VALUE!</v>
      </c>
      <c r="U6" t="e">
        <f>AND('Planilla_General_07-12-2012_8_3'!H77,"AAAAAB16sxQ=")</f>
        <v>#VALUE!</v>
      </c>
      <c r="V6" t="e">
        <f>AND('Planilla_General_07-12-2012_8_3'!I77,"AAAAAB16sxU=")</f>
        <v>#VALUE!</v>
      </c>
      <c r="W6" t="e">
        <f>AND('Planilla_General_07-12-2012_8_3'!J77,"AAAAAB16sxY=")</f>
        <v>#VALUE!</v>
      </c>
      <c r="X6" t="e">
        <f>AND('Planilla_General_07-12-2012_8_3'!K77,"AAAAAB16sxc=")</f>
        <v>#VALUE!</v>
      </c>
      <c r="Y6" t="e">
        <f>AND('Planilla_General_07-12-2012_8_3'!L77,"AAAAAB16sxg=")</f>
        <v>#VALUE!</v>
      </c>
      <c r="Z6" t="e">
        <f>AND('Planilla_General_07-12-2012_8_3'!M77,"AAAAAB16sxk=")</f>
        <v>#VALUE!</v>
      </c>
      <c r="AA6" t="e">
        <f>AND('Planilla_General_07-12-2012_8_3'!N77,"AAAAAB16sxo=")</f>
        <v>#VALUE!</v>
      </c>
      <c r="AB6" t="e">
        <f>AND('Planilla_General_07-12-2012_8_3'!O77,"AAAAAB16sxs=")</f>
        <v>#VALUE!</v>
      </c>
      <c r="AC6" t="e">
        <f>AND('Planilla_General_07-12-2012_8_3'!P77,"AAAAAB16sxw=")</f>
        <v>#VALUE!</v>
      </c>
      <c r="AD6">
        <f>IF('Planilla_General_07-12-2012_8_3'!78:78,"AAAAAB16sx0=",0)</f>
        <v>0</v>
      </c>
      <c r="AE6" t="e">
        <f>AND('Planilla_General_07-12-2012_8_3'!A78,"AAAAAB16sx4=")</f>
        <v>#VALUE!</v>
      </c>
      <c r="AF6" t="e">
        <f>AND('Planilla_General_07-12-2012_8_3'!B78,"AAAAAB16sx8=")</f>
        <v>#VALUE!</v>
      </c>
      <c r="AG6" t="e">
        <f>AND('Planilla_General_07-12-2012_8_3'!C78,"AAAAAB16syA=")</f>
        <v>#VALUE!</v>
      </c>
      <c r="AH6" t="e">
        <f>AND('Planilla_General_07-12-2012_8_3'!D78,"AAAAAB16syE=")</f>
        <v>#VALUE!</v>
      </c>
      <c r="AI6" t="e">
        <f>AND('Planilla_General_07-12-2012_8_3'!E78,"AAAAAB16syI=")</f>
        <v>#VALUE!</v>
      </c>
      <c r="AJ6" t="e">
        <f>AND('Planilla_General_07-12-2012_8_3'!F78,"AAAAAB16syM=")</f>
        <v>#VALUE!</v>
      </c>
      <c r="AK6" t="e">
        <f>AND('Planilla_General_07-12-2012_8_3'!G78,"AAAAAB16syQ=")</f>
        <v>#VALUE!</v>
      </c>
      <c r="AL6" t="e">
        <f>AND('Planilla_General_07-12-2012_8_3'!H78,"AAAAAB16syU=")</f>
        <v>#VALUE!</v>
      </c>
      <c r="AM6" t="e">
        <f>AND('Planilla_General_07-12-2012_8_3'!I78,"AAAAAB16syY=")</f>
        <v>#VALUE!</v>
      </c>
      <c r="AN6" t="e">
        <f>AND('Planilla_General_07-12-2012_8_3'!J78,"AAAAAB16syc=")</f>
        <v>#VALUE!</v>
      </c>
      <c r="AO6" t="e">
        <f>AND('Planilla_General_07-12-2012_8_3'!K78,"AAAAAB16syg=")</f>
        <v>#VALUE!</v>
      </c>
      <c r="AP6" t="e">
        <f>AND('Planilla_General_07-12-2012_8_3'!L78,"AAAAAB16syk=")</f>
        <v>#VALUE!</v>
      </c>
      <c r="AQ6" t="e">
        <f>AND('Planilla_General_07-12-2012_8_3'!M78,"AAAAAB16syo=")</f>
        <v>#VALUE!</v>
      </c>
      <c r="AR6" t="e">
        <f>AND('Planilla_General_07-12-2012_8_3'!N78,"AAAAAB16sys=")</f>
        <v>#VALUE!</v>
      </c>
      <c r="AS6" t="e">
        <f>AND('Planilla_General_07-12-2012_8_3'!O78,"AAAAAB16syw=")</f>
        <v>#VALUE!</v>
      </c>
      <c r="AT6" t="e">
        <f>AND('Planilla_General_07-12-2012_8_3'!P78,"AAAAAB16sy0=")</f>
        <v>#VALUE!</v>
      </c>
      <c r="AU6">
        <f>IF('Planilla_General_07-12-2012_8_3'!79:79,"AAAAAB16sy4=",0)</f>
        <v>0</v>
      </c>
      <c r="AV6" t="e">
        <f>AND('Planilla_General_07-12-2012_8_3'!A79,"AAAAAB16sy8=")</f>
        <v>#VALUE!</v>
      </c>
      <c r="AW6" t="e">
        <f>AND('Planilla_General_07-12-2012_8_3'!B79,"AAAAAB16szA=")</f>
        <v>#VALUE!</v>
      </c>
      <c r="AX6" t="e">
        <f>AND('Planilla_General_07-12-2012_8_3'!C79,"AAAAAB16szE=")</f>
        <v>#VALUE!</v>
      </c>
      <c r="AY6" t="e">
        <f>AND('Planilla_General_07-12-2012_8_3'!D79,"AAAAAB16szI=")</f>
        <v>#VALUE!</v>
      </c>
      <c r="AZ6" t="e">
        <f>AND('Planilla_General_07-12-2012_8_3'!E79,"AAAAAB16szM=")</f>
        <v>#VALUE!</v>
      </c>
      <c r="BA6" t="e">
        <f>AND('Planilla_General_07-12-2012_8_3'!F79,"AAAAAB16szQ=")</f>
        <v>#VALUE!</v>
      </c>
      <c r="BB6" t="e">
        <f>AND('Planilla_General_07-12-2012_8_3'!G79,"AAAAAB16szU=")</f>
        <v>#VALUE!</v>
      </c>
      <c r="BC6" t="e">
        <f>AND('Planilla_General_07-12-2012_8_3'!H79,"AAAAAB16szY=")</f>
        <v>#VALUE!</v>
      </c>
      <c r="BD6" t="e">
        <f>AND('Planilla_General_07-12-2012_8_3'!I79,"AAAAAB16szc=")</f>
        <v>#VALUE!</v>
      </c>
      <c r="BE6" t="e">
        <f>AND('Planilla_General_07-12-2012_8_3'!J79,"AAAAAB16szg=")</f>
        <v>#VALUE!</v>
      </c>
      <c r="BF6" t="e">
        <f>AND('Planilla_General_07-12-2012_8_3'!K79,"AAAAAB16szk=")</f>
        <v>#VALUE!</v>
      </c>
      <c r="BG6" t="e">
        <f>AND('Planilla_General_07-12-2012_8_3'!L79,"AAAAAB16szo=")</f>
        <v>#VALUE!</v>
      </c>
      <c r="BH6" t="e">
        <f>AND('Planilla_General_07-12-2012_8_3'!M79,"AAAAAB16szs=")</f>
        <v>#VALUE!</v>
      </c>
      <c r="BI6" t="e">
        <f>AND('Planilla_General_07-12-2012_8_3'!N79,"AAAAAB16szw=")</f>
        <v>#VALUE!</v>
      </c>
      <c r="BJ6" t="e">
        <f>AND('Planilla_General_07-12-2012_8_3'!O79,"AAAAAB16sz0=")</f>
        <v>#VALUE!</v>
      </c>
      <c r="BK6" t="e">
        <f>AND('Planilla_General_07-12-2012_8_3'!P79,"AAAAAB16sz4=")</f>
        <v>#VALUE!</v>
      </c>
      <c r="BL6">
        <f>IF('Planilla_General_07-12-2012_8_3'!80:80,"AAAAAB16sz8=",0)</f>
        <v>0</v>
      </c>
      <c r="BM6" t="e">
        <f>AND('Planilla_General_07-12-2012_8_3'!A80,"AAAAAB16s0A=")</f>
        <v>#VALUE!</v>
      </c>
      <c r="BN6" t="e">
        <f>AND('Planilla_General_07-12-2012_8_3'!B80,"AAAAAB16s0E=")</f>
        <v>#VALUE!</v>
      </c>
      <c r="BO6" t="e">
        <f>AND('Planilla_General_07-12-2012_8_3'!C80,"AAAAAB16s0I=")</f>
        <v>#VALUE!</v>
      </c>
      <c r="BP6" t="e">
        <f>AND('Planilla_General_07-12-2012_8_3'!D80,"AAAAAB16s0M=")</f>
        <v>#VALUE!</v>
      </c>
      <c r="BQ6" t="e">
        <f>AND('Planilla_General_07-12-2012_8_3'!E80,"AAAAAB16s0Q=")</f>
        <v>#VALUE!</v>
      </c>
      <c r="BR6" t="e">
        <f>AND('Planilla_General_07-12-2012_8_3'!F80,"AAAAAB16s0U=")</f>
        <v>#VALUE!</v>
      </c>
      <c r="BS6" t="e">
        <f>AND('Planilla_General_07-12-2012_8_3'!G80,"AAAAAB16s0Y=")</f>
        <v>#VALUE!</v>
      </c>
      <c r="BT6" t="e">
        <f>AND('Planilla_General_07-12-2012_8_3'!H80,"AAAAAB16s0c=")</f>
        <v>#VALUE!</v>
      </c>
      <c r="BU6" t="e">
        <f>AND('Planilla_General_07-12-2012_8_3'!I80,"AAAAAB16s0g=")</f>
        <v>#VALUE!</v>
      </c>
      <c r="BV6" t="e">
        <f>AND('Planilla_General_07-12-2012_8_3'!J80,"AAAAAB16s0k=")</f>
        <v>#VALUE!</v>
      </c>
      <c r="BW6" t="e">
        <f>AND('Planilla_General_07-12-2012_8_3'!K80,"AAAAAB16s0o=")</f>
        <v>#VALUE!</v>
      </c>
      <c r="BX6" t="e">
        <f>AND('Planilla_General_07-12-2012_8_3'!L80,"AAAAAB16s0s=")</f>
        <v>#VALUE!</v>
      </c>
      <c r="BY6" t="e">
        <f>AND('Planilla_General_07-12-2012_8_3'!M80,"AAAAAB16s0w=")</f>
        <v>#VALUE!</v>
      </c>
      <c r="BZ6" t="e">
        <f>AND('Planilla_General_07-12-2012_8_3'!N80,"AAAAAB16s00=")</f>
        <v>#VALUE!</v>
      </c>
      <c r="CA6" t="e">
        <f>AND('Planilla_General_07-12-2012_8_3'!O80,"AAAAAB16s04=")</f>
        <v>#VALUE!</v>
      </c>
      <c r="CB6" t="e">
        <f>AND('Planilla_General_07-12-2012_8_3'!P80,"AAAAAB16s08=")</f>
        <v>#VALUE!</v>
      </c>
      <c r="CC6">
        <f>IF('Planilla_General_07-12-2012_8_3'!81:81,"AAAAAB16s1A=",0)</f>
        <v>0</v>
      </c>
      <c r="CD6" t="e">
        <f>AND('Planilla_General_07-12-2012_8_3'!A81,"AAAAAB16s1E=")</f>
        <v>#VALUE!</v>
      </c>
      <c r="CE6" t="e">
        <f>AND('Planilla_General_07-12-2012_8_3'!B81,"AAAAAB16s1I=")</f>
        <v>#VALUE!</v>
      </c>
      <c r="CF6" t="e">
        <f>AND('Planilla_General_07-12-2012_8_3'!C81,"AAAAAB16s1M=")</f>
        <v>#VALUE!</v>
      </c>
      <c r="CG6" t="e">
        <f>AND('Planilla_General_07-12-2012_8_3'!D81,"AAAAAB16s1Q=")</f>
        <v>#VALUE!</v>
      </c>
      <c r="CH6" t="e">
        <f>AND('Planilla_General_07-12-2012_8_3'!E81,"AAAAAB16s1U=")</f>
        <v>#VALUE!</v>
      </c>
      <c r="CI6" t="e">
        <f>AND('Planilla_General_07-12-2012_8_3'!F81,"AAAAAB16s1Y=")</f>
        <v>#VALUE!</v>
      </c>
      <c r="CJ6" t="e">
        <f>AND('Planilla_General_07-12-2012_8_3'!G81,"AAAAAB16s1c=")</f>
        <v>#VALUE!</v>
      </c>
      <c r="CK6" t="e">
        <f>AND('Planilla_General_07-12-2012_8_3'!H81,"AAAAAB16s1g=")</f>
        <v>#VALUE!</v>
      </c>
      <c r="CL6" t="e">
        <f>AND('Planilla_General_07-12-2012_8_3'!I81,"AAAAAB16s1k=")</f>
        <v>#VALUE!</v>
      </c>
      <c r="CM6" t="e">
        <f>AND('Planilla_General_07-12-2012_8_3'!J81,"AAAAAB16s1o=")</f>
        <v>#VALUE!</v>
      </c>
      <c r="CN6" t="e">
        <f>AND('Planilla_General_07-12-2012_8_3'!K81,"AAAAAB16s1s=")</f>
        <v>#VALUE!</v>
      </c>
      <c r="CO6" t="e">
        <f>AND('Planilla_General_07-12-2012_8_3'!L81,"AAAAAB16s1w=")</f>
        <v>#VALUE!</v>
      </c>
      <c r="CP6" t="e">
        <f>AND('Planilla_General_07-12-2012_8_3'!M81,"AAAAAB16s10=")</f>
        <v>#VALUE!</v>
      </c>
      <c r="CQ6" t="e">
        <f>AND('Planilla_General_07-12-2012_8_3'!N81,"AAAAAB16s14=")</f>
        <v>#VALUE!</v>
      </c>
      <c r="CR6" t="e">
        <f>AND('Planilla_General_07-12-2012_8_3'!O81,"AAAAAB16s18=")</f>
        <v>#VALUE!</v>
      </c>
      <c r="CS6" t="e">
        <f>AND('Planilla_General_07-12-2012_8_3'!P81,"AAAAAB16s2A=")</f>
        <v>#VALUE!</v>
      </c>
      <c r="CT6">
        <f>IF('Planilla_General_07-12-2012_8_3'!82:82,"AAAAAB16s2E=",0)</f>
        <v>0</v>
      </c>
      <c r="CU6" t="e">
        <f>AND('Planilla_General_07-12-2012_8_3'!A82,"AAAAAB16s2I=")</f>
        <v>#VALUE!</v>
      </c>
      <c r="CV6" t="e">
        <f>AND('Planilla_General_07-12-2012_8_3'!B82,"AAAAAB16s2M=")</f>
        <v>#VALUE!</v>
      </c>
      <c r="CW6" t="e">
        <f>AND('Planilla_General_07-12-2012_8_3'!C82,"AAAAAB16s2Q=")</f>
        <v>#VALUE!</v>
      </c>
      <c r="CX6" t="e">
        <f>AND('Planilla_General_07-12-2012_8_3'!D82,"AAAAAB16s2U=")</f>
        <v>#VALUE!</v>
      </c>
      <c r="CY6" t="e">
        <f>AND('Planilla_General_07-12-2012_8_3'!E82,"AAAAAB16s2Y=")</f>
        <v>#VALUE!</v>
      </c>
      <c r="CZ6" t="e">
        <f>AND('Planilla_General_07-12-2012_8_3'!F82,"AAAAAB16s2c=")</f>
        <v>#VALUE!</v>
      </c>
      <c r="DA6" t="e">
        <f>AND('Planilla_General_07-12-2012_8_3'!G82,"AAAAAB16s2g=")</f>
        <v>#VALUE!</v>
      </c>
      <c r="DB6" t="e">
        <f>AND('Planilla_General_07-12-2012_8_3'!H82,"AAAAAB16s2k=")</f>
        <v>#VALUE!</v>
      </c>
      <c r="DC6" t="e">
        <f>AND('Planilla_General_07-12-2012_8_3'!I82,"AAAAAB16s2o=")</f>
        <v>#VALUE!</v>
      </c>
      <c r="DD6" t="e">
        <f>AND('Planilla_General_07-12-2012_8_3'!J82,"AAAAAB16s2s=")</f>
        <v>#VALUE!</v>
      </c>
      <c r="DE6" t="e">
        <f>AND('Planilla_General_07-12-2012_8_3'!K82,"AAAAAB16s2w=")</f>
        <v>#VALUE!</v>
      </c>
      <c r="DF6" t="e">
        <f>AND('Planilla_General_07-12-2012_8_3'!L82,"AAAAAB16s20=")</f>
        <v>#VALUE!</v>
      </c>
      <c r="DG6" t="e">
        <f>AND('Planilla_General_07-12-2012_8_3'!M82,"AAAAAB16s24=")</f>
        <v>#VALUE!</v>
      </c>
      <c r="DH6" t="e">
        <f>AND('Planilla_General_07-12-2012_8_3'!N82,"AAAAAB16s28=")</f>
        <v>#VALUE!</v>
      </c>
      <c r="DI6" t="e">
        <f>AND('Planilla_General_07-12-2012_8_3'!O82,"AAAAAB16s3A=")</f>
        <v>#VALUE!</v>
      </c>
      <c r="DJ6" t="e">
        <f>AND('Planilla_General_07-12-2012_8_3'!P82,"AAAAAB16s3E=")</f>
        <v>#VALUE!</v>
      </c>
      <c r="DK6">
        <f>IF('Planilla_General_07-12-2012_8_3'!83:83,"AAAAAB16s3I=",0)</f>
        <v>0</v>
      </c>
      <c r="DL6" t="e">
        <f>AND('Planilla_General_07-12-2012_8_3'!A83,"AAAAAB16s3M=")</f>
        <v>#VALUE!</v>
      </c>
      <c r="DM6" t="e">
        <f>AND('Planilla_General_07-12-2012_8_3'!B83,"AAAAAB16s3Q=")</f>
        <v>#VALUE!</v>
      </c>
      <c r="DN6" t="e">
        <f>AND('Planilla_General_07-12-2012_8_3'!C83,"AAAAAB16s3U=")</f>
        <v>#VALUE!</v>
      </c>
      <c r="DO6" t="e">
        <f>AND('Planilla_General_07-12-2012_8_3'!D83,"AAAAAB16s3Y=")</f>
        <v>#VALUE!</v>
      </c>
      <c r="DP6" t="e">
        <f>AND('Planilla_General_07-12-2012_8_3'!E83,"AAAAAB16s3c=")</f>
        <v>#VALUE!</v>
      </c>
      <c r="DQ6" t="e">
        <f>AND('Planilla_General_07-12-2012_8_3'!F83,"AAAAAB16s3g=")</f>
        <v>#VALUE!</v>
      </c>
      <c r="DR6" t="e">
        <f>AND('Planilla_General_07-12-2012_8_3'!G83,"AAAAAB16s3k=")</f>
        <v>#VALUE!</v>
      </c>
      <c r="DS6" t="e">
        <f>AND('Planilla_General_07-12-2012_8_3'!H83,"AAAAAB16s3o=")</f>
        <v>#VALUE!</v>
      </c>
      <c r="DT6" t="e">
        <f>AND('Planilla_General_07-12-2012_8_3'!I83,"AAAAAB16s3s=")</f>
        <v>#VALUE!</v>
      </c>
      <c r="DU6" t="e">
        <f>AND('Planilla_General_07-12-2012_8_3'!J83,"AAAAAB16s3w=")</f>
        <v>#VALUE!</v>
      </c>
      <c r="DV6" t="e">
        <f>AND('Planilla_General_07-12-2012_8_3'!K83,"AAAAAB16s30=")</f>
        <v>#VALUE!</v>
      </c>
      <c r="DW6" t="e">
        <f>AND('Planilla_General_07-12-2012_8_3'!L83,"AAAAAB16s34=")</f>
        <v>#VALUE!</v>
      </c>
      <c r="DX6" t="e">
        <f>AND('Planilla_General_07-12-2012_8_3'!M83,"AAAAAB16s38=")</f>
        <v>#VALUE!</v>
      </c>
      <c r="DY6" t="e">
        <f>AND('Planilla_General_07-12-2012_8_3'!N83,"AAAAAB16s4A=")</f>
        <v>#VALUE!</v>
      </c>
      <c r="DZ6" t="e">
        <f>AND('Planilla_General_07-12-2012_8_3'!O83,"AAAAAB16s4E=")</f>
        <v>#VALUE!</v>
      </c>
      <c r="EA6" t="e">
        <f>AND('Planilla_General_07-12-2012_8_3'!P83,"AAAAAB16s4I=")</f>
        <v>#VALUE!</v>
      </c>
      <c r="EB6">
        <f>IF('Planilla_General_07-12-2012_8_3'!84:84,"AAAAAB16s4M=",0)</f>
        <v>0</v>
      </c>
      <c r="EC6" t="e">
        <f>AND('Planilla_General_07-12-2012_8_3'!A84,"AAAAAB16s4Q=")</f>
        <v>#VALUE!</v>
      </c>
      <c r="ED6" t="e">
        <f>AND('Planilla_General_07-12-2012_8_3'!B84,"AAAAAB16s4U=")</f>
        <v>#VALUE!</v>
      </c>
      <c r="EE6" t="e">
        <f>AND('Planilla_General_07-12-2012_8_3'!C84,"AAAAAB16s4Y=")</f>
        <v>#VALUE!</v>
      </c>
      <c r="EF6" t="e">
        <f>AND('Planilla_General_07-12-2012_8_3'!D84,"AAAAAB16s4c=")</f>
        <v>#VALUE!</v>
      </c>
      <c r="EG6" t="e">
        <f>AND('Planilla_General_07-12-2012_8_3'!E84,"AAAAAB16s4g=")</f>
        <v>#VALUE!</v>
      </c>
      <c r="EH6" t="e">
        <f>AND('Planilla_General_07-12-2012_8_3'!F84,"AAAAAB16s4k=")</f>
        <v>#VALUE!</v>
      </c>
      <c r="EI6" t="e">
        <f>AND('Planilla_General_07-12-2012_8_3'!G84,"AAAAAB16s4o=")</f>
        <v>#VALUE!</v>
      </c>
      <c r="EJ6" t="e">
        <f>AND('Planilla_General_07-12-2012_8_3'!H84,"AAAAAB16s4s=")</f>
        <v>#VALUE!</v>
      </c>
      <c r="EK6" t="e">
        <f>AND('Planilla_General_07-12-2012_8_3'!I84,"AAAAAB16s4w=")</f>
        <v>#VALUE!</v>
      </c>
      <c r="EL6" t="e">
        <f>AND('Planilla_General_07-12-2012_8_3'!J84,"AAAAAB16s40=")</f>
        <v>#VALUE!</v>
      </c>
      <c r="EM6" t="e">
        <f>AND('Planilla_General_07-12-2012_8_3'!K84,"AAAAAB16s44=")</f>
        <v>#VALUE!</v>
      </c>
      <c r="EN6" t="e">
        <f>AND('Planilla_General_07-12-2012_8_3'!L84,"AAAAAB16s48=")</f>
        <v>#VALUE!</v>
      </c>
      <c r="EO6" t="e">
        <f>AND('Planilla_General_07-12-2012_8_3'!M84,"AAAAAB16s5A=")</f>
        <v>#VALUE!</v>
      </c>
      <c r="EP6" t="e">
        <f>AND('Planilla_General_07-12-2012_8_3'!N84,"AAAAAB16s5E=")</f>
        <v>#VALUE!</v>
      </c>
      <c r="EQ6" t="e">
        <f>AND('Planilla_General_07-12-2012_8_3'!O84,"AAAAAB16s5I=")</f>
        <v>#VALUE!</v>
      </c>
      <c r="ER6" t="e">
        <f>AND('Planilla_General_07-12-2012_8_3'!P84,"AAAAAB16s5M=")</f>
        <v>#VALUE!</v>
      </c>
      <c r="ES6">
        <f>IF('Planilla_General_07-12-2012_8_3'!85:85,"AAAAAB16s5Q=",0)</f>
        <v>0</v>
      </c>
      <c r="ET6" t="e">
        <f>AND('Planilla_General_07-12-2012_8_3'!A85,"AAAAAB16s5U=")</f>
        <v>#VALUE!</v>
      </c>
      <c r="EU6" t="e">
        <f>AND('Planilla_General_07-12-2012_8_3'!B85,"AAAAAB16s5Y=")</f>
        <v>#VALUE!</v>
      </c>
      <c r="EV6" t="e">
        <f>AND('Planilla_General_07-12-2012_8_3'!C85,"AAAAAB16s5c=")</f>
        <v>#VALUE!</v>
      </c>
      <c r="EW6" t="e">
        <f>AND('Planilla_General_07-12-2012_8_3'!D85,"AAAAAB16s5g=")</f>
        <v>#VALUE!</v>
      </c>
      <c r="EX6" t="e">
        <f>AND('Planilla_General_07-12-2012_8_3'!E85,"AAAAAB16s5k=")</f>
        <v>#VALUE!</v>
      </c>
      <c r="EY6" t="e">
        <f>AND('Planilla_General_07-12-2012_8_3'!F85,"AAAAAB16s5o=")</f>
        <v>#VALUE!</v>
      </c>
      <c r="EZ6" t="e">
        <f>AND('Planilla_General_07-12-2012_8_3'!G85,"AAAAAB16s5s=")</f>
        <v>#VALUE!</v>
      </c>
      <c r="FA6" t="e">
        <f>AND('Planilla_General_07-12-2012_8_3'!H85,"AAAAAB16s5w=")</f>
        <v>#VALUE!</v>
      </c>
      <c r="FB6" t="e">
        <f>AND('Planilla_General_07-12-2012_8_3'!I85,"AAAAAB16s50=")</f>
        <v>#VALUE!</v>
      </c>
      <c r="FC6" t="e">
        <f>AND('Planilla_General_07-12-2012_8_3'!J85,"AAAAAB16s54=")</f>
        <v>#VALUE!</v>
      </c>
      <c r="FD6" t="e">
        <f>AND('Planilla_General_07-12-2012_8_3'!K85,"AAAAAB16s58=")</f>
        <v>#VALUE!</v>
      </c>
      <c r="FE6" t="e">
        <f>AND('Planilla_General_07-12-2012_8_3'!L85,"AAAAAB16s6A=")</f>
        <v>#VALUE!</v>
      </c>
      <c r="FF6" t="e">
        <f>AND('Planilla_General_07-12-2012_8_3'!M85,"AAAAAB16s6E=")</f>
        <v>#VALUE!</v>
      </c>
      <c r="FG6" t="e">
        <f>AND('Planilla_General_07-12-2012_8_3'!N85,"AAAAAB16s6I=")</f>
        <v>#VALUE!</v>
      </c>
      <c r="FH6" t="e">
        <f>AND('Planilla_General_07-12-2012_8_3'!O85,"AAAAAB16s6M=")</f>
        <v>#VALUE!</v>
      </c>
      <c r="FI6" t="e">
        <f>AND('Planilla_General_07-12-2012_8_3'!P85,"AAAAAB16s6Q=")</f>
        <v>#VALUE!</v>
      </c>
      <c r="FJ6">
        <f>IF('Planilla_General_07-12-2012_8_3'!86:86,"AAAAAB16s6U=",0)</f>
        <v>0</v>
      </c>
      <c r="FK6" t="e">
        <f>AND('Planilla_General_07-12-2012_8_3'!A86,"AAAAAB16s6Y=")</f>
        <v>#VALUE!</v>
      </c>
      <c r="FL6" t="e">
        <f>AND('Planilla_General_07-12-2012_8_3'!B86,"AAAAAB16s6c=")</f>
        <v>#VALUE!</v>
      </c>
      <c r="FM6" t="e">
        <f>AND('Planilla_General_07-12-2012_8_3'!C86,"AAAAAB16s6g=")</f>
        <v>#VALUE!</v>
      </c>
      <c r="FN6" t="e">
        <f>AND('Planilla_General_07-12-2012_8_3'!D86,"AAAAAB16s6k=")</f>
        <v>#VALUE!</v>
      </c>
      <c r="FO6" t="e">
        <f>AND('Planilla_General_07-12-2012_8_3'!E86,"AAAAAB16s6o=")</f>
        <v>#VALUE!</v>
      </c>
      <c r="FP6" t="e">
        <f>AND('Planilla_General_07-12-2012_8_3'!F86,"AAAAAB16s6s=")</f>
        <v>#VALUE!</v>
      </c>
      <c r="FQ6" t="e">
        <f>AND('Planilla_General_07-12-2012_8_3'!G86,"AAAAAB16s6w=")</f>
        <v>#VALUE!</v>
      </c>
      <c r="FR6" t="e">
        <f>AND('Planilla_General_07-12-2012_8_3'!H86,"AAAAAB16s60=")</f>
        <v>#VALUE!</v>
      </c>
      <c r="FS6" t="e">
        <f>AND('Planilla_General_07-12-2012_8_3'!I86,"AAAAAB16s64=")</f>
        <v>#VALUE!</v>
      </c>
      <c r="FT6" t="e">
        <f>AND('Planilla_General_07-12-2012_8_3'!J86,"AAAAAB16s68=")</f>
        <v>#VALUE!</v>
      </c>
      <c r="FU6" t="e">
        <f>AND('Planilla_General_07-12-2012_8_3'!K86,"AAAAAB16s7A=")</f>
        <v>#VALUE!</v>
      </c>
      <c r="FV6" t="e">
        <f>AND('Planilla_General_07-12-2012_8_3'!L86,"AAAAAB16s7E=")</f>
        <v>#VALUE!</v>
      </c>
      <c r="FW6" t="e">
        <f>AND('Planilla_General_07-12-2012_8_3'!M86,"AAAAAB16s7I=")</f>
        <v>#VALUE!</v>
      </c>
      <c r="FX6" t="e">
        <f>AND('Planilla_General_07-12-2012_8_3'!N86,"AAAAAB16s7M=")</f>
        <v>#VALUE!</v>
      </c>
      <c r="FY6" t="e">
        <f>AND('Planilla_General_07-12-2012_8_3'!O86,"AAAAAB16s7Q=")</f>
        <v>#VALUE!</v>
      </c>
      <c r="FZ6" t="e">
        <f>AND('Planilla_General_07-12-2012_8_3'!P86,"AAAAAB16s7U=")</f>
        <v>#VALUE!</v>
      </c>
      <c r="GA6">
        <f>IF('Planilla_General_07-12-2012_8_3'!87:87,"AAAAAB16s7Y=",0)</f>
        <v>0</v>
      </c>
      <c r="GB6" t="e">
        <f>AND('Planilla_General_07-12-2012_8_3'!A87,"AAAAAB16s7c=")</f>
        <v>#VALUE!</v>
      </c>
      <c r="GC6" t="e">
        <f>AND('Planilla_General_07-12-2012_8_3'!B87,"AAAAAB16s7g=")</f>
        <v>#VALUE!</v>
      </c>
      <c r="GD6" t="e">
        <f>AND('Planilla_General_07-12-2012_8_3'!C87,"AAAAAB16s7k=")</f>
        <v>#VALUE!</v>
      </c>
      <c r="GE6" t="e">
        <f>AND('Planilla_General_07-12-2012_8_3'!D87,"AAAAAB16s7o=")</f>
        <v>#VALUE!</v>
      </c>
      <c r="GF6" t="e">
        <f>AND('Planilla_General_07-12-2012_8_3'!E87,"AAAAAB16s7s=")</f>
        <v>#VALUE!</v>
      </c>
      <c r="GG6" t="e">
        <f>AND('Planilla_General_07-12-2012_8_3'!F87,"AAAAAB16s7w=")</f>
        <v>#VALUE!</v>
      </c>
      <c r="GH6" t="e">
        <f>AND('Planilla_General_07-12-2012_8_3'!G87,"AAAAAB16s70=")</f>
        <v>#VALUE!</v>
      </c>
      <c r="GI6" t="e">
        <f>AND('Planilla_General_07-12-2012_8_3'!H87,"AAAAAB16s74=")</f>
        <v>#VALUE!</v>
      </c>
      <c r="GJ6" t="e">
        <f>AND('Planilla_General_07-12-2012_8_3'!I87,"AAAAAB16s78=")</f>
        <v>#VALUE!</v>
      </c>
      <c r="GK6" t="e">
        <f>AND('Planilla_General_07-12-2012_8_3'!J87,"AAAAAB16s8A=")</f>
        <v>#VALUE!</v>
      </c>
      <c r="GL6" t="e">
        <f>AND('Planilla_General_07-12-2012_8_3'!K87,"AAAAAB16s8E=")</f>
        <v>#VALUE!</v>
      </c>
      <c r="GM6" t="e">
        <f>AND('Planilla_General_07-12-2012_8_3'!L87,"AAAAAB16s8I=")</f>
        <v>#VALUE!</v>
      </c>
      <c r="GN6" t="e">
        <f>AND('Planilla_General_07-12-2012_8_3'!M87,"AAAAAB16s8M=")</f>
        <v>#VALUE!</v>
      </c>
      <c r="GO6" t="e">
        <f>AND('Planilla_General_07-12-2012_8_3'!N87,"AAAAAB16s8Q=")</f>
        <v>#VALUE!</v>
      </c>
      <c r="GP6" t="e">
        <f>AND('Planilla_General_07-12-2012_8_3'!O87,"AAAAAB16s8U=")</f>
        <v>#VALUE!</v>
      </c>
      <c r="GQ6" t="e">
        <f>AND('Planilla_General_07-12-2012_8_3'!P87,"AAAAAB16s8Y=")</f>
        <v>#VALUE!</v>
      </c>
      <c r="GR6">
        <f>IF('Planilla_General_07-12-2012_8_3'!88:88,"AAAAAB16s8c=",0)</f>
        <v>0</v>
      </c>
      <c r="GS6" t="e">
        <f>AND('Planilla_General_07-12-2012_8_3'!A88,"AAAAAB16s8g=")</f>
        <v>#VALUE!</v>
      </c>
      <c r="GT6" t="e">
        <f>AND('Planilla_General_07-12-2012_8_3'!B88,"AAAAAB16s8k=")</f>
        <v>#VALUE!</v>
      </c>
      <c r="GU6" t="e">
        <f>AND('Planilla_General_07-12-2012_8_3'!C88,"AAAAAB16s8o=")</f>
        <v>#VALUE!</v>
      </c>
      <c r="GV6" t="e">
        <f>AND('Planilla_General_07-12-2012_8_3'!D88,"AAAAAB16s8s=")</f>
        <v>#VALUE!</v>
      </c>
      <c r="GW6" t="e">
        <f>AND('Planilla_General_07-12-2012_8_3'!E88,"AAAAAB16s8w=")</f>
        <v>#VALUE!</v>
      </c>
      <c r="GX6" t="e">
        <f>AND('Planilla_General_07-12-2012_8_3'!F88,"AAAAAB16s80=")</f>
        <v>#VALUE!</v>
      </c>
      <c r="GY6" t="e">
        <f>AND('Planilla_General_07-12-2012_8_3'!G88,"AAAAAB16s84=")</f>
        <v>#VALUE!</v>
      </c>
      <c r="GZ6" t="e">
        <f>AND('Planilla_General_07-12-2012_8_3'!H88,"AAAAAB16s88=")</f>
        <v>#VALUE!</v>
      </c>
      <c r="HA6" t="e">
        <f>AND('Planilla_General_07-12-2012_8_3'!I88,"AAAAAB16s9A=")</f>
        <v>#VALUE!</v>
      </c>
      <c r="HB6" t="e">
        <f>AND('Planilla_General_07-12-2012_8_3'!J88,"AAAAAB16s9E=")</f>
        <v>#VALUE!</v>
      </c>
      <c r="HC6" t="e">
        <f>AND('Planilla_General_07-12-2012_8_3'!K88,"AAAAAB16s9I=")</f>
        <v>#VALUE!</v>
      </c>
      <c r="HD6" t="e">
        <f>AND('Planilla_General_07-12-2012_8_3'!L88,"AAAAAB16s9M=")</f>
        <v>#VALUE!</v>
      </c>
      <c r="HE6" t="e">
        <f>AND('Planilla_General_07-12-2012_8_3'!M88,"AAAAAB16s9Q=")</f>
        <v>#VALUE!</v>
      </c>
      <c r="HF6" t="e">
        <f>AND('Planilla_General_07-12-2012_8_3'!N88,"AAAAAB16s9U=")</f>
        <v>#VALUE!</v>
      </c>
      <c r="HG6" t="e">
        <f>AND('Planilla_General_07-12-2012_8_3'!O88,"AAAAAB16s9Y=")</f>
        <v>#VALUE!</v>
      </c>
      <c r="HH6" t="e">
        <f>AND('Planilla_General_07-12-2012_8_3'!P88,"AAAAAB16s9c=")</f>
        <v>#VALUE!</v>
      </c>
      <c r="HI6">
        <f>IF('Planilla_General_07-12-2012_8_3'!89:89,"AAAAAB16s9g=",0)</f>
        <v>0</v>
      </c>
      <c r="HJ6" t="e">
        <f>AND('Planilla_General_07-12-2012_8_3'!A89,"AAAAAB16s9k=")</f>
        <v>#VALUE!</v>
      </c>
      <c r="HK6" t="e">
        <f>AND('Planilla_General_07-12-2012_8_3'!B89,"AAAAAB16s9o=")</f>
        <v>#VALUE!</v>
      </c>
      <c r="HL6" t="e">
        <f>AND('Planilla_General_07-12-2012_8_3'!C89,"AAAAAB16s9s=")</f>
        <v>#VALUE!</v>
      </c>
      <c r="HM6" t="e">
        <f>AND('Planilla_General_07-12-2012_8_3'!D89,"AAAAAB16s9w=")</f>
        <v>#VALUE!</v>
      </c>
      <c r="HN6" t="e">
        <f>AND('Planilla_General_07-12-2012_8_3'!E89,"AAAAAB16s90=")</f>
        <v>#VALUE!</v>
      </c>
      <c r="HO6" t="e">
        <f>AND('Planilla_General_07-12-2012_8_3'!F89,"AAAAAB16s94=")</f>
        <v>#VALUE!</v>
      </c>
      <c r="HP6" t="e">
        <f>AND('Planilla_General_07-12-2012_8_3'!G89,"AAAAAB16s98=")</f>
        <v>#VALUE!</v>
      </c>
      <c r="HQ6" t="e">
        <f>AND('Planilla_General_07-12-2012_8_3'!H89,"AAAAAB16s+A=")</f>
        <v>#VALUE!</v>
      </c>
      <c r="HR6" t="e">
        <f>AND('Planilla_General_07-12-2012_8_3'!I89,"AAAAAB16s+E=")</f>
        <v>#VALUE!</v>
      </c>
      <c r="HS6" t="e">
        <f>AND('Planilla_General_07-12-2012_8_3'!J89,"AAAAAB16s+I=")</f>
        <v>#VALUE!</v>
      </c>
      <c r="HT6" t="e">
        <f>AND('Planilla_General_07-12-2012_8_3'!K89,"AAAAAB16s+M=")</f>
        <v>#VALUE!</v>
      </c>
      <c r="HU6" t="e">
        <f>AND('Planilla_General_07-12-2012_8_3'!L89,"AAAAAB16s+Q=")</f>
        <v>#VALUE!</v>
      </c>
      <c r="HV6" t="e">
        <f>AND('Planilla_General_07-12-2012_8_3'!M89,"AAAAAB16s+U=")</f>
        <v>#VALUE!</v>
      </c>
      <c r="HW6" t="e">
        <f>AND('Planilla_General_07-12-2012_8_3'!N89,"AAAAAB16s+Y=")</f>
        <v>#VALUE!</v>
      </c>
      <c r="HX6" t="e">
        <f>AND('Planilla_General_07-12-2012_8_3'!O89,"AAAAAB16s+c=")</f>
        <v>#VALUE!</v>
      </c>
      <c r="HY6" t="e">
        <f>AND('Planilla_General_07-12-2012_8_3'!P89,"AAAAAB16s+g=")</f>
        <v>#VALUE!</v>
      </c>
      <c r="HZ6">
        <f>IF('Planilla_General_07-12-2012_8_3'!90:90,"AAAAAB16s+k=",0)</f>
        <v>0</v>
      </c>
      <c r="IA6" t="e">
        <f>AND('Planilla_General_07-12-2012_8_3'!A90,"AAAAAB16s+o=")</f>
        <v>#VALUE!</v>
      </c>
      <c r="IB6" t="e">
        <f>AND('Planilla_General_07-12-2012_8_3'!B90,"AAAAAB16s+s=")</f>
        <v>#VALUE!</v>
      </c>
      <c r="IC6" t="e">
        <f>AND('Planilla_General_07-12-2012_8_3'!C90,"AAAAAB16s+w=")</f>
        <v>#VALUE!</v>
      </c>
      <c r="ID6" t="e">
        <f>AND('Planilla_General_07-12-2012_8_3'!D90,"AAAAAB16s+0=")</f>
        <v>#VALUE!</v>
      </c>
      <c r="IE6" t="e">
        <f>AND('Planilla_General_07-12-2012_8_3'!E90,"AAAAAB16s+4=")</f>
        <v>#VALUE!</v>
      </c>
      <c r="IF6" t="e">
        <f>AND('Planilla_General_07-12-2012_8_3'!F90,"AAAAAB16s+8=")</f>
        <v>#VALUE!</v>
      </c>
      <c r="IG6" t="e">
        <f>AND('Planilla_General_07-12-2012_8_3'!G90,"AAAAAB16s/A=")</f>
        <v>#VALUE!</v>
      </c>
      <c r="IH6" t="e">
        <f>AND('Planilla_General_07-12-2012_8_3'!H90,"AAAAAB16s/E=")</f>
        <v>#VALUE!</v>
      </c>
      <c r="II6" t="e">
        <f>AND('Planilla_General_07-12-2012_8_3'!I90,"AAAAAB16s/I=")</f>
        <v>#VALUE!</v>
      </c>
      <c r="IJ6" t="e">
        <f>AND('Planilla_General_07-12-2012_8_3'!J90,"AAAAAB16s/M=")</f>
        <v>#VALUE!</v>
      </c>
      <c r="IK6" t="e">
        <f>AND('Planilla_General_07-12-2012_8_3'!K90,"AAAAAB16s/Q=")</f>
        <v>#VALUE!</v>
      </c>
      <c r="IL6" t="e">
        <f>AND('Planilla_General_07-12-2012_8_3'!L90,"AAAAAB16s/U=")</f>
        <v>#VALUE!</v>
      </c>
      <c r="IM6" t="e">
        <f>AND('Planilla_General_07-12-2012_8_3'!M90,"AAAAAB16s/Y=")</f>
        <v>#VALUE!</v>
      </c>
      <c r="IN6" t="e">
        <f>AND('Planilla_General_07-12-2012_8_3'!N90,"AAAAAB16s/c=")</f>
        <v>#VALUE!</v>
      </c>
      <c r="IO6" t="e">
        <f>AND('Planilla_General_07-12-2012_8_3'!O90,"AAAAAB16s/g=")</f>
        <v>#VALUE!</v>
      </c>
      <c r="IP6" t="e">
        <f>AND('Planilla_General_07-12-2012_8_3'!P90,"AAAAAB16s/k=")</f>
        <v>#VALUE!</v>
      </c>
      <c r="IQ6">
        <f>IF('Planilla_General_07-12-2012_8_3'!91:91,"AAAAAB16s/o=",0)</f>
        <v>0</v>
      </c>
      <c r="IR6" t="e">
        <f>AND('Planilla_General_07-12-2012_8_3'!A91,"AAAAAB16s/s=")</f>
        <v>#VALUE!</v>
      </c>
      <c r="IS6" t="e">
        <f>AND('Planilla_General_07-12-2012_8_3'!B91,"AAAAAB16s/w=")</f>
        <v>#VALUE!</v>
      </c>
      <c r="IT6" t="e">
        <f>AND('Planilla_General_07-12-2012_8_3'!C91,"AAAAAB16s/0=")</f>
        <v>#VALUE!</v>
      </c>
      <c r="IU6" t="e">
        <f>AND('Planilla_General_07-12-2012_8_3'!D91,"AAAAAB16s/4=")</f>
        <v>#VALUE!</v>
      </c>
      <c r="IV6" t="e">
        <f>AND('Planilla_General_07-12-2012_8_3'!E91,"AAAAAB16s/8=")</f>
        <v>#VALUE!</v>
      </c>
    </row>
    <row r="7" spans="1:256" x14ac:dyDescent="0.25">
      <c r="A7" t="e">
        <f>AND('Planilla_General_07-12-2012_8_3'!F91,"AAAAAD/3/AA=")</f>
        <v>#VALUE!</v>
      </c>
      <c r="B7" t="e">
        <f>AND('Planilla_General_07-12-2012_8_3'!G91,"AAAAAD/3/AE=")</f>
        <v>#VALUE!</v>
      </c>
      <c r="C7" t="e">
        <f>AND('Planilla_General_07-12-2012_8_3'!H91,"AAAAAD/3/AI=")</f>
        <v>#VALUE!</v>
      </c>
      <c r="D7" t="e">
        <f>AND('Planilla_General_07-12-2012_8_3'!I91,"AAAAAD/3/AM=")</f>
        <v>#VALUE!</v>
      </c>
      <c r="E7" t="e">
        <f>AND('Planilla_General_07-12-2012_8_3'!J91,"AAAAAD/3/AQ=")</f>
        <v>#VALUE!</v>
      </c>
      <c r="F7" t="e">
        <f>AND('Planilla_General_07-12-2012_8_3'!K91,"AAAAAD/3/AU=")</f>
        <v>#VALUE!</v>
      </c>
      <c r="G7" t="e">
        <f>AND('Planilla_General_07-12-2012_8_3'!L91,"AAAAAD/3/AY=")</f>
        <v>#VALUE!</v>
      </c>
      <c r="H7" t="e">
        <f>AND('Planilla_General_07-12-2012_8_3'!M91,"AAAAAD/3/Ac=")</f>
        <v>#VALUE!</v>
      </c>
      <c r="I7" t="e">
        <f>AND('Planilla_General_07-12-2012_8_3'!N91,"AAAAAD/3/Ag=")</f>
        <v>#VALUE!</v>
      </c>
      <c r="J7" t="e">
        <f>AND('Planilla_General_07-12-2012_8_3'!O91,"AAAAAD/3/Ak=")</f>
        <v>#VALUE!</v>
      </c>
      <c r="K7" t="e">
        <f>AND('Planilla_General_07-12-2012_8_3'!P91,"AAAAAD/3/Ao=")</f>
        <v>#VALUE!</v>
      </c>
      <c r="L7" t="str">
        <f>IF('Planilla_General_07-12-2012_8_3'!92:92,"AAAAAD/3/As=",0)</f>
        <v>AAAAAD/3/As=</v>
      </c>
      <c r="M7" t="e">
        <f>AND('Planilla_General_07-12-2012_8_3'!A92,"AAAAAD/3/Aw=")</f>
        <v>#VALUE!</v>
      </c>
      <c r="N7" t="e">
        <f>AND('Planilla_General_07-12-2012_8_3'!B92,"AAAAAD/3/A0=")</f>
        <v>#VALUE!</v>
      </c>
      <c r="O7" t="e">
        <f>AND('Planilla_General_07-12-2012_8_3'!C92,"AAAAAD/3/A4=")</f>
        <v>#VALUE!</v>
      </c>
      <c r="P7" t="e">
        <f>AND('Planilla_General_07-12-2012_8_3'!D92,"AAAAAD/3/A8=")</f>
        <v>#VALUE!</v>
      </c>
      <c r="Q7" t="e">
        <f>AND('Planilla_General_07-12-2012_8_3'!E92,"AAAAAD/3/BA=")</f>
        <v>#VALUE!</v>
      </c>
      <c r="R7" t="e">
        <f>AND('Planilla_General_07-12-2012_8_3'!F92,"AAAAAD/3/BE=")</f>
        <v>#VALUE!</v>
      </c>
      <c r="S7" t="e">
        <f>AND('Planilla_General_07-12-2012_8_3'!G92,"AAAAAD/3/BI=")</f>
        <v>#VALUE!</v>
      </c>
      <c r="T7" t="e">
        <f>AND('Planilla_General_07-12-2012_8_3'!H92,"AAAAAD/3/BM=")</f>
        <v>#VALUE!</v>
      </c>
      <c r="U7" t="e">
        <f>AND('Planilla_General_07-12-2012_8_3'!I92,"AAAAAD/3/BQ=")</f>
        <v>#VALUE!</v>
      </c>
      <c r="V7" t="e">
        <f>AND('Planilla_General_07-12-2012_8_3'!J92,"AAAAAD/3/BU=")</f>
        <v>#VALUE!</v>
      </c>
      <c r="W7" t="e">
        <f>AND('Planilla_General_07-12-2012_8_3'!K92,"AAAAAD/3/BY=")</f>
        <v>#VALUE!</v>
      </c>
      <c r="X7" t="e">
        <f>AND('Planilla_General_07-12-2012_8_3'!L92,"AAAAAD/3/Bc=")</f>
        <v>#VALUE!</v>
      </c>
      <c r="Y7" t="e">
        <f>AND('Planilla_General_07-12-2012_8_3'!M92,"AAAAAD/3/Bg=")</f>
        <v>#VALUE!</v>
      </c>
      <c r="Z7" t="e">
        <f>AND('Planilla_General_07-12-2012_8_3'!N92,"AAAAAD/3/Bk=")</f>
        <v>#VALUE!</v>
      </c>
      <c r="AA7" t="e">
        <f>AND('Planilla_General_07-12-2012_8_3'!O92,"AAAAAD/3/Bo=")</f>
        <v>#VALUE!</v>
      </c>
      <c r="AB7" t="e">
        <f>AND('Planilla_General_07-12-2012_8_3'!P92,"AAAAAD/3/Bs=")</f>
        <v>#VALUE!</v>
      </c>
      <c r="AC7">
        <f>IF('Planilla_General_07-12-2012_8_3'!93:93,"AAAAAD/3/Bw=",0)</f>
        <v>0</v>
      </c>
      <c r="AD7" t="e">
        <f>AND('Planilla_General_07-12-2012_8_3'!A93,"AAAAAD/3/B0=")</f>
        <v>#VALUE!</v>
      </c>
      <c r="AE7" t="e">
        <f>AND('Planilla_General_07-12-2012_8_3'!B93,"AAAAAD/3/B4=")</f>
        <v>#VALUE!</v>
      </c>
      <c r="AF7" t="e">
        <f>AND('Planilla_General_07-12-2012_8_3'!C93,"AAAAAD/3/B8=")</f>
        <v>#VALUE!</v>
      </c>
      <c r="AG7" t="e">
        <f>AND('Planilla_General_07-12-2012_8_3'!D93,"AAAAAD/3/CA=")</f>
        <v>#VALUE!</v>
      </c>
      <c r="AH7" t="e">
        <f>AND('Planilla_General_07-12-2012_8_3'!E93,"AAAAAD/3/CE=")</f>
        <v>#VALUE!</v>
      </c>
      <c r="AI7" t="e">
        <f>AND('Planilla_General_07-12-2012_8_3'!F93,"AAAAAD/3/CI=")</f>
        <v>#VALUE!</v>
      </c>
      <c r="AJ7" t="e">
        <f>AND('Planilla_General_07-12-2012_8_3'!G93,"AAAAAD/3/CM=")</f>
        <v>#VALUE!</v>
      </c>
      <c r="AK7" t="e">
        <f>AND('Planilla_General_07-12-2012_8_3'!H93,"AAAAAD/3/CQ=")</f>
        <v>#VALUE!</v>
      </c>
      <c r="AL7" t="e">
        <f>AND('Planilla_General_07-12-2012_8_3'!I93,"AAAAAD/3/CU=")</f>
        <v>#VALUE!</v>
      </c>
      <c r="AM7" t="e">
        <f>AND('Planilla_General_07-12-2012_8_3'!J93,"AAAAAD/3/CY=")</f>
        <v>#VALUE!</v>
      </c>
      <c r="AN7" t="e">
        <f>AND('Planilla_General_07-12-2012_8_3'!K93,"AAAAAD/3/Cc=")</f>
        <v>#VALUE!</v>
      </c>
      <c r="AO7" t="e">
        <f>AND('Planilla_General_07-12-2012_8_3'!L93,"AAAAAD/3/Cg=")</f>
        <v>#VALUE!</v>
      </c>
      <c r="AP7" t="e">
        <f>AND('Planilla_General_07-12-2012_8_3'!M93,"AAAAAD/3/Ck=")</f>
        <v>#VALUE!</v>
      </c>
      <c r="AQ7" t="e">
        <f>AND('Planilla_General_07-12-2012_8_3'!N93,"AAAAAD/3/Co=")</f>
        <v>#VALUE!</v>
      </c>
      <c r="AR7" t="e">
        <f>AND('Planilla_General_07-12-2012_8_3'!O93,"AAAAAD/3/Cs=")</f>
        <v>#VALUE!</v>
      </c>
      <c r="AS7" t="e">
        <f>AND('Planilla_General_07-12-2012_8_3'!P93,"AAAAAD/3/Cw=")</f>
        <v>#VALUE!</v>
      </c>
      <c r="AT7">
        <f>IF('Planilla_General_07-12-2012_8_3'!94:94,"AAAAAD/3/C0=",0)</f>
        <v>0</v>
      </c>
      <c r="AU7" t="e">
        <f>AND('Planilla_General_07-12-2012_8_3'!A94,"AAAAAD/3/C4=")</f>
        <v>#VALUE!</v>
      </c>
      <c r="AV7" t="e">
        <f>AND('Planilla_General_07-12-2012_8_3'!B94,"AAAAAD/3/C8=")</f>
        <v>#VALUE!</v>
      </c>
      <c r="AW7" t="e">
        <f>AND('Planilla_General_07-12-2012_8_3'!C94,"AAAAAD/3/DA=")</f>
        <v>#VALUE!</v>
      </c>
      <c r="AX7" t="e">
        <f>AND('Planilla_General_07-12-2012_8_3'!D94,"AAAAAD/3/DE=")</f>
        <v>#VALUE!</v>
      </c>
      <c r="AY7" t="e">
        <f>AND('Planilla_General_07-12-2012_8_3'!E94,"AAAAAD/3/DI=")</f>
        <v>#VALUE!</v>
      </c>
      <c r="AZ7" t="e">
        <f>AND('Planilla_General_07-12-2012_8_3'!F94,"AAAAAD/3/DM=")</f>
        <v>#VALUE!</v>
      </c>
      <c r="BA7" t="e">
        <f>AND('Planilla_General_07-12-2012_8_3'!G94,"AAAAAD/3/DQ=")</f>
        <v>#VALUE!</v>
      </c>
      <c r="BB7" t="e">
        <f>AND('Planilla_General_07-12-2012_8_3'!H94,"AAAAAD/3/DU=")</f>
        <v>#VALUE!</v>
      </c>
      <c r="BC7" t="e">
        <f>AND('Planilla_General_07-12-2012_8_3'!I94,"AAAAAD/3/DY=")</f>
        <v>#VALUE!</v>
      </c>
      <c r="BD7" t="e">
        <f>AND('Planilla_General_07-12-2012_8_3'!J94,"AAAAAD/3/Dc=")</f>
        <v>#VALUE!</v>
      </c>
      <c r="BE7" t="e">
        <f>AND('Planilla_General_07-12-2012_8_3'!K94,"AAAAAD/3/Dg=")</f>
        <v>#VALUE!</v>
      </c>
      <c r="BF7" t="e">
        <f>AND('Planilla_General_07-12-2012_8_3'!L94,"AAAAAD/3/Dk=")</f>
        <v>#VALUE!</v>
      </c>
      <c r="BG7" t="e">
        <f>AND('Planilla_General_07-12-2012_8_3'!M94,"AAAAAD/3/Do=")</f>
        <v>#VALUE!</v>
      </c>
      <c r="BH7" t="e">
        <f>AND('Planilla_General_07-12-2012_8_3'!N94,"AAAAAD/3/Ds=")</f>
        <v>#VALUE!</v>
      </c>
      <c r="BI7" t="e">
        <f>AND('Planilla_General_07-12-2012_8_3'!O94,"AAAAAD/3/Dw=")</f>
        <v>#VALUE!</v>
      </c>
      <c r="BJ7" t="e">
        <f>AND('Planilla_General_07-12-2012_8_3'!P94,"AAAAAD/3/D0=")</f>
        <v>#VALUE!</v>
      </c>
      <c r="BK7">
        <f>IF('Planilla_General_07-12-2012_8_3'!95:95,"AAAAAD/3/D4=",0)</f>
        <v>0</v>
      </c>
      <c r="BL7" t="e">
        <f>AND('Planilla_General_07-12-2012_8_3'!A95,"AAAAAD/3/D8=")</f>
        <v>#VALUE!</v>
      </c>
      <c r="BM7" t="e">
        <f>AND('Planilla_General_07-12-2012_8_3'!B95,"AAAAAD/3/EA=")</f>
        <v>#VALUE!</v>
      </c>
      <c r="BN7" t="e">
        <f>AND('Planilla_General_07-12-2012_8_3'!C95,"AAAAAD/3/EE=")</f>
        <v>#VALUE!</v>
      </c>
      <c r="BO7" t="e">
        <f>AND('Planilla_General_07-12-2012_8_3'!D95,"AAAAAD/3/EI=")</f>
        <v>#VALUE!</v>
      </c>
      <c r="BP7" t="e">
        <f>AND('Planilla_General_07-12-2012_8_3'!E95,"AAAAAD/3/EM=")</f>
        <v>#VALUE!</v>
      </c>
      <c r="BQ7" t="e">
        <f>AND('Planilla_General_07-12-2012_8_3'!F95,"AAAAAD/3/EQ=")</f>
        <v>#VALUE!</v>
      </c>
      <c r="BR7" t="e">
        <f>AND('Planilla_General_07-12-2012_8_3'!G95,"AAAAAD/3/EU=")</f>
        <v>#VALUE!</v>
      </c>
      <c r="BS7" t="e">
        <f>AND('Planilla_General_07-12-2012_8_3'!H95,"AAAAAD/3/EY=")</f>
        <v>#VALUE!</v>
      </c>
      <c r="BT7" t="e">
        <f>AND('Planilla_General_07-12-2012_8_3'!I95,"AAAAAD/3/Ec=")</f>
        <v>#VALUE!</v>
      </c>
      <c r="BU7" t="e">
        <f>AND('Planilla_General_07-12-2012_8_3'!J95,"AAAAAD/3/Eg=")</f>
        <v>#VALUE!</v>
      </c>
      <c r="BV7" t="e">
        <f>AND('Planilla_General_07-12-2012_8_3'!K95,"AAAAAD/3/Ek=")</f>
        <v>#VALUE!</v>
      </c>
      <c r="BW7" t="e">
        <f>AND('Planilla_General_07-12-2012_8_3'!L95,"AAAAAD/3/Eo=")</f>
        <v>#VALUE!</v>
      </c>
      <c r="BX7" t="e">
        <f>AND('Planilla_General_07-12-2012_8_3'!M95,"AAAAAD/3/Es=")</f>
        <v>#VALUE!</v>
      </c>
      <c r="BY7" t="e">
        <f>AND('Planilla_General_07-12-2012_8_3'!N95,"AAAAAD/3/Ew=")</f>
        <v>#VALUE!</v>
      </c>
      <c r="BZ7" t="e">
        <f>AND('Planilla_General_07-12-2012_8_3'!O95,"AAAAAD/3/E0=")</f>
        <v>#VALUE!</v>
      </c>
      <c r="CA7" t="e">
        <f>AND('Planilla_General_07-12-2012_8_3'!P95,"AAAAAD/3/E4=")</f>
        <v>#VALUE!</v>
      </c>
      <c r="CB7">
        <f>IF('Planilla_General_07-12-2012_8_3'!96:96,"AAAAAD/3/E8=",0)</f>
        <v>0</v>
      </c>
      <c r="CC7" t="e">
        <f>AND('Planilla_General_07-12-2012_8_3'!A96,"AAAAAD/3/FA=")</f>
        <v>#VALUE!</v>
      </c>
      <c r="CD7" t="e">
        <f>AND('Planilla_General_07-12-2012_8_3'!B96,"AAAAAD/3/FE=")</f>
        <v>#VALUE!</v>
      </c>
      <c r="CE7" t="e">
        <f>AND('Planilla_General_07-12-2012_8_3'!C96,"AAAAAD/3/FI=")</f>
        <v>#VALUE!</v>
      </c>
      <c r="CF7" t="e">
        <f>AND('Planilla_General_07-12-2012_8_3'!D96,"AAAAAD/3/FM=")</f>
        <v>#VALUE!</v>
      </c>
      <c r="CG7" t="e">
        <f>AND('Planilla_General_07-12-2012_8_3'!E96,"AAAAAD/3/FQ=")</f>
        <v>#VALUE!</v>
      </c>
      <c r="CH7" t="e">
        <f>AND('Planilla_General_07-12-2012_8_3'!F96,"AAAAAD/3/FU=")</f>
        <v>#VALUE!</v>
      </c>
      <c r="CI7" t="e">
        <f>AND('Planilla_General_07-12-2012_8_3'!G96,"AAAAAD/3/FY=")</f>
        <v>#VALUE!</v>
      </c>
      <c r="CJ7" t="e">
        <f>AND('Planilla_General_07-12-2012_8_3'!H96,"AAAAAD/3/Fc=")</f>
        <v>#VALUE!</v>
      </c>
      <c r="CK7" t="e">
        <f>AND('Planilla_General_07-12-2012_8_3'!I96,"AAAAAD/3/Fg=")</f>
        <v>#VALUE!</v>
      </c>
      <c r="CL7" t="e">
        <f>AND('Planilla_General_07-12-2012_8_3'!J96,"AAAAAD/3/Fk=")</f>
        <v>#VALUE!</v>
      </c>
      <c r="CM7" t="e">
        <f>AND('Planilla_General_07-12-2012_8_3'!K96,"AAAAAD/3/Fo=")</f>
        <v>#VALUE!</v>
      </c>
      <c r="CN7" t="e">
        <f>AND('Planilla_General_07-12-2012_8_3'!L96,"AAAAAD/3/Fs=")</f>
        <v>#VALUE!</v>
      </c>
      <c r="CO7" t="e">
        <f>AND('Planilla_General_07-12-2012_8_3'!M96,"AAAAAD/3/Fw=")</f>
        <v>#VALUE!</v>
      </c>
      <c r="CP7" t="e">
        <f>AND('Planilla_General_07-12-2012_8_3'!N96,"AAAAAD/3/F0=")</f>
        <v>#VALUE!</v>
      </c>
      <c r="CQ7" t="e">
        <f>AND('Planilla_General_07-12-2012_8_3'!O96,"AAAAAD/3/F4=")</f>
        <v>#VALUE!</v>
      </c>
      <c r="CR7" t="e">
        <f>AND('Planilla_General_07-12-2012_8_3'!P96,"AAAAAD/3/F8=")</f>
        <v>#VALUE!</v>
      </c>
      <c r="CS7">
        <f>IF('Planilla_General_07-12-2012_8_3'!97:97,"AAAAAD/3/GA=",0)</f>
        <v>0</v>
      </c>
      <c r="CT7" t="e">
        <f>AND('Planilla_General_07-12-2012_8_3'!A97,"AAAAAD/3/GE=")</f>
        <v>#VALUE!</v>
      </c>
      <c r="CU7" t="e">
        <f>AND('Planilla_General_07-12-2012_8_3'!B97,"AAAAAD/3/GI=")</f>
        <v>#VALUE!</v>
      </c>
      <c r="CV7" t="e">
        <f>AND('Planilla_General_07-12-2012_8_3'!C97,"AAAAAD/3/GM=")</f>
        <v>#VALUE!</v>
      </c>
      <c r="CW7" t="e">
        <f>AND('Planilla_General_07-12-2012_8_3'!D97,"AAAAAD/3/GQ=")</f>
        <v>#VALUE!</v>
      </c>
      <c r="CX7" t="e">
        <f>AND('Planilla_General_07-12-2012_8_3'!E97,"AAAAAD/3/GU=")</f>
        <v>#VALUE!</v>
      </c>
      <c r="CY7" t="e">
        <f>AND('Planilla_General_07-12-2012_8_3'!F97,"AAAAAD/3/GY=")</f>
        <v>#VALUE!</v>
      </c>
      <c r="CZ7" t="e">
        <f>AND('Planilla_General_07-12-2012_8_3'!G97,"AAAAAD/3/Gc=")</f>
        <v>#VALUE!</v>
      </c>
      <c r="DA7" t="e">
        <f>AND('Planilla_General_07-12-2012_8_3'!H97,"AAAAAD/3/Gg=")</f>
        <v>#VALUE!</v>
      </c>
      <c r="DB7" t="e">
        <f>AND('Planilla_General_07-12-2012_8_3'!I97,"AAAAAD/3/Gk=")</f>
        <v>#VALUE!</v>
      </c>
      <c r="DC7" t="e">
        <f>AND('Planilla_General_07-12-2012_8_3'!J97,"AAAAAD/3/Go=")</f>
        <v>#VALUE!</v>
      </c>
      <c r="DD7" t="e">
        <f>AND('Planilla_General_07-12-2012_8_3'!K97,"AAAAAD/3/Gs=")</f>
        <v>#VALUE!</v>
      </c>
      <c r="DE7" t="e">
        <f>AND('Planilla_General_07-12-2012_8_3'!L97,"AAAAAD/3/Gw=")</f>
        <v>#VALUE!</v>
      </c>
      <c r="DF7" t="e">
        <f>AND('Planilla_General_07-12-2012_8_3'!M97,"AAAAAD/3/G0=")</f>
        <v>#VALUE!</v>
      </c>
      <c r="DG7" t="e">
        <f>AND('Planilla_General_07-12-2012_8_3'!N97,"AAAAAD/3/G4=")</f>
        <v>#VALUE!</v>
      </c>
      <c r="DH7" t="e">
        <f>AND('Planilla_General_07-12-2012_8_3'!O97,"AAAAAD/3/G8=")</f>
        <v>#VALUE!</v>
      </c>
      <c r="DI7" t="e">
        <f>AND('Planilla_General_07-12-2012_8_3'!P97,"AAAAAD/3/HA=")</f>
        <v>#VALUE!</v>
      </c>
      <c r="DJ7">
        <f>IF('Planilla_General_07-12-2012_8_3'!98:98,"AAAAAD/3/HE=",0)</f>
        <v>0</v>
      </c>
      <c r="DK7" t="e">
        <f>AND('Planilla_General_07-12-2012_8_3'!A98,"AAAAAD/3/HI=")</f>
        <v>#VALUE!</v>
      </c>
      <c r="DL7" t="e">
        <f>AND('Planilla_General_07-12-2012_8_3'!B98,"AAAAAD/3/HM=")</f>
        <v>#VALUE!</v>
      </c>
      <c r="DM7" t="e">
        <f>AND('Planilla_General_07-12-2012_8_3'!C98,"AAAAAD/3/HQ=")</f>
        <v>#VALUE!</v>
      </c>
      <c r="DN7" t="e">
        <f>AND('Planilla_General_07-12-2012_8_3'!D98,"AAAAAD/3/HU=")</f>
        <v>#VALUE!</v>
      </c>
      <c r="DO7" t="e">
        <f>AND('Planilla_General_07-12-2012_8_3'!E98,"AAAAAD/3/HY=")</f>
        <v>#VALUE!</v>
      </c>
      <c r="DP7" t="e">
        <f>AND('Planilla_General_07-12-2012_8_3'!F98,"AAAAAD/3/Hc=")</f>
        <v>#VALUE!</v>
      </c>
      <c r="DQ7" t="e">
        <f>AND('Planilla_General_07-12-2012_8_3'!G98,"AAAAAD/3/Hg=")</f>
        <v>#VALUE!</v>
      </c>
      <c r="DR7" t="e">
        <f>AND('Planilla_General_07-12-2012_8_3'!H98,"AAAAAD/3/Hk=")</f>
        <v>#VALUE!</v>
      </c>
      <c r="DS7" t="e">
        <f>AND('Planilla_General_07-12-2012_8_3'!I98,"AAAAAD/3/Ho=")</f>
        <v>#VALUE!</v>
      </c>
      <c r="DT7" t="e">
        <f>AND('Planilla_General_07-12-2012_8_3'!J98,"AAAAAD/3/Hs=")</f>
        <v>#VALUE!</v>
      </c>
      <c r="DU7" t="e">
        <f>AND('Planilla_General_07-12-2012_8_3'!K98,"AAAAAD/3/Hw=")</f>
        <v>#VALUE!</v>
      </c>
      <c r="DV7" t="e">
        <f>AND('Planilla_General_07-12-2012_8_3'!L98,"AAAAAD/3/H0=")</f>
        <v>#VALUE!</v>
      </c>
      <c r="DW7" t="e">
        <f>AND('Planilla_General_07-12-2012_8_3'!M98,"AAAAAD/3/H4=")</f>
        <v>#VALUE!</v>
      </c>
      <c r="DX7" t="e">
        <f>AND('Planilla_General_07-12-2012_8_3'!N98,"AAAAAD/3/H8=")</f>
        <v>#VALUE!</v>
      </c>
      <c r="DY7" t="e">
        <f>AND('Planilla_General_07-12-2012_8_3'!O98,"AAAAAD/3/IA=")</f>
        <v>#VALUE!</v>
      </c>
      <c r="DZ7" t="e">
        <f>AND('Planilla_General_07-12-2012_8_3'!P98,"AAAAAD/3/IE=")</f>
        <v>#VALUE!</v>
      </c>
      <c r="EA7">
        <f>IF('Planilla_General_07-12-2012_8_3'!99:99,"AAAAAD/3/II=",0)</f>
        <v>0</v>
      </c>
      <c r="EB7" t="e">
        <f>AND('Planilla_General_07-12-2012_8_3'!A99,"AAAAAD/3/IM=")</f>
        <v>#VALUE!</v>
      </c>
      <c r="EC7" t="e">
        <f>AND('Planilla_General_07-12-2012_8_3'!B99,"AAAAAD/3/IQ=")</f>
        <v>#VALUE!</v>
      </c>
      <c r="ED7" t="e">
        <f>AND('Planilla_General_07-12-2012_8_3'!C99,"AAAAAD/3/IU=")</f>
        <v>#VALUE!</v>
      </c>
      <c r="EE7" t="e">
        <f>AND('Planilla_General_07-12-2012_8_3'!D99,"AAAAAD/3/IY=")</f>
        <v>#VALUE!</v>
      </c>
      <c r="EF7" t="e">
        <f>AND('Planilla_General_07-12-2012_8_3'!E99,"AAAAAD/3/Ic=")</f>
        <v>#VALUE!</v>
      </c>
      <c r="EG7" t="e">
        <f>AND('Planilla_General_07-12-2012_8_3'!F99,"AAAAAD/3/Ig=")</f>
        <v>#VALUE!</v>
      </c>
      <c r="EH7" t="e">
        <f>AND('Planilla_General_07-12-2012_8_3'!G99,"AAAAAD/3/Ik=")</f>
        <v>#VALUE!</v>
      </c>
      <c r="EI7" t="e">
        <f>AND('Planilla_General_07-12-2012_8_3'!H99,"AAAAAD/3/Io=")</f>
        <v>#VALUE!</v>
      </c>
      <c r="EJ7" t="e">
        <f>AND('Planilla_General_07-12-2012_8_3'!I99,"AAAAAD/3/Is=")</f>
        <v>#VALUE!</v>
      </c>
      <c r="EK7" t="e">
        <f>AND('Planilla_General_07-12-2012_8_3'!J99,"AAAAAD/3/Iw=")</f>
        <v>#VALUE!</v>
      </c>
      <c r="EL7" t="e">
        <f>AND('Planilla_General_07-12-2012_8_3'!K99,"AAAAAD/3/I0=")</f>
        <v>#VALUE!</v>
      </c>
      <c r="EM7" t="e">
        <f>AND('Planilla_General_07-12-2012_8_3'!L99,"AAAAAD/3/I4=")</f>
        <v>#VALUE!</v>
      </c>
      <c r="EN7" t="e">
        <f>AND('Planilla_General_07-12-2012_8_3'!M99,"AAAAAD/3/I8=")</f>
        <v>#VALUE!</v>
      </c>
      <c r="EO7" t="e">
        <f>AND('Planilla_General_07-12-2012_8_3'!N99,"AAAAAD/3/JA=")</f>
        <v>#VALUE!</v>
      </c>
      <c r="EP7" t="e">
        <f>AND('Planilla_General_07-12-2012_8_3'!O99,"AAAAAD/3/JE=")</f>
        <v>#VALUE!</v>
      </c>
      <c r="EQ7" t="e">
        <f>AND('Planilla_General_07-12-2012_8_3'!P99,"AAAAAD/3/JI=")</f>
        <v>#VALUE!</v>
      </c>
      <c r="ER7">
        <f>IF('Planilla_General_07-12-2012_8_3'!100:100,"AAAAAD/3/JM=",0)</f>
        <v>0</v>
      </c>
      <c r="ES7" t="e">
        <f>AND('Planilla_General_07-12-2012_8_3'!A100,"AAAAAD/3/JQ=")</f>
        <v>#VALUE!</v>
      </c>
      <c r="ET7" t="e">
        <f>AND('Planilla_General_07-12-2012_8_3'!B100,"AAAAAD/3/JU=")</f>
        <v>#VALUE!</v>
      </c>
      <c r="EU7" t="e">
        <f>AND('Planilla_General_07-12-2012_8_3'!C100,"AAAAAD/3/JY=")</f>
        <v>#VALUE!</v>
      </c>
      <c r="EV7" t="e">
        <f>AND('Planilla_General_07-12-2012_8_3'!D100,"AAAAAD/3/Jc=")</f>
        <v>#VALUE!</v>
      </c>
      <c r="EW7" t="e">
        <f>AND('Planilla_General_07-12-2012_8_3'!E100,"AAAAAD/3/Jg=")</f>
        <v>#VALUE!</v>
      </c>
      <c r="EX7" t="e">
        <f>AND('Planilla_General_07-12-2012_8_3'!F100,"AAAAAD/3/Jk=")</f>
        <v>#VALUE!</v>
      </c>
      <c r="EY7" t="e">
        <f>AND('Planilla_General_07-12-2012_8_3'!G100,"AAAAAD/3/Jo=")</f>
        <v>#VALUE!</v>
      </c>
      <c r="EZ7" t="e">
        <f>AND('Planilla_General_07-12-2012_8_3'!H100,"AAAAAD/3/Js=")</f>
        <v>#VALUE!</v>
      </c>
      <c r="FA7" t="e">
        <f>AND('Planilla_General_07-12-2012_8_3'!I100,"AAAAAD/3/Jw=")</f>
        <v>#VALUE!</v>
      </c>
      <c r="FB7" t="e">
        <f>AND('Planilla_General_07-12-2012_8_3'!J100,"AAAAAD/3/J0=")</f>
        <v>#VALUE!</v>
      </c>
      <c r="FC7" t="e">
        <f>AND('Planilla_General_07-12-2012_8_3'!K100,"AAAAAD/3/J4=")</f>
        <v>#VALUE!</v>
      </c>
      <c r="FD7" t="e">
        <f>AND('Planilla_General_07-12-2012_8_3'!L100,"AAAAAD/3/J8=")</f>
        <v>#VALUE!</v>
      </c>
      <c r="FE7" t="e">
        <f>AND('Planilla_General_07-12-2012_8_3'!M100,"AAAAAD/3/KA=")</f>
        <v>#VALUE!</v>
      </c>
      <c r="FF7" t="e">
        <f>AND('Planilla_General_07-12-2012_8_3'!N100,"AAAAAD/3/KE=")</f>
        <v>#VALUE!</v>
      </c>
      <c r="FG7" t="e">
        <f>AND('Planilla_General_07-12-2012_8_3'!O100,"AAAAAD/3/KI=")</f>
        <v>#VALUE!</v>
      </c>
      <c r="FH7" t="e">
        <f>AND('Planilla_General_07-12-2012_8_3'!P100,"AAAAAD/3/KM=")</f>
        <v>#VALUE!</v>
      </c>
      <c r="FI7">
        <f>IF('Planilla_General_07-12-2012_8_3'!101:101,"AAAAAD/3/KQ=",0)</f>
        <v>0</v>
      </c>
      <c r="FJ7" t="e">
        <f>AND('Planilla_General_07-12-2012_8_3'!A101,"AAAAAD/3/KU=")</f>
        <v>#VALUE!</v>
      </c>
      <c r="FK7" t="e">
        <f>AND('Planilla_General_07-12-2012_8_3'!B101,"AAAAAD/3/KY=")</f>
        <v>#VALUE!</v>
      </c>
      <c r="FL7" t="e">
        <f>AND('Planilla_General_07-12-2012_8_3'!C101,"AAAAAD/3/Kc=")</f>
        <v>#VALUE!</v>
      </c>
      <c r="FM7" t="e">
        <f>AND('Planilla_General_07-12-2012_8_3'!D101,"AAAAAD/3/Kg=")</f>
        <v>#VALUE!</v>
      </c>
      <c r="FN7" t="e">
        <f>AND('Planilla_General_07-12-2012_8_3'!E101,"AAAAAD/3/Kk=")</f>
        <v>#VALUE!</v>
      </c>
      <c r="FO7" t="e">
        <f>AND('Planilla_General_07-12-2012_8_3'!F101,"AAAAAD/3/Ko=")</f>
        <v>#VALUE!</v>
      </c>
      <c r="FP7" t="e">
        <f>AND('Planilla_General_07-12-2012_8_3'!G101,"AAAAAD/3/Ks=")</f>
        <v>#VALUE!</v>
      </c>
      <c r="FQ7" t="e">
        <f>AND('Planilla_General_07-12-2012_8_3'!H101,"AAAAAD/3/Kw=")</f>
        <v>#VALUE!</v>
      </c>
      <c r="FR7" t="e">
        <f>AND('Planilla_General_07-12-2012_8_3'!I101,"AAAAAD/3/K0=")</f>
        <v>#VALUE!</v>
      </c>
      <c r="FS7" t="e">
        <f>AND('Planilla_General_07-12-2012_8_3'!J101,"AAAAAD/3/K4=")</f>
        <v>#VALUE!</v>
      </c>
      <c r="FT7" t="e">
        <f>AND('Planilla_General_07-12-2012_8_3'!K101,"AAAAAD/3/K8=")</f>
        <v>#VALUE!</v>
      </c>
      <c r="FU7" t="e">
        <f>AND('Planilla_General_07-12-2012_8_3'!L101,"AAAAAD/3/LA=")</f>
        <v>#VALUE!</v>
      </c>
      <c r="FV7" t="e">
        <f>AND('Planilla_General_07-12-2012_8_3'!M101,"AAAAAD/3/LE=")</f>
        <v>#VALUE!</v>
      </c>
      <c r="FW7" t="e">
        <f>AND('Planilla_General_07-12-2012_8_3'!N101,"AAAAAD/3/LI=")</f>
        <v>#VALUE!</v>
      </c>
      <c r="FX7" t="e">
        <f>AND('Planilla_General_07-12-2012_8_3'!O101,"AAAAAD/3/LM=")</f>
        <v>#VALUE!</v>
      </c>
      <c r="FY7" t="e">
        <f>AND('Planilla_General_07-12-2012_8_3'!P101,"AAAAAD/3/LQ=")</f>
        <v>#VALUE!</v>
      </c>
      <c r="FZ7">
        <f>IF('Planilla_General_07-12-2012_8_3'!102:102,"AAAAAD/3/LU=",0)</f>
        <v>0</v>
      </c>
      <c r="GA7" t="e">
        <f>AND('Planilla_General_07-12-2012_8_3'!A102,"AAAAAD/3/LY=")</f>
        <v>#VALUE!</v>
      </c>
      <c r="GB7" t="e">
        <f>AND('Planilla_General_07-12-2012_8_3'!B102,"AAAAAD/3/Lc=")</f>
        <v>#VALUE!</v>
      </c>
      <c r="GC7" t="e">
        <f>AND('Planilla_General_07-12-2012_8_3'!C102,"AAAAAD/3/Lg=")</f>
        <v>#VALUE!</v>
      </c>
      <c r="GD7" t="e">
        <f>AND('Planilla_General_07-12-2012_8_3'!D102,"AAAAAD/3/Lk=")</f>
        <v>#VALUE!</v>
      </c>
      <c r="GE7" t="e">
        <f>AND('Planilla_General_07-12-2012_8_3'!E102,"AAAAAD/3/Lo=")</f>
        <v>#VALUE!</v>
      </c>
      <c r="GF7" t="e">
        <f>AND('Planilla_General_07-12-2012_8_3'!F102,"AAAAAD/3/Ls=")</f>
        <v>#VALUE!</v>
      </c>
      <c r="GG7" t="e">
        <f>AND('Planilla_General_07-12-2012_8_3'!G102,"AAAAAD/3/Lw=")</f>
        <v>#VALUE!</v>
      </c>
      <c r="GH7" t="e">
        <f>AND('Planilla_General_07-12-2012_8_3'!H102,"AAAAAD/3/L0=")</f>
        <v>#VALUE!</v>
      </c>
      <c r="GI7" t="e">
        <f>AND('Planilla_General_07-12-2012_8_3'!I102,"AAAAAD/3/L4=")</f>
        <v>#VALUE!</v>
      </c>
      <c r="GJ7" t="e">
        <f>AND('Planilla_General_07-12-2012_8_3'!J102,"AAAAAD/3/L8=")</f>
        <v>#VALUE!</v>
      </c>
      <c r="GK7" t="e">
        <f>AND('Planilla_General_07-12-2012_8_3'!K102,"AAAAAD/3/MA=")</f>
        <v>#VALUE!</v>
      </c>
      <c r="GL7" t="e">
        <f>AND('Planilla_General_07-12-2012_8_3'!L102,"AAAAAD/3/ME=")</f>
        <v>#VALUE!</v>
      </c>
      <c r="GM7" t="e">
        <f>AND('Planilla_General_07-12-2012_8_3'!M102,"AAAAAD/3/MI=")</f>
        <v>#VALUE!</v>
      </c>
      <c r="GN7" t="e">
        <f>AND('Planilla_General_07-12-2012_8_3'!N102,"AAAAAD/3/MM=")</f>
        <v>#VALUE!</v>
      </c>
      <c r="GO7" t="e">
        <f>AND('Planilla_General_07-12-2012_8_3'!O102,"AAAAAD/3/MQ=")</f>
        <v>#VALUE!</v>
      </c>
      <c r="GP7" t="e">
        <f>AND('Planilla_General_07-12-2012_8_3'!P102,"AAAAAD/3/MU=")</f>
        <v>#VALUE!</v>
      </c>
      <c r="GQ7">
        <f>IF('Planilla_General_07-12-2012_8_3'!103:103,"AAAAAD/3/MY=",0)</f>
        <v>0</v>
      </c>
      <c r="GR7" t="e">
        <f>AND('Planilla_General_07-12-2012_8_3'!A103,"AAAAAD/3/Mc=")</f>
        <v>#VALUE!</v>
      </c>
      <c r="GS7" t="e">
        <f>AND('Planilla_General_07-12-2012_8_3'!B103,"AAAAAD/3/Mg=")</f>
        <v>#VALUE!</v>
      </c>
      <c r="GT7" t="e">
        <f>AND('Planilla_General_07-12-2012_8_3'!C103,"AAAAAD/3/Mk=")</f>
        <v>#VALUE!</v>
      </c>
      <c r="GU7" t="e">
        <f>AND('Planilla_General_07-12-2012_8_3'!D103,"AAAAAD/3/Mo=")</f>
        <v>#VALUE!</v>
      </c>
      <c r="GV7" t="e">
        <f>AND('Planilla_General_07-12-2012_8_3'!E103,"AAAAAD/3/Ms=")</f>
        <v>#VALUE!</v>
      </c>
      <c r="GW7" t="e">
        <f>AND('Planilla_General_07-12-2012_8_3'!F103,"AAAAAD/3/Mw=")</f>
        <v>#VALUE!</v>
      </c>
      <c r="GX7" t="e">
        <f>AND('Planilla_General_07-12-2012_8_3'!G103,"AAAAAD/3/M0=")</f>
        <v>#VALUE!</v>
      </c>
      <c r="GY7" t="e">
        <f>AND('Planilla_General_07-12-2012_8_3'!H103,"AAAAAD/3/M4=")</f>
        <v>#VALUE!</v>
      </c>
      <c r="GZ7" t="e">
        <f>AND('Planilla_General_07-12-2012_8_3'!I103,"AAAAAD/3/M8=")</f>
        <v>#VALUE!</v>
      </c>
      <c r="HA7" t="e">
        <f>AND('Planilla_General_07-12-2012_8_3'!J103,"AAAAAD/3/NA=")</f>
        <v>#VALUE!</v>
      </c>
      <c r="HB7" t="e">
        <f>AND('Planilla_General_07-12-2012_8_3'!K103,"AAAAAD/3/NE=")</f>
        <v>#VALUE!</v>
      </c>
      <c r="HC7" t="e">
        <f>AND('Planilla_General_07-12-2012_8_3'!L103,"AAAAAD/3/NI=")</f>
        <v>#VALUE!</v>
      </c>
      <c r="HD7" t="e">
        <f>AND('Planilla_General_07-12-2012_8_3'!M103,"AAAAAD/3/NM=")</f>
        <v>#VALUE!</v>
      </c>
      <c r="HE7" t="e">
        <f>AND('Planilla_General_07-12-2012_8_3'!N103,"AAAAAD/3/NQ=")</f>
        <v>#VALUE!</v>
      </c>
      <c r="HF7" t="e">
        <f>AND('Planilla_General_07-12-2012_8_3'!O103,"AAAAAD/3/NU=")</f>
        <v>#VALUE!</v>
      </c>
      <c r="HG7" t="e">
        <f>AND('Planilla_General_07-12-2012_8_3'!P103,"AAAAAD/3/NY=")</f>
        <v>#VALUE!</v>
      </c>
      <c r="HH7">
        <f>IF('Planilla_General_07-12-2012_8_3'!104:104,"AAAAAD/3/Nc=",0)</f>
        <v>0</v>
      </c>
      <c r="HI7" t="e">
        <f>AND('Planilla_General_07-12-2012_8_3'!A104,"AAAAAD/3/Ng=")</f>
        <v>#VALUE!</v>
      </c>
      <c r="HJ7" t="e">
        <f>AND('Planilla_General_07-12-2012_8_3'!B104,"AAAAAD/3/Nk=")</f>
        <v>#VALUE!</v>
      </c>
      <c r="HK7" t="e">
        <f>AND('Planilla_General_07-12-2012_8_3'!C104,"AAAAAD/3/No=")</f>
        <v>#VALUE!</v>
      </c>
      <c r="HL7" t="e">
        <f>AND('Planilla_General_07-12-2012_8_3'!D104,"AAAAAD/3/Ns=")</f>
        <v>#VALUE!</v>
      </c>
      <c r="HM7" t="e">
        <f>AND('Planilla_General_07-12-2012_8_3'!E104,"AAAAAD/3/Nw=")</f>
        <v>#VALUE!</v>
      </c>
      <c r="HN7" t="e">
        <f>AND('Planilla_General_07-12-2012_8_3'!F104,"AAAAAD/3/N0=")</f>
        <v>#VALUE!</v>
      </c>
      <c r="HO7" t="e">
        <f>AND('Planilla_General_07-12-2012_8_3'!G104,"AAAAAD/3/N4=")</f>
        <v>#VALUE!</v>
      </c>
      <c r="HP7" t="e">
        <f>AND('Planilla_General_07-12-2012_8_3'!H104,"AAAAAD/3/N8=")</f>
        <v>#VALUE!</v>
      </c>
      <c r="HQ7" t="e">
        <f>AND('Planilla_General_07-12-2012_8_3'!I104,"AAAAAD/3/OA=")</f>
        <v>#VALUE!</v>
      </c>
      <c r="HR7" t="e">
        <f>AND('Planilla_General_07-12-2012_8_3'!J104,"AAAAAD/3/OE=")</f>
        <v>#VALUE!</v>
      </c>
      <c r="HS7" t="e">
        <f>AND('Planilla_General_07-12-2012_8_3'!K104,"AAAAAD/3/OI=")</f>
        <v>#VALUE!</v>
      </c>
      <c r="HT7" t="e">
        <f>AND('Planilla_General_07-12-2012_8_3'!L104,"AAAAAD/3/OM=")</f>
        <v>#VALUE!</v>
      </c>
      <c r="HU7" t="e">
        <f>AND('Planilla_General_07-12-2012_8_3'!M104,"AAAAAD/3/OQ=")</f>
        <v>#VALUE!</v>
      </c>
      <c r="HV7" t="e">
        <f>AND('Planilla_General_07-12-2012_8_3'!N104,"AAAAAD/3/OU=")</f>
        <v>#VALUE!</v>
      </c>
      <c r="HW7" t="e">
        <f>AND('Planilla_General_07-12-2012_8_3'!O104,"AAAAAD/3/OY=")</f>
        <v>#VALUE!</v>
      </c>
      <c r="HX7" t="e">
        <f>AND('Planilla_General_07-12-2012_8_3'!P104,"AAAAAD/3/Oc=")</f>
        <v>#VALUE!</v>
      </c>
      <c r="HY7">
        <f>IF('Planilla_General_07-12-2012_8_3'!105:105,"AAAAAD/3/Og=",0)</f>
        <v>0</v>
      </c>
      <c r="HZ7" t="e">
        <f>AND('Planilla_General_07-12-2012_8_3'!A105,"AAAAAD/3/Ok=")</f>
        <v>#VALUE!</v>
      </c>
      <c r="IA7" t="e">
        <f>AND('Planilla_General_07-12-2012_8_3'!B105,"AAAAAD/3/Oo=")</f>
        <v>#VALUE!</v>
      </c>
      <c r="IB7" t="e">
        <f>AND('Planilla_General_07-12-2012_8_3'!C105,"AAAAAD/3/Os=")</f>
        <v>#VALUE!</v>
      </c>
      <c r="IC7" t="e">
        <f>AND('Planilla_General_07-12-2012_8_3'!D105,"AAAAAD/3/Ow=")</f>
        <v>#VALUE!</v>
      </c>
      <c r="ID7" t="e">
        <f>AND('Planilla_General_07-12-2012_8_3'!E105,"AAAAAD/3/O0=")</f>
        <v>#VALUE!</v>
      </c>
      <c r="IE7" t="e">
        <f>AND('Planilla_General_07-12-2012_8_3'!F105,"AAAAAD/3/O4=")</f>
        <v>#VALUE!</v>
      </c>
      <c r="IF7" t="e">
        <f>AND('Planilla_General_07-12-2012_8_3'!G105,"AAAAAD/3/O8=")</f>
        <v>#VALUE!</v>
      </c>
      <c r="IG7" t="e">
        <f>AND('Planilla_General_07-12-2012_8_3'!H105,"AAAAAD/3/PA=")</f>
        <v>#VALUE!</v>
      </c>
      <c r="IH7" t="e">
        <f>AND('Planilla_General_07-12-2012_8_3'!I105,"AAAAAD/3/PE=")</f>
        <v>#VALUE!</v>
      </c>
      <c r="II7" t="e">
        <f>AND('Planilla_General_07-12-2012_8_3'!J105,"AAAAAD/3/PI=")</f>
        <v>#VALUE!</v>
      </c>
      <c r="IJ7" t="e">
        <f>AND('Planilla_General_07-12-2012_8_3'!K105,"AAAAAD/3/PM=")</f>
        <v>#VALUE!</v>
      </c>
      <c r="IK7" t="e">
        <f>AND('Planilla_General_07-12-2012_8_3'!L105,"AAAAAD/3/PQ=")</f>
        <v>#VALUE!</v>
      </c>
      <c r="IL7" t="e">
        <f>AND('Planilla_General_07-12-2012_8_3'!M105,"AAAAAD/3/PU=")</f>
        <v>#VALUE!</v>
      </c>
      <c r="IM7" t="e">
        <f>AND('Planilla_General_07-12-2012_8_3'!N105,"AAAAAD/3/PY=")</f>
        <v>#VALUE!</v>
      </c>
      <c r="IN7" t="e">
        <f>AND('Planilla_General_07-12-2012_8_3'!O105,"AAAAAD/3/Pc=")</f>
        <v>#VALUE!</v>
      </c>
      <c r="IO7" t="e">
        <f>AND('Planilla_General_07-12-2012_8_3'!P105,"AAAAAD/3/Pg=")</f>
        <v>#VALUE!</v>
      </c>
      <c r="IP7">
        <f>IF('Planilla_General_07-12-2012_8_3'!106:106,"AAAAAD/3/Pk=",0)</f>
        <v>0</v>
      </c>
      <c r="IQ7" t="e">
        <f>AND('Planilla_General_07-12-2012_8_3'!A106,"AAAAAD/3/Po=")</f>
        <v>#VALUE!</v>
      </c>
      <c r="IR7" t="e">
        <f>AND('Planilla_General_07-12-2012_8_3'!B106,"AAAAAD/3/Ps=")</f>
        <v>#VALUE!</v>
      </c>
      <c r="IS7" t="e">
        <f>AND('Planilla_General_07-12-2012_8_3'!C106,"AAAAAD/3/Pw=")</f>
        <v>#VALUE!</v>
      </c>
      <c r="IT7" t="e">
        <f>AND('Planilla_General_07-12-2012_8_3'!D106,"AAAAAD/3/P0=")</f>
        <v>#VALUE!</v>
      </c>
      <c r="IU7" t="e">
        <f>AND('Planilla_General_07-12-2012_8_3'!E106,"AAAAAD/3/P4=")</f>
        <v>#VALUE!</v>
      </c>
      <c r="IV7" t="e">
        <f>AND('Planilla_General_07-12-2012_8_3'!F106,"AAAAAD/3/P8=")</f>
        <v>#VALUE!</v>
      </c>
    </row>
    <row r="8" spans="1:256" x14ac:dyDescent="0.25">
      <c r="A8" t="e">
        <f>AND('Planilla_General_07-12-2012_8_3'!G106,"AAAAAG/r6gA=")</f>
        <v>#VALUE!</v>
      </c>
      <c r="B8" t="e">
        <f>AND('Planilla_General_07-12-2012_8_3'!H106,"AAAAAG/r6gE=")</f>
        <v>#VALUE!</v>
      </c>
      <c r="C8" t="e">
        <f>AND('Planilla_General_07-12-2012_8_3'!I106,"AAAAAG/r6gI=")</f>
        <v>#VALUE!</v>
      </c>
      <c r="D8" t="e">
        <f>AND('Planilla_General_07-12-2012_8_3'!J106,"AAAAAG/r6gM=")</f>
        <v>#VALUE!</v>
      </c>
      <c r="E8" t="e">
        <f>AND('Planilla_General_07-12-2012_8_3'!K106,"AAAAAG/r6gQ=")</f>
        <v>#VALUE!</v>
      </c>
      <c r="F8" t="e">
        <f>AND('Planilla_General_07-12-2012_8_3'!L106,"AAAAAG/r6gU=")</f>
        <v>#VALUE!</v>
      </c>
      <c r="G8" t="e">
        <f>AND('Planilla_General_07-12-2012_8_3'!M106,"AAAAAG/r6gY=")</f>
        <v>#VALUE!</v>
      </c>
      <c r="H8" t="e">
        <f>AND('Planilla_General_07-12-2012_8_3'!N106,"AAAAAG/r6gc=")</f>
        <v>#VALUE!</v>
      </c>
      <c r="I8" t="e">
        <f>AND('Planilla_General_07-12-2012_8_3'!O106,"AAAAAG/r6gg=")</f>
        <v>#VALUE!</v>
      </c>
      <c r="J8" t="e">
        <f>AND('Planilla_General_07-12-2012_8_3'!P106,"AAAAAG/r6gk=")</f>
        <v>#VALUE!</v>
      </c>
      <c r="K8" t="str">
        <f>IF('Planilla_General_07-12-2012_8_3'!107:107,"AAAAAG/r6go=",0)</f>
        <v>AAAAAG/r6go=</v>
      </c>
      <c r="L8" t="e">
        <f>AND('Planilla_General_07-12-2012_8_3'!A107,"AAAAAG/r6gs=")</f>
        <v>#VALUE!</v>
      </c>
      <c r="M8" t="e">
        <f>AND('Planilla_General_07-12-2012_8_3'!B107,"AAAAAG/r6gw=")</f>
        <v>#VALUE!</v>
      </c>
      <c r="N8" t="e">
        <f>AND('Planilla_General_07-12-2012_8_3'!C107,"AAAAAG/r6g0=")</f>
        <v>#VALUE!</v>
      </c>
      <c r="O8" t="e">
        <f>AND('Planilla_General_07-12-2012_8_3'!D107,"AAAAAG/r6g4=")</f>
        <v>#VALUE!</v>
      </c>
      <c r="P8" t="e">
        <f>AND('Planilla_General_07-12-2012_8_3'!E107,"AAAAAG/r6g8=")</f>
        <v>#VALUE!</v>
      </c>
      <c r="Q8" t="e">
        <f>AND('Planilla_General_07-12-2012_8_3'!F107,"AAAAAG/r6hA=")</f>
        <v>#VALUE!</v>
      </c>
      <c r="R8" t="e">
        <f>AND('Planilla_General_07-12-2012_8_3'!G107,"AAAAAG/r6hE=")</f>
        <v>#VALUE!</v>
      </c>
      <c r="S8" t="e">
        <f>AND('Planilla_General_07-12-2012_8_3'!H107,"AAAAAG/r6hI=")</f>
        <v>#VALUE!</v>
      </c>
      <c r="T8" t="e">
        <f>AND('Planilla_General_07-12-2012_8_3'!I107,"AAAAAG/r6hM=")</f>
        <v>#VALUE!</v>
      </c>
      <c r="U8" t="e">
        <f>AND('Planilla_General_07-12-2012_8_3'!J107,"AAAAAG/r6hQ=")</f>
        <v>#VALUE!</v>
      </c>
      <c r="V8" t="e">
        <f>AND('Planilla_General_07-12-2012_8_3'!K107,"AAAAAG/r6hU=")</f>
        <v>#VALUE!</v>
      </c>
      <c r="W8" t="e">
        <f>AND('Planilla_General_07-12-2012_8_3'!L107,"AAAAAG/r6hY=")</f>
        <v>#VALUE!</v>
      </c>
      <c r="X8" t="e">
        <f>AND('Planilla_General_07-12-2012_8_3'!M107,"AAAAAG/r6hc=")</f>
        <v>#VALUE!</v>
      </c>
      <c r="Y8" t="e">
        <f>AND('Planilla_General_07-12-2012_8_3'!N107,"AAAAAG/r6hg=")</f>
        <v>#VALUE!</v>
      </c>
      <c r="Z8" t="e">
        <f>AND('Planilla_General_07-12-2012_8_3'!O107,"AAAAAG/r6hk=")</f>
        <v>#VALUE!</v>
      </c>
      <c r="AA8" t="e">
        <f>AND('Planilla_General_07-12-2012_8_3'!P107,"AAAAAG/r6ho=")</f>
        <v>#VALUE!</v>
      </c>
      <c r="AB8">
        <f>IF('Planilla_General_07-12-2012_8_3'!108:108,"AAAAAG/r6hs=",0)</f>
        <v>0</v>
      </c>
      <c r="AC8" t="e">
        <f>AND('Planilla_General_07-12-2012_8_3'!A108,"AAAAAG/r6hw=")</f>
        <v>#VALUE!</v>
      </c>
      <c r="AD8" t="e">
        <f>AND('Planilla_General_07-12-2012_8_3'!B108,"AAAAAG/r6h0=")</f>
        <v>#VALUE!</v>
      </c>
      <c r="AE8" t="e">
        <f>AND('Planilla_General_07-12-2012_8_3'!C108,"AAAAAG/r6h4=")</f>
        <v>#VALUE!</v>
      </c>
      <c r="AF8" t="e">
        <f>AND('Planilla_General_07-12-2012_8_3'!D108,"AAAAAG/r6h8=")</f>
        <v>#VALUE!</v>
      </c>
      <c r="AG8" t="e">
        <f>AND('Planilla_General_07-12-2012_8_3'!E108,"AAAAAG/r6iA=")</f>
        <v>#VALUE!</v>
      </c>
      <c r="AH8" t="e">
        <f>AND('Planilla_General_07-12-2012_8_3'!F108,"AAAAAG/r6iE=")</f>
        <v>#VALUE!</v>
      </c>
      <c r="AI8" t="e">
        <f>AND('Planilla_General_07-12-2012_8_3'!G108,"AAAAAG/r6iI=")</f>
        <v>#VALUE!</v>
      </c>
      <c r="AJ8" t="e">
        <f>AND('Planilla_General_07-12-2012_8_3'!H108,"AAAAAG/r6iM=")</f>
        <v>#VALUE!</v>
      </c>
      <c r="AK8" t="e">
        <f>AND('Planilla_General_07-12-2012_8_3'!I108,"AAAAAG/r6iQ=")</f>
        <v>#VALUE!</v>
      </c>
      <c r="AL8" t="e">
        <f>AND('Planilla_General_07-12-2012_8_3'!J108,"AAAAAG/r6iU=")</f>
        <v>#VALUE!</v>
      </c>
      <c r="AM8" t="e">
        <f>AND('Planilla_General_07-12-2012_8_3'!K108,"AAAAAG/r6iY=")</f>
        <v>#VALUE!</v>
      </c>
      <c r="AN8" t="e">
        <f>AND('Planilla_General_07-12-2012_8_3'!L108,"AAAAAG/r6ic=")</f>
        <v>#VALUE!</v>
      </c>
      <c r="AO8" t="e">
        <f>AND('Planilla_General_07-12-2012_8_3'!M108,"AAAAAG/r6ig=")</f>
        <v>#VALUE!</v>
      </c>
      <c r="AP8" t="e">
        <f>AND('Planilla_General_07-12-2012_8_3'!N108,"AAAAAG/r6ik=")</f>
        <v>#VALUE!</v>
      </c>
      <c r="AQ8" t="e">
        <f>AND('Planilla_General_07-12-2012_8_3'!O108,"AAAAAG/r6io=")</f>
        <v>#VALUE!</v>
      </c>
      <c r="AR8" t="e">
        <f>AND('Planilla_General_07-12-2012_8_3'!P108,"AAAAAG/r6is=")</f>
        <v>#VALUE!</v>
      </c>
      <c r="AS8">
        <f>IF('Planilla_General_07-12-2012_8_3'!109:109,"AAAAAG/r6iw=",0)</f>
        <v>0</v>
      </c>
      <c r="AT8" t="e">
        <f>AND('Planilla_General_07-12-2012_8_3'!A109,"AAAAAG/r6i0=")</f>
        <v>#VALUE!</v>
      </c>
      <c r="AU8" t="e">
        <f>AND('Planilla_General_07-12-2012_8_3'!B109,"AAAAAG/r6i4=")</f>
        <v>#VALUE!</v>
      </c>
      <c r="AV8" t="e">
        <f>AND('Planilla_General_07-12-2012_8_3'!C109,"AAAAAG/r6i8=")</f>
        <v>#VALUE!</v>
      </c>
      <c r="AW8" t="e">
        <f>AND('Planilla_General_07-12-2012_8_3'!D109,"AAAAAG/r6jA=")</f>
        <v>#VALUE!</v>
      </c>
      <c r="AX8" t="e">
        <f>AND('Planilla_General_07-12-2012_8_3'!E109,"AAAAAG/r6jE=")</f>
        <v>#VALUE!</v>
      </c>
      <c r="AY8" t="e">
        <f>AND('Planilla_General_07-12-2012_8_3'!F109,"AAAAAG/r6jI=")</f>
        <v>#VALUE!</v>
      </c>
      <c r="AZ8" t="e">
        <f>AND('Planilla_General_07-12-2012_8_3'!G109,"AAAAAG/r6jM=")</f>
        <v>#VALUE!</v>
      </c>
      <c r="BA8" t="e">
        <f>AND('Planilla_General_07-12-2012_8_3'!H109,"AAAAAG/r6jQ=")</f>
        <v>#VALUE!</v>
      </c>
      <c r="BB8" t="e">
        <f>AND('Planilla_General_07-12-2012_8_3'!I109,"AAAAAG/r6jU=")</f>
        <v>#VALUE!</v>
      </c>
      <c r="BC8" t="e">
        <f>AND('Planilla_General_07-12-2012_8_3'!J109,"AAAAAG/r6jY=")</f>
        <v>#VALUE!</v>
      </c>
      <c r="BD8" t="e">
        <f>AND('Planilla_General_07-12-2012_8_3'!K109,"AAAAAG/r6jc=")</f>
        <v>#VALUE!</v>
      </c>
      <c r="BE8" t="e">
        <f>AND('Planilla_General_07-12-2012_8_3'!L109,"AAAAAG/r6jg=")</f>
        <v>#VALUE!</v>
      </c>
      <c r="BF8" t="e">
        <f>AND('Planilla_General_07-12-2012_8_3'!M109,"AAAAAG/r6jk=")</f>
        <v>#VALUE!</v>
      </c>
      <c r="BG8" t="e">
        <f>AND('Planilla_General_07-12-2012_8_3'!N109,"AAAAAG/r6jo=")</f>
        <v>#VALUE!</v>
      </c>
      <c r="BH8" t="e">
        <f>AND('Planilla_General_07-12-2012_8_3'!O109,"AAAAAG/r6js=")</f>
        <v>#VALUE!</v>
      </c>
      <c r="BI8" t="e">
        <f>AND('Planilla_General_07-12-2012_8_3'!P109,"AAAAAG/r6jw=")</f>
        <v>#VALUE!</v>
      </c>
      <c r="BJ8">
        <f>IF('Planilla_General_07-12-2012_8_3'!110:110,"AAAAAG/r6j0=",0)</f>
        <v>0</v>
      </c>
      <c r="BK8" t="e">
        <f>AND('Planilla_General_07-12-2012_8_3'!A110,"AAAAAG/r6j4=")</f>
        <v>#VALUE!</v>
      </c>
      <c r="BL8" t="e">
        <f>AND('Planilla_General_07-12-2012_8_3'!B110,"AAAAAG/r6j8=")</f>
        <v>#VALUE!</v>
      </c>
      <c r="BM8" t="e">
        <f>AND('Planilla_General_07-12-2012_8_3'!C110,"AAAAAG/r6kA=")</f>
        <v>#VALUE!</v>
      </c>
      <c r="BN8" t="e">
        <f>AND('Planilla_General_07-12-2012_8_3'!D110,"AAAAAG/r6kE=")</f>
        <v>#VALUE!</v>
      </c>
      <c r="BO8" t="e">
        <f>AND('Planilla_General_07-12-2012_8_3'!E110,"AAAAAG/r6kI=")</f>
        <v>#VALUE!</v>
      </c>
      <c r="BP8" t="e">
        <f>AND('Planilla_General_07-12-2012_8_3'!F110,"AAAAAG/r6kM=")</f>
        <v>#VALUE!</v>
      </c>
      <c r="BQ8" t="e">
        <f>AND('Planilla_General_07-12-2012_8_3'!G110,"AAAAAG/r6kQ=")</f>
        <v>#VALUE!</v>
      </c>
      <c r="BR8" t="e">
        <f>AND('Planilla_General_07-12-2012_8_3'!H110,"AAAAAG/r6kU=")</f>
        <v>#VALUE!</v>
      </c>
      <c r="BS8" t="e">
        <f>AND('Planilla_General_07-12-2012_8_3'!I110,"AAAAAG/r6kY=")</f>
        <v>#VALUE!</v>
      </c>
      <c r="BT8" t="e">
        <f>AND('Planilla_General_07-12-2012_8_3'!J110,"AAAAAG/r6kc=")</f>
        <v>#VALUE!</v>
      </c>
      <c r="BU8" t="e">
        <f>AND('Planilla_General_07-12-2012_8_3'!K110,"AAAAAG/r6kg=")</f>
        <v>#VALUE!</v>
      </c>
      <c r="BV8" t="e">
        <f>AND('Planilla_General_07-12-2012_8_3'!L110,"AAAAAG/r6kk=")</f>
        <v>#VALUE!</v>
      </c>
      <c r="BW8" t="e">
        <f>AND('Planilla_General_07-12-2012_8_3'!M110,"AAAAAG/r6ko=")</f>
        <v>#VALUE!</v>
      </c>
      <c r="BX8" t="e">
        <f>AND('Planilla_General_07-12-2012_8_3'!N110,"AAAAAG/r6ks=")</f>
        <v>#VALUE!</v>
      </c>
      <c r="BY8" t="e">
        <f>AND('Planilla_General_07-12-2012_8_3'!O110,"AAAAAG/r6kw=")</f>
        <v>#VALUE!</v>
      </c>
      <c r="BZ8" t="e">
        <f>AND('Planilla_General_07-12-2012_8_3'!P110,"AAAAAG/r6k0=")</f>
        <v>#VALUE!</v>
      </c>
      <c r="CA8">
        <f>IF('Planilla_General_07-12-2012_8_3'!111:111,"AAAAAG/r6k4=",0)</f>
        <v>0</v>
      </c>
      <c r="CB8" t="e">
        <f>AND('Planilla_General_07-12-2012_8_3'!A111,"AAAAAG/r6k8=")</f>
        <v>#VALUE!</v>
      </c>
      <c r="CC8" t="e">
        <f>AND('Planilla_General_07-12-2012_8_3'!B111,"AAAAAG/r6lA=")</f>
        <v>#VALUE!</v>
      </c>
      <c r="CD8" t="e">
        <f>AND('Planilla_General_07-12-2012_8_3'!C111,"AAAAAG/r6lE=")</f>
        <v>#VALUE!</v>
      </c>
      <c r="CE8" t="e">
        <f>AND('Planilla_General_07-12-2012_8_3'!D111,"AAAAAG/r6lI=")</f>
        <v>#VALUE!</v>
      </c>
      <c r="CF8" t="e">
        <f>AND('Planilla_General_07-12-2012_8_3'!E111,"AAAAAG/r6lM=")</f>
        <v>#VALUE!</v>
      </c>
      <c r="CG8" t="e">
        <f>AND('Planilla_General_07-12-2012_8_3'!F111,"AAAAAG/r6lQ=")</f>
        <v>#VALUE!</v>
      </c>
      <c r="CH8" t="e">
        <f>AND('Planilla_General_07-12-2012_8_3'!G111,"AAAAAG/r6lU=")</f>
        <v>#VALUE!</v>
      </c>
      <c r="CI8" t="e">
        <f>AND('Planilla_General_07-12-2012_8_3'!H111,"AAAAAG/r6lY=")</f>
        <v>#VALUE!</v>
      </c>
      <c r="CJ8" t="e">
        <f>AND('Planilla_General_07-12-2012_8_3'!I111,"AAAAAG/r6lc=")</f>
        <v>#VALUE!</v>
      </c>
      <c r="CK8" t="e">
        <f>AND('Planilla_General_07-12-2012_8_3'!J111,"AAAAAG/r6lg=")</f>
        <v>#VALUE!</v>
      </c>
      <c r="CL8" t="e">
        <f>AND('Planilla_General_07-12-2012_8_3'!K111,"AAAAAG/r6lk=")</f>
        <v>#VALUE!</v>
      </c>
      <c r="CM8" t="e">
        <f>AND('Planilla_General_07-12-2012_8_3'!L111,"AAAAAG/r6lo=")</f>
        <v>#VALUE!</v>
      </c>
      <c r="CN8" t="e">
        <f>AND('Planilla_General_07-12-2012_8_3'!M111,"AAAAAG/r6ls=")</f>
        <v>#VALUE!</v>
      </c>
      <c r="CO8" t="e">
        <f>AND('Planilla_General_07-12-2012_8_3'!N111,"AAAAAG/r6lw=")</f>
        <v>#VALUE!</v>
      </c>
      <c r="CP8" t="e">
        <f>AND('Planilla_General_07-12-2012_8_3'!O111,"AAAAAG/r6l0=")</f>
        <v>#VALUE!</v>
      </c>
      <c r="CQ8" t="e">
        <f>AND('Planilla_General_07-12-2012_8_3'!P111,"AAAAAG/r6l4=")</f>
        <v>#VALUE!</v>
      </c>
      <c r="CR8">
        <f>IF('Planilla_General_07-12-2012_8_3'!112:112,"AAAAAG/r6l8=",0)</f>
        <v>0</v>
      </c>
      <c r="CS8" t="e">
        <f>AND('Planilla_General_07-12-2012_8_3'!A112,"AAAAAG/r6mA=")</f>
        <v>#VALUE!</v>
      </c>
      <c r="CT8" t="e">
        <f>AND('Planilla_General_07-12-2012_8_3'!B112,"AAAAAG/r6mE=")</f>
        <v>#VALUE!</v>
      </c>
      <c r="CU8" t="e">
        <f>AND('Planilla_General_07-12-2012_8_3'!C112,"AAAAAG/r6mI=")</f>
        <v>#VALUE!</v>
      </c>
      <c r="CV8" t="e">
        <f>AND('Planilla_General_07-12-2012_8_3'!D112,"AAAAAG/r6mM=")</f>
        <v>#VALUE!</v>
      </c>
      <c r="CW8" t="e">
        <f>AND('Planilla_General_07-12-2012_8_3'!E112,"AAAAAG/r6mQ=")</f>
        <v>#VALUE!</v>
      </c>
      <c r="CX8" t="e">
        <f>AND('Planilla_General_07-12-2012_8_3'!F112,"AAAAAG/r6mU=")</f>
        <v>#VALUE!</v>
      </c>
      <c r="CY8" t="e">
        <f>AND('Planilla_General_07-12-2012_8_3'!G112,"AAAAAG/r6mY=")</f>
        <v>#VALUE!</v>
      </c>
      <c r="CZ8" t="e">
        <f>AND('Planilla_General_07-12-2012_8_3'!H112,"AAAAAG/r6mc=")</f>
        <v>#VALUE!</v>
      </c>
      <c r="DA8" t="e">
        <f>AND('Planilla_General_07-12-2012_8_3'!I112,"AAAAAG/r6mg=")</f>
        <v>#VALUE!</v>
      </c>
      <c r="DB8" t="e">
        <f>AND('Planilla_General_07-12-2012_8_3'!J112,"AAAAAG/r6mk=")</f>
        <v>#VALUE!</v>
      </c>
      <c r="DC8" t="e">
        <f>AND('Planilla_General_07-12-2012_8_3'!K112,"AAAAAG/r6mo=")</f>
        <v>#VALUE!</v>
      </c>
      <c r="DD8" t="e">
        <f>AND('Planilla_General_07-12-2012_8_3'!L112,"AAAAAG/r6ms=")</f>
        <v>#VALUE!</v>
      </c>
      <c r="DE8" t="e">
        <f>AND('Planilla_General_07-12-2012_8_3'!M112,"AAAAAG/r6mw=")</f>
        <v>#VALUE!</v>
      </c>
      <c r="DF8" t="e">
        <f>AND('Planilla_General_07-12-2012_8_3'!N112,"AAAAAG/r6m0=")</f>
        <v>#VALUE!</v>
      </c>
      <c r="DG8" t="e">
        <f>AND('Planilla_General_07-12-2012_8_3'!O112,"AAAAAG/r6m4=")</f>
        <v>#VALUE!</v>
      </c>
      <c r="DH8" t="e">
        <f>AND('Planilla_General_07-12-2012_8_3'!P112,"AAAAAG/r6m8=")</f>
        <v>#VALUE!</v>
      </c>
      <c r="DI8">
        <f>IF('Planilla_General_07-12-2012_8_3'!113:113,"AAAAAG/r6nA=",0)</f>
        <v>0</v>
      </c>
      <c r="DJ8" t="e">
        <f>AND('Planilla_General_07-12-2012_8_3'!A113,"AAAAAG/r6nE=")</f>
        <v>#VALUE!</v>
      </c>
      <c r="DK8" t="e">
        <f>AND('Planilla_General_07-12-2012_8_3'!B113,"AAAAAG/r6nI=")</f>
        <v>#VALUE!</v>
      </c>
      <c r="DL8" t="e">
        <f>AND('Planilla_General_07-12-2012_8_3'!C113,"AAAAAG/r6nM=")</f>
        <v>#VALUE!</v>
      </c>
      <c r="DM8" t="e">
        <f>AND('Planilla_General_07-12-2012_8_3'!D113,"AAAAAG/r6nQ=")</f>
        <v>#VALUE!</v>
      </c>
      <c r="DN8" t="e">
        <f>AND('Planilla_General_07-12-2012_8_3'!E113,"AAAAAG/r6nU=")</f>
        <v>#VALUE!</v>
      </c>
      <c r="DO8" t="e">
        <f>AND('Planilla_General_07-12-2012_8_3'!F113,"AAAAAG/r6nY=")</f>
        <v>#VALUE!</v>
      </c>
      <c r="DP8" t="e">
        <f>AND('Planilla_General_07-12-2012_8_3'!G113,"AAAAAG/r6nc=")</f>
        <v>#VALUE!</v>
      </c>
      <c r="DQ8" t="e">
        <f>AND('Planilla_General_07-12-2012_8_3'!H113,"AAAAAG/r6ng=")</f>
        <v>#VALUE!</v>
      </c>
      <c r="DR8" t="e">
        <f>AND('Planilla_General_07-12-2012_8_3'!I113,"AAAAAG/r6nk=")</f>
        <v>#VALUE!</v>
      </c>
      <c r="DS8" t="e">
        <f>AND('Planilla_General_07-12-2012_8_3'!J113,"AAAAAG/r6no=")</f>
        <v>#VALUE!</v>
      </c>
      <c r="DT8" t="e">
        <f>AND('Planilla_General_07-12-2012_8_3'!K113,"AAAAAG/r6ns=")</f>
        <v>#VALUE!</v>
      </c>
      <c r="DU8" t="e">
        <f>AND('Planilla_General_07-12-2012_8_3'!L113,"AAAAAG/r6nw=")</f>
        <v>#VALUE!</v>
      </c>
      <c r="DV8" t="e">
        <f>AND('Planilla_General_07-12-2012_8_3'!M113,"AAAAAG/r6n0=")</f>
        <v>#VALUE!</v>
      </c>
      <c r="DW8" t="e">
        <f>AND('Planilla_General_07-12-2012_8_3'!N113,"AAAAAG/r6n4=")</f>
        <v>#VALUE!</v>
      </c>
      <c r="DX8" t="e">
        <f>AND('Planilla_General_07-12-2012_8_3'!O113,"AAAAAG/r6n8=")</f>
        <v>#VALUE!</v>
      </c>
      <c r="DY8" t="e">
        <f>AND('Planilla_General_07-12-2012_8_3'!P113,"AAAAAG/r6oA=")</f>
        <v>#VALUE!</v>
      </c>
      <c r="DZ8">
        <f>IF('Planilla_General_07-12-2012_8_3'!114:114,"AAAAAG/r6oE=",0)</f>
        <v>0</v>
      </c>
      <c r="EA8" t="e">
        <f>AND('Planilla_General_07-12-2012_8_3'!A114,"AAAAAG/r6oI=")</f>
        <v>#VALUE!</v>
      </c>
      <c r="EB8" t="e">
        <f>AND('Planilla_General_07-12-2012_8_3'!B114,"AAAAAG/r6oM=")</f>
        <v>#VALUE!</v>
      </c>
      <c r="EC8" t="e">
        <f>AND('Planilla_General_07-12-2012_8_3'!C114,"AAAAAG/r6oQ=")</f>
        <v>#VALUE!</v>
      </c>
      <c r="ED8" t="e">
        <f>AND('Planilla_General_07-12-2012_8_3'!D114,"AAAAAG/r6oU=")</f>
        <v>#VALUE!</v>
      </c>
      <c r="EE8" t="e">
        <f>AND('Planilla_General_07-12-2012_8_3'!E114,"AAAAAG/r6oY=")</f>
        <v>#VALUE!</v>
      </c>
      <c r="EF8" t="e">
        <f>AND('Planilla_General_07-12-2012_8_3'!F114,"AAAAAG/r6oc=")</f>
        <v>#VALUE!</v>
      </c>
      <c r="EG8" t="e">
        <f>AND('Planilla_General_07-12-2012_8_3'!G114,"AAAAAG/r6og=")</f>
        <v>#VALUE!</v>
      </c>
      <c r="EH8" t="e">
        <f>AND('Planilla_General_07-12-2012_8_3'!H114,"AAAAAG/r6ok=")</f>
        <v>#VALUE!</v>
      </c>
      <c r="EI8" t="e">
        <f>AND('Planilla_General_07-12-2012_8_3'!I114,"AAAAAG/r6oo=")</f>
        <v>#VALUE!</v>
      </c>
      <c r="EJ8" t="e">
        <f>AND('Planilla_General_07-12-2012_8_3'!J114,"AAAAAG/r6os=")</f>
        <v>#VALUE!</v>
      </c>
      <c r="EK8" t="e">
        <f>AND('Planilla_General_07-12-2012_8_3'!K114,"AAAAAG/r6ow=")</f>
        <v>#VALUE!</v>
      </c>
      <c r="EL8" t="e">
        <f>AND('Planilla_General_07-12-2012_8_3'!L114,"AAAAAG/r6o0=")</f>
        <v>#VALUE!</v>
      </c>
      <c r="EM8" t="e">
        <f>AND('Planilla_General_07-12-2012_8_3'!M114,"AAAAAG/r6o4=")</f>
        <v>#VALUE!</v>
      </c>
      <c r="EN8" t="e">
        <f>AND('Planilla_General_07-12-2012_8_3'!N114,"AAAAAG/r6o8=")</f>
        <v>#VALUE!</v>
      </c>
      <c r="EO8" t="e">
        <f>AND('Planilla_General_07-12-2012_8_3'!O114,"AAAAAG/r6pA=")</f>
        <v>#VALUE!</v>
      </c>
      <c r="EP8" t="e">
        <f>AND('Planilla_General_07-12-2012_8_3'!P114,"AAAAAG/r6pE=")</f>
        <v>#VALUE!</v>
      </c>
      <c r="EQ8">
        <f>IF('Planilla_General_07-12-2012_8_3'!115:115,"AAAAAG/r6pI=",0)</f>
        <v>0</v>
      </c>
      <c r="ER8" t="e">
        <f>AND('Planilla_General_07-12-2012_8_3'!A115,"AAAAAG/r6pM=")</f>
        <v>#VALUE!</v>
      </c>
      <c r="ES8" t="e">
        <f>AND('Planilla_General_07-12-2012_8_3'!B115,"AAAAAG/r6pQ=")</f>
        <v>#VALUE!</v>
      </c>
      <c r="ET8" t="e">
        <f>AND('Planilla_General_07-12-2012_8_3'!C115,"AAAAAG/r6pU=")</f>
        <v>#VALUE!</v>
      </c>
      <c r="EU8" t="e">
        <f>AND('Planilla_General_07-12-2012_8_3'!D115,"AAAAAG/r6pY=")</f>
        <v>#VALUE!</v>
      </c>
      <c r="EV8" t="e">
        <f>AND('Planilla_General_07-12-2012_8_3'!E115,"AAAAAG/r6pc=")</f>
        <v>#VALUE!</v>
      </c>
      <c r="EW8" t="e">
        <f>AND('Planilla_General_07-12-2012_8_3'!F115,"AAAAAG/r6pg=")</f>
        <v>#VALUE!</v>
      </c>
      <c r="EX8" t="e">
        <f>AND('Planilla_General_07-12-2012_8_3'!G115,"AAAAAG/r6pk=")</f>
        <v>#VALUE!</v>
      </c>
      <c r="EY8" t="e">
        <f>AND('Planilla_General_07-12-2012_8_3'!H115,"AAAAAG/r6po=")</f>
        <v>#VALUE!</v>
      </c>
      <c r="EZ8" t="e">
        <f>AND('Planilla_General_07-12-2012_8_3'!I115,"AAAAAG/r6ps=")</f>
        <v>#VALUE!</v>
      </c>
      <c r="FA8" t="e">
        <f>AND('Planilla_General_07-12-2012_8_3'!J115,"AAAAAG/r6pw=")</f>
        <v>#VALUE!</v>
      </c>
      <c r="FB8" t="e">
        <f>AND('Planilla_General_07-12-2012_8_3'!K115,"AAAAAG/r6p0=")</f>
        <v>#VALUE!</v>
      </c>
      <c r="FC8" t="e">
        <f>AND('Planilla_General_07-12-2012_8_3'!L115,"AAAAAG/r6p4=")</f>
        <v>#VALUE!</v>
      </c>
      <c r="FD8" t="e">
        <f>AND('Planilla_General_07-12-2012_8_3'!M115,"AAAAAG/r6p8=")</f>
        <v>#VALUE!</v>
      </c>
      <c r="FE8" t="e">
        <f>AND('Planilla_General_07-12-2012_8_3'!N115,"AAAAAG/r6qA=")</f>
        <v>#VALUE!</v>
      </c>
      <c r="FF8" t="e">
        <f>AND('Planilla_General_07-12-2012_8_3'!O115,"AAAAAG/r6qE=")</f>
        <v>#VALUE!</v>
      </c>
      <c r="FG8" t="e">
        <f>AND('Planilla_General_07-12-2012_8_3'!P115,"AAAAAG/r6qI=")</f>
        <v>#VALUE!</v>
      </c>
      <c r="FH8">
        <f>IF('Planilla_General_07-12-2012_8_3'!116:116,"AAAAAG/r6qM=",0)</f>
        <v>0</v>
      </c>
      <c r="FI8" t="e">
        <f>AND('Planilla_General_07-12-2012_8_3'!A116,"AAAAAG/r6qQ=")</f>
        <v>#VALUE!</v>
      </c>
      <c r="FJ8" t="e">
        <f>AND('Planilla_General_07-12-2012_8_3'!B116,"AAAAAG/r6qU=")</f>
        <v>#VALUE!</v>
      </c>
      <c r="FK8" t="e">
        <f>AND('Planilla_General_07-12-2012_8_3'!C116,"AAAAAG/r6qY=")</f>
        <v>#VALUE!</v>
      </c>
      <c r="FL8" t="e">
        <f>AND('Planilla_General_07-12-2012_8_3'!D116,"AAAAAG/r6qc=")</f>
        <v>#VALUE!</v>
      </c>
      <c r="FM8" t="e">
        <f>AND('Planilla_General_07-12-2012_8_3'!E116,"AAAAAG/r6qg=")</f>
        <v>#VALUE!</v>
      </c>
      <c r="FN8" t="e">
        <f>AND('Planilla_General_07-12-2012_8_3'!F116,"AAAAAG/r6qk=")</f>
        <v>#VALUE!</v>
      </c>
      <c r="FO8" t="e">
        <f>AND('Planilla_General_07-12-2012_8_3'!G116,"AAAAAG/r6qo=")</f>
        <v>#VALUE!</v>
      </c>
      <c r="FP8" t="e">
        <f>AND('Planilla_General_07-12-2012_8_3'!H116,"AAAAAG/r6qs=")</f>
        <v>#VALUE!</v>
      </c>
      <c r="FQ8" t="e">
        <f>AND('Planilla_General_07-12-2012_8_3'!I116,"AAAAAG/r6qw=")</f>
        <v>#VALUE!</v>
      </c>
      <c r="FR8" t="e">
        <f>AND('Planilla_General_07-12-2012_8_3'!J116,"AAAAAG/r6q0=")</f>
        <v>#VALUE!</v>
      </c>
      <c r="FS8" t="e">
        <f>AND('Planilla_General_07-12-2012_8_3'!K116,"AAAAAG/r6q4=")</f>
        <v>#VALUE!</v>
      </c>
      <c r="FT8" t="e">
        <f>AND('Planilla_General_07-12-2012_8_3'!L116,"AAAAAG/r6q8=")</f>
        <v>#VALUE!</v>
      </c>
      <c r="FU8" t="e">
        <f>AND('Planilla_General_07-12-2012_8_3'!M116,"AAAAAG/r6rA=")</f>
        <v>#VALUE!</v>
      </c>
      <c r="FV8" t="e">
        <f>AND('Planilla_General_07-12-2012_8_3'!N116,"AAAAAG/r6rE=")</f>
        <v>#VALUE!</v>
      </c>
      <c r="FW8" t="e">
        <f>AND('Planilla_General_07-12-2012_8_3'!O116,"AAAAAG/r6rI=")</f>
        <v>#VALUE!</v>
      </c>
      <c r="FX8" t="e">
        <f>AND('Planilla_General_07-12-2012_8_3'!P116,"AAAAAG/r6rM=")</f>
        <v>#VALUE!</v>
      </c>
      <c r="FY8">
        <f>IF('Planilla_General_07-12-2012_8_3'!117:117,"AAAAAG/r6rQ=",0)</f>
        <v>0</v>
      </c>
      <c r="FZ8" t="e">
        <f>AND('Planilla_General_07-12-2012_8_3'!A117,"AAAAAG/r6rU=")</f>
        <v>#VALUE!</v>
      </c>
      <c r="GA8" t="e">
        <f>AND('Planilla_General_07-12-2012_8_3'!B117,"AAAAAG/r6rY=")</f>
        <v>#VALUE!</v>
      </c>
      <c r="GB8" t="e">
        <f>AND('Planilla_General_07-12-2012_8_3'!C117,"AAAAAG/r6rc=")</f>
        <v>#VALUE!</v>
      </c>
      <c r="GC8" t="e">
        <f>AND('Planilla_General_07-12-2012_8_3'!D117,"AAAAAG/r6rg=")</f>
        <v>#VALUE!</v>
      </c>
      <c r="GD8" t="e">
        <f>AND('Planilla_General_07-12-2012_8_3'!E117,"AAAAAG/r6rk=")</f>
        <v>#VALUE!</v>
      </c>
      <c r="GE8" t="e">
        <f>AND('Planilla_General_07-12-2012_8_3'!F117,"AAAAAG/r6ro=")</f>
        <v>#VALUE!</v>
      </c>
      <c r="GF8" t="e">
        <f>AND('Planilla_General_07-12-2012_8_3'!G117,"AAAAAG/r6rs=")</f>
        <v>#VALUE!</v>
      </c>
      <c r="GG8" t="e">
        <f>AND('Planilla_General_07-12-2012_8_3'!H117,"AAAAAG/r6rw=")</f>
        <v>#VALUE!</v>
      </c>
      <c r="GH8" t="e">
        <f>AND('Planilla_General_07-12-2012_8_3'!I117,"AAAAAG/r6r0=")</f>
        <v>#VALUE!</v>
      </c>
      <c r="GI8" t="e">
        <f>AND('Planilla_General_07-12-2012_8_3'!J117,"AAAAAG/r6r4=")</f>
        <v>#VALUE!</v>
      </c>
      <c r="GJ8" t="e">
        <f>AND('Planilla_General_07-12-2012_8_3'!K117,"AAAAAG/r6r8=")</f>
        <v>#VALUE!</v>
      </c>
      <c r="GK8" t="e">
        <f>AND('Planilla_General_07-12-2012_8_3'!L117,"AAAAAG/r6sA=")</f>
        <v>#VALUE!</v>
      </c>
      <c r="GL8" t="e">
        <f>AND('Planilla_General_07-12-2012_8_3'!M117,"AAAAAG/r6sE=")</f>
        <v>#VALUE!</v>
      </c>
      <c r="GM8" t="e">
        <f>AND('Planilla_General_07-12-2012_8_3'!N117,"AAAAAG/r6sI=")</f>
        <v>#VALUE!</v>
      </c>
      <c r="GN8" t="e">
        <f>AND('Planilla_General_07-12-2012_8_3'!O117,"AAAAAG/r6sM=")</f>
        <v>#VALUE!</v>
      </c>
      <c r="GO8" t="e">
        <f>AND('Planilla_General_07-12-2012_8_3'!P117,"AAAAAG/r6sQ=")</f>
        <v>#VALUE!</v>
      </c>
      <c r="GP8">
        <f>IF('Planilla_General_07-12-2012_8_3'!118:118,"AAAAAG/r6sU=",0)</f>
        <v>0</v>
      </c>
      <c r="GQ8" t="e">
        <f>AND('Planilla_General_07-12-2012_8_3'!A118,"AAAAAG/r6sY=")</f>
        <v>#VALUE!</v>
      </c>
      <c r="GR8" t="e">
        <f>AND('Planilla_General_07-12-2012_8_3'!B118,"AAAAAG/r6sc=")</f>
        <v>#VALUE!</v>
      </c>
      <c r="GS8" t="e">
        <f>AND('Planilla_General_07-12-2012_8_3'!C118,"AAAAAG/r6sg=")</f>
        <v>#VALUE!</v>
      </c>
      <c r="GT8" t="e">
        <f>AND('Planilla_General_07-12-2012_8_3'!D118,"AAAAAG/r6sk=")</f>
        <v>#VALUE!</v>
      </c>
      <c r="GU8" t="e">
        <f>AND('Planilla_General_07-12-2012_8_3'!E118,"AAAAAG/r6so=")</f>
        <v>#VALUE!</v>
      </c>
      <c r="GV8" t="e">
        <f>AND('Planilla_General_07-12-2012_8_3'!F118,"AAAAAG/r6ss=")</f>
        <v>#VALUE!</v>
      </c>
      <c r="GW8" t="e">
        <f>AND('Planilla_General_07-12-2012_8_3'!G118,"AAAAAG/r6sw=")</f>
        <v>#VALUE!</v>
      </c>
      <c r="GX8" t="e">
        <f>AND('Planilla_General_07-12-2012_8_3'!H118,"AAAAAG/r6s0=")</f>
        <v>#VALUE!</v>
      </c>
      <c r="GY8" t="e">
        <f>AND('Planilla_General_07-12-2012_8_3'!I118,"AAAAAG/r6s4=")</f>
        <v>#VALUE!</v>
      </c>
      <c r="GZ8" t="e">
        <f>AND('Planilla_General_07-12-2012_8_3'!J118,"AAAAAG/r6s8=")</f>
        <v>#VALUE!</v>
      </c>
      <c r="HA8" t="e">
        <f>AND('Planilla_General_07-12-2012_8_3'!K118,"AAAAAG/r6tA=")</f>
        <v>#VALUE!</v>
      </c>
      <c r="HB8" t="e">
        <f>AND('Planilla_General_07-12-2012_8_3'!L118,"AAAAAG/r6tE=")</f>
        <v>#VALUE!</v>
      </c>
      <c r="HC8" t="e">
        <f>AND('Planilla_General_07-12-2012_8_3'!M118,"AAAAAG/r6tI=")</f>
        <v>#VALUE!</v>
      </c>
      <c r="HD8" t="e">
        <f>AND('Planilla_General_07-12-2012_8_3'!N118,"AAAAAG/r6tM=")</f>
        <v>#VALUE!</v>
      </c>
      <c r="HE8" t="e">
        <f>AND('Planilla_General_07-12-2012_8_3'!O118,"AAAAAG/r6tQ=")</f>
        <v>#VALUE!</v>
      </c>
      <c r="HF8" t="e">
        <f>AND('Planilla_General_07-12-2012_8_3'!P118,"AAAAAG/r6tU=")</f>
        <v>#VALUE!</v>
      </c>
      <c r="HG8">
        <f>IF('Planilla_General_07-12-2012_8_3'!119:119,"AAAAAG/r6tY=",0)</f>
        <v>0</v>
      </c>
      <c r="HH8" t="e">
        <f>AND('Planilla_General_07-12-2012_8_3'!A119,"AAAAAG/r6tc=")</f>
        <v>#VALUE!</v>
      </c>
      <c r="HI8" t="e">
        <f>AND('Planilla_General_07-12-2012_8_3'!B119,"AAAAAG/r6tg=")</f>
        <v>#VALUE!</v>
      </c>
      <c r="HJ8" t="e">
        <f>AND('Planilla_General_07-12-2012_8_3'!C119,"AAAAAG/r6tk=")</f>
        <v>#VALUE!</v>
      </c>
      <c r="HK8" t="e">
        <f>AND('Planilla_General_07-12-2012_8_3'!D119,"AAAAAG/r6to=")</f>
        <v>#VALUE!</v>
      </c>
      <c r="HL8" t="e">
        <f>AND('Planilla_General_07-12-2012_8_3'!E119,"AAAAAG/r6ts=")</f>
        <v>#VALUE!</v>
      </c>
      <c r="HM8" t="e">
        <f>AND('Planilla_General_07-12-2012_8_3'!F119,"AAAAAG/r6tw=")</f>
        <v>#VALUE!</v>
      </c>
      <c r="HN8" t="e">
        <f>AND('Planilla_General_07-12-2012_8_3'!G119,"AAAAAG/r6t0=")</f>
        <v>#VALUE!</v>
      </c>
      <c r="HO8" t="e">
        <f>AND('Planilla_General_07-12-2012_8_3'!H119,"AAAAAG/r6t4=")</f>
        <v>#VALUE!</v>
      </c>
      <c r="HP8" t="e">
        <f>AND('Planilla_General_07-12-2012_8_3'!I119,"AAAAAG/r6t8=")</f>
        <v>#VALUE!</v>
      </c>
      <c r="HQ8" t="e">
        <f>AND('Planilla_General_07-12-2012_8_3'!J119,"AAAAAG/r6uA=")</f>
        <v>#VALUE!</v>
      </c>
      <c r="HR8" t="e">
        <f>AND('Planilla_General_07-12-2012_8_3'!K119,"AAAAAG/r6uE=")</f>
        <v>#VALUE!</v>
      </c>
      <c r="HS8" t="e">
        <f>AND('Planilla_General_07-12-2012_8_3'!L119,"AAAAAG/r6uI=")</f>
        <v>#VALUE!</v>
      </c>
      <c r="HT8" t="e">
        <f>AND('Planilla_General_07-12-2012_8_3'!M119,"AAAAAG/r6uM=")</f>
        <v>#VALUE!</v>
      </c>
      <c r="HU8" t="e">
        <f>AND('Planilla_General_07-12-2012_8_3'!N119,"AAAAAG/r6uQ=")</f>
        <v>#VALUE!</v>
      </c>
      <c r="HV8" t="e">
        <f>AND('Planilla_General_07-12-2012_8_3'!O119,"AAAAAG/r6uU=")</f>
        <v>#VALUE!</v>
      </c>
      <c r="HW8" t="e">
        <f>AND('Planilla_General_07-12-2012_8_3'!P119,"AAAAAG/r6uY=")</f>
        <v>#VALUE!</v>
      </c>
      <c r="HX8">
        <f>IF('Planilla_General_07-12-2012_8_3'!120:120,"AAAAAG/r6uc=",0)</f>
        <v>0</v>
      </c>
      <c r="HY8" t="e">
        <f>AND('Planilla_General_07-12-2012_8_3'!A120,"AAAAAG/r6ug=")</f>
        <v>#VALUE!</v>
      </c>
      <c r="HZ8" t="e">
        <f>AND('Planilla_General_07-12-2012_8_3'!B120,"AAAAAG/r6uk=")</f>
        <v>#VALUE!</v>
      </c>
      <c r="IA8" t="e">
        <f>AND('Planilla_General_07-12-2012_8_3'!C120,"AAAAAG/r6uo=")</f>
        <v>#VALUE!</v>
      </c>
      <c r="IB8" t="e">
        <f>AND('Planilla_General_07-12-2012_8_3'!D120,"AAAAAG/r6us=")</f>
        <v>#VALUE!</v>
      </c>
      <c r="IC8" t="e">
        <f>AND('Planilla_General_07-12-2012_8_3'!E120,"AAAAAG/r6uw=")</f>
        <v>#VALUE!</v>
      </c>
      <c r="ID8" t="e">
        <f>AND('Planilla_General_07-12-2012_8_3'!F120,"AAAAAG/r6u0=")</f>
        <v>#VALUE!</v>
      </c>
      <c r="IE8" t="e">
        <f>AND('Planilla_General_07-12-2012_8_3'!G120,"AAAAAG/r6u4=")</f>
        <v>#VALUE!</v>
      </c>
      <c r="IF8" t="e">
        <f>AND('Planilla_General_07-12-2012_8_3'!H120,"AAAAAG/r6u8=")</f>
        <v>#VALUE!</v>
      </c>
      <c r="IG8" t="e">
        <f>AND('Planilla_General_07-12-2012_8_3'!I120,"AAAAAG/r6vA=")</f>
        <v>#VALUE!</v>
      </c>
      <c r="IH8" t="e">
        <f>AND('Planilla_General_07-12-2012_8_3'!J120,"AAAAAG/r6vE=")</f>
        <v>#VALUE!</v>
      </c>
      <c r="II8" t="e">
        <f>AND('Planilla_General_07-12-2012_8_3'!K120,"AAAAAG/r6vI=")</f>
        <v>#VALUE!</v>
      </c>
      <c r="IJ8" t="e">
        <f>AND('Planilla_General_07-12-2012_8_3'!L120,"AAAAAG/r6vM=")</f>
        <v>#VALUE!</v>
      </c>
      <c r="IK8" t="e">
        <f>AND('Planilla_General_07-12-2012_8_3'!M120,"AAAAAG/r6vQ=")</f>
        <v>#VALUE!</v>
      </c>
      <c r="IL8" t="e">
        <f>AND('Planilla_General_07-12-2012_8_3'!N120,"AAAAAG/r6vU=")</f>
        <v>#VALUE!</v>
      </c>
      <c r="IM8" t="e">
        <f>AND('Planilla_General_07-12-2012_8_3'!O120,"AAAAAG/r6vY=")</f>
        <v>#VALUE!</v>
      </c>
      <c r="IN8" t="e">
        <f>AND('Planilla_General_07-12-2012_8_3'!P120,"AAAAAG/r6vc=")</f>
        <v>#VALUE!</v>
      </c>
      <c r="IO8">
        <f>IF('Planilla_General_07-12-2012_8_3'!121:121,"AAAAAG/r6vg=",0)</f>
        <v>0</v>
      </c>
      <c r="IP8" t="e">
        <f>AND('Planilla_General_07-12-2012_8_3'!A121,"AAAAAG/r6vk=")</f>
        <v>#VALUE!</v>
      </c>
      <c r="IQ8" t="e">
        <f>AND('Planilla_General_07-12-2012_8_3'!B121,"AAAAAG/r6vo=")</f>
        <v>#VALUE!</v>
      </c>
      <c r="IR8" t="e">
        <f>AND('Planilla_General_07-12-2012_8_3'!C121,"AAAAAG/r6vs=")</f>
        <v>#VALUE!</v>
      </c>
      <c r="IS8" t="e">
        <f>AND('Planilla_General_07-12-2012_8_3'!D121,"AAAAAG/r6vw=")</f>
        <v>#VALUE!</v>
      </c>
      <c r="IT8" t="e">
        <f>AND('Planilla_General_07-12-2012_8_3'!E121,"AAAAAG/r6v0=")</f>
        <v>#VALUE!</v>
      </c>
      <c r="IU8" t="e">
        <f>AND('Planilla_General_07-12-2012_8_3'!F121,"AAAAAG/r6v4=")</f>
        <v>#VALUE!</v>
      </c>
      <c r="IV8" t="e">
        <f>AND('Planilla_General_07-12-2012_8_3'!G121,"AAAAAG/r6v8=")</f>
        <v>#VALUE!</v>
      </c>
    </row>
    <row r="9" spans="1:256" x14ac:dyDescent="0.25">
      <c r="A9" t="e">
        <f>AND('Planilla_General_07-12-2012_8_3'!H121,"AAAAAG9/ewA=")</f>
        <v>#VALUE!</v>
      </c>
      <c r="B9" t="e">
        <f>AND('Planilla_General_07-12-2012_8_3'!I121,"AAAAAG9/ewE=")</f>
        <v>#VALUE!</v>
      </c>
      <c r="C9" t="e">
        <f>AND('Planilla_General_07-12-2012_8_3'!J121,"AAAAAG9/ewI=")</f>
        <v>#VALUE!</v>
      </c>
      <c r="D9" t="e">
        <f>AND('Planilla_General_07-12-2012_8_3'!K121,"AAAAAG9/ewM=")</f>
        <v>#VALUE!</v>
      </c>
      <c r="E9" t="e">
        <f>AND('Planilla_General_07-12-2012_8_3'!L121,"AAAAAG9/ewQ=")</f>
        <v>#VALUE!</v>
      </c>
      <c r="F9" t="e">
        <f>AND('Planilla_General_07-12-2012_8_3'!M121,"AAAAAG9/ewU=")</f>
        <v>#VALUE!</v>
      </c>
      <c r="G9" t="e">
        <f>AND('Planilla_General_07-12-2012_8_3'!N121,"AAAAAG9/ewY=")</f>
        <v>#VALUE!</v>
      </c>
      <c r="H9" t="e">
        <f>AND('Planilla_General_07-12-2012_8_3'!O121,"AAAAAG9/ewc=")</f>
        <v>#VALUE!</v>
      </c>
      <c r="I9" t="e">
        <f>AND('Planilla_General_07-12-2012_8_3'!P121,"AAAAAG9/ewg=")</f>
        <v>#VALUE!</v>
      </c>
      <c r="J9" t="e">
        <f>IF('Planilla_General_07-12-2012_8_3'!122:122,"AAAAAG9/ewk=",0)</f>
        <v>#VALUE!</v>
      </c>
      <c r="K9" t="e">
        <f>AND('Planilla_General_07-12-2012_8_3'!A122,"AAAAAG9/ewo=")</f>
        <v>#VALUE!</v>
      </c>
      <c r="L9" t="e">
        <f>AND('Planilla_General_07-12-2012_8_3'!B122,"AAAAAG9/ews=")</f>
        <v>#VALUE!</v>
      </c>
      <c r="M9" t="e">
        <f>AND('Planilla_General_07-12-2012_8_3'!C122,"AAAAAG9/eww=")</f>
        <v>#VALUE!</v>
      </c>
      <c r="N9" t="e">
        <f>AND('Planilla_General_07-12-2012_8_3'!D122,"AAAAAG9/ew0=")</f>
        <v>#VALUE!</v>
      </c>
      <c r="O9" t="e">
        <f>AND('Planilla_General_07-12-2012_8_3'!E122,"AAAAAG9/ew4=")</f>
        <v>#VALUE!</v>
      </c>
      <c r="P9" t="e">
        <f>AND('Planilla_General_07-12-2012_8_3'!F122,"AAAAAG9/ew8=")</f>
        <v>#VALUE!</v>
      </c>
      <c r="Q9" t="e">
        <f>AND('Planilla_General_07-12-2012_8_3'!G122,"AAAAAG9/exA=")</f>
        <v>#VALUE!</v>
      </c>
      <c r="R9" t="e">
        <f>AND('Planilla_General_07-12-2012_8_3'!H122,"AAAAAG9/exE=")</f>
        <v>#VALUE!</v>
      </c>
      <c r="S9" t="e">
        <f>AND('Planilla_General_07-12-2012_8_3'!I122,"AAAAAG9/exI=")</f>
        <v>#VALUE!</v>
      </c>
      <c r="T9" t="e">
        <f>AND('Planilla_General_07-12-2012_8_3'!J122,"AAAAAG9/exM=")</f>
        <v>#VALUE!</v>
      </c>
      <c r="U9" t="e">
        <f>AND('Planilla_General_07-12-2012_8_3'!K122,"AAAAAG9/exQ=")</f>
        <v>#VALUE!</v>
      </c>
      <c r="V9" t="e">
        <f>AND('Planilla_General_07-12-2012_8_3'!L122,"AAAAAG9/exU=")</f>
        <v>#VALUE!</v>
      </c>
      <c r="W9" t="e">
        <f>AND('Planilla_General_07-12-2012_8_3'!M122,"AAAAAG9/exY=")</f>
        <v>#VALUE!</v>
      </c>
      <c r="X9" t="e">
        <f>AND('Planilla_General_07-12-2012_8_3'!N122,"AAAAAG9/exc=")</f>
        <v>#VALUE!</v>
      </c>
      <c r="Y9" t="e">
        <f>AND('Planilla_General_07-12-2012_8_3'!O122,"AAAAAG9/exg=")</f>
        <v>#VALUE!</v>
      </c>
      <c r="Z9" t="e">
        <f>AND('Planilla_General_07-12-2012_8_3'!P122,"AAAAAG9/exk=")</f>
        <v>#VALUE!</v>
      </c>
      <c r="AA9">
        <f>IF('Planilla_General_07-12-2012_8_3'!123:123,"AAAAAG9/exo=",0)</f>
        <v>0</v>
      </c>
      <c r="AB9" t="e">
        <f>AND('Planilla_General_07-12-2012_8_3'!A123,"AAAAAG9/exs=")</f>
        <v>#VALUE!</v>
      </c>
      <c r="AC9" t="e">
        <f>AND('Planilla_General_07-12-2012_8_3'!B123,"AAAAAG9/exw=")</f>
        <v>#VALUE!</v>
      </c>
      <c r="AD9" t="e">
        <f>AND('Planilla_General_07-12-2012_8_3'!C123,"AAAAAG9/ex0=")</f>
        <v>#VALUE!</v>
      </c>
      <c r="AE9" t="e">
        <f>AND('Planilla_General_07-12-2012_8_3'!D123,"AAAAAG9/ex4=")</f>
        <v>#VALUE!</v>
      </c>
      <c r="AF9" t="e">
        <f>AND('Planilla_General_07-12-2012_8_3'!E123,"AAAAAG9/ex8=")</f>
        <v>#VALUE!</v>
      </c>
      <c r="AG9" t="e">
        <f>AND('Planilla_General_07-12-2012_8_3'!F123,"AAAAAG9/eyA=")</f>
        <v>#VALUE!</v>
      </c>
      <c r="AH9" t="e">
        <f>AND('Planilla_General_07-12-2012_8_3'!G123,"AAAAAG9/eyE=")</f>
        <v>#VALUE!</v>
      </c>
      <c r="AI9" t="e">
        <f>AND('Planilla_General_07-12-2012_8_3'!H123,"AAAAAG9/eyI=")</f>
        <v>#VALUE!</v>
      </c>
      <c r="AJ9" t="e">
        <f>AND('Planilla_General_07-12-2012_8_3'!I123,"AAAAAG9/eyM=")</f>
        <v>#VALUE!</v>
      </c>
      <c r="AK9" t="e">
        <f>AND('Planilla_General_07-12-2012_8_3'!J123,"AAAAAG9/eyQ=")</f>
        <v>#VALUE!</v>
      </c>
      <c r="AL9" t="e">
        <f>AND('Planilla_General_07-12-2012_8_3'!K123,"AAAAAG9/eyU=")</f>
        <v>#VALUE!</v>
      </c>
      <c r="AM9" t="e">
        <f>AND('Planilla_General_07-12-2012_8_3'!L123,"AAAAAG9/eyY=")</f>
        <v>#VALUE!</v>
      </c>
      <c r="AN9" t="e">
        <f>AND('Planilla_General_07-12-2012_8_3'!M123,"AAAAAG9/eyc=")</f>
        <v>#VALUE!</v>
      </c>
      <c r="AO9" t="e">
        <f>AND('Planilla_General_07-12-2012_8_3'!N123,"AAAAAG9/eyg=")</f>
        <v>#VALUE!</v>
      </c>
      <c r="AP9" t="e">
        <f>AND('Planilla_General_07-12-2012_8_3'!O123,"AAAAAG9/eyk=")</f>
        <v>#VALUE!</v>
      </c>
      <c r="AQ9" t="e">
        <f>AND('Planilla_General_07-12-2012_8_3'!P123,"AAAAAG9/eyo=")</f>
        <v>#VALUE!</v>
      </c>
      <c r="AR9">
        <f>IF('Planilla_General_07-12-2012_8_3'!124:124,"AAAAAG9/eys=",0)</f>
        <v>0</v>
      </c>
      <c r="AS9" t="e">
        <f>AND('Planilla_General_07-12-2012_8_3'!A124,"AAAAAG9/eyw=")</f>
        <v>#VALUE!</v>
      </c>
      <c r="AT9" t="e">
        <f>AND('Planilla_General_07-12-2012_8_3'!B124,"AAAAAG9/ey0=")</f>
        <v>#VALUE!</v>
      </c>
      <c r="AU9" t="e">
        <f>AND('Planilla_General_07-12-2012_8_3'!C124,"AAAAAG9/ey4=")</f>
        <v>#VALUE!</v>
      </c>
      <c r="AV9" t="e">
        <f>AND('Planilla_General_07-12-2012_8_3'!D124,"AAAAAG9/ey8=")</f>
        <v>#VALUE!</v>
      </c>
      <c r="AW9" t="e">
        <f>AND('Planilla_General_07-12-2012_8_3'!E124,"AAAAAG9/ezA=")</f>
        <v>#VALUE!</v>
      </c>
      <c r="AX9" t="e">
        <f>AND('Planilla_General_07-12-2012_8_3'!F124,"AAAAAG9/ezE=")</f>
        <v>#VALUE!</v>
      </c>
      <c r="AY9" t="e">
        <f>AND('Planilla_General_07-12-2012_8_3'!G124,"AAAAAG9/ezI=")</f>
        <v>#VALUE!</v>
      </c>
      <c r="AZ9" t="e">
        <f>AND('Planilla_General_07-12-2012_8_3'!H124,"AAAAAG9/ezM=")</f>
        <v>#VALUE!</v>
      </c>
      <c r="BA9" t="e">
        <f>AND('Planilla_General_07-12-2012_8_3'!I124,"AAAAAG9/ezQ=")</f>
        <v>#VALUE!</v>
      </c>
      <c r="BB9" t="e">
        <f>AND('Planilla_General_07-12-2012_8_3'!J124,"AAAAAG9/ezU=")</f>
        <v>#VALUE!</v>
      </c>
      <c r="BC9" t="e">
        <f>AND('Planilla_General_07-12-2012_8_3'!K124,"AAAAAG9/ezY=")</f>
        <v>#VALUE!</v>
      </c>
      <c r="BD9" t="e">
        <f>AND('Planilla_General_07-12-2012_8_3'!L124,"AAAAAG9/ezc=")</f>
        <v>#VALUE!</v>
      </c>
      <c r="BE9" t="e">
        <f>AND('Planilla_General_07-12-2012_8_3'!M124,"AAAAAG9/ezg=")</f>
        <v>#VALUE!</v>
      </c>
      <c r="BF9" t="e">
        <f>AND('Planilla_General_07-12-2012_8_3'!N124,"AAAAAG9/ezk=")</f>
        <v>#VALUE!</v>
      </c>
      <c r="BG9" t="e">
        <f>AND('Planilla_General_07-12-2012_8_3'!O124,"AAAAAG9/ezo=")</f>
        <v>#VALUE!</v>
      </c>
      <c r="BH9" t="e">
        <f>AND('Planilla_General_07-12-2012_8_3'!P124,"AAAAAG9/ezs=")</f>
        <v>#VALUE!</v>
      </c>
      <c r="BI9">
        <f>IF('Planilla_General_07-12-2012_8_3'!125:125,"AAAAAG9/ezw=",0)</f>
        <v>0</v>
      </c>
      <c r="BJ9" t="e">
        <f>AND('Planilla_General_07-12-2012_8_3'!A125,"AAAAAG9/ez0=")</f>
        <v>#VALUE!</v>
      </c>
      <c r="BK9" t="e">
        <f>AND('Planilla_General_07-12-2012_8_3'!B125,"AAAAAG9/ez4=")</f>
        <v>#VALUE!</v>
      </c>
      <c r="BL9" t="e">
        <f>AND('Planilla_General_07-12-2012_8_3'!C125,"AAAAAG9/ez8=")</f>
        <v>#VALUE!</v>
      </c>
      <c r="BM9" t="e">
        <f>AND('Planilla_General_07-12-2012_8_3'!D125,"AAAAAG9/e0A=")</f>
        <v>#VALUE!</v>
      </c>
      <c r="BN9" t="e">
        <f>AND('Planilla_General_07-12-2012_8_3'!E125,"AAAAAG9/e0E=")</f>
        <v>#VALUE!</v>
      </c>
      <c r="BO9" t="e">
        <f>AND('Planilla_General_07-12-2012_8_3'!F125,"AAAAAG9/e0I=")</f>
        <v>#VALUE!</v>
      </c>
      <c r="BP9" t="e">
        <f>AND('Planilla_General_07-12-2012_8_3'!G125,"AAAAAG9/e0M=")</f>
        <v>#VALUE!</v>
      </c>
      <c r="BQ9" t="e">
        <f>AND('Planilla_General_07-12-2012_8_3'!H125,"AAAAAG9/e0Q=")</f>
        <v>#VALUE!</v>
      </c>
      <c r="BR9" t="e">
        <f>AND('Planilla_General_07-12-2012_8_3'!I125,"AAAAAG9/e0U=")</f>
        <v>#VALUE!</v>
      </c>
      <c r="BS9" t="e">
        <f>AND('Planilla_General_07-12-2012_8_3'!J125,"AAAAAG9/e0Y=")</f>
        <v>#VALUE!</v>
      </c>
      <c r="BT9" t="e">
        <f>AND('Planilla_General_07-12-2012_8_3'!K125,"AAAAAG9/e0c=")</f>
        <v>#VALUE!</v>
      </c>
      <c r="BU9" t="e">
        <f>AND('Planilla_General_07-12-2012_8_3'!L125,"AAAAAG9/e0g=")</f>
        <v>#VALUE!</v>
      </c>
      <c r="BV9" t="e">
        <f>AND('Planilla_General_07-12-2012_8_3'!M125,"AAAAAG9/e0k=")</f>
        <v>#VALUE!</v>
      </c>
      <c r="BW9" t="e">
        <f>AND('Planilla_General_07-12-2012_8_3'!N125,"AAAAAG9/e0o=")</f>
        <v>#VALUE!</v>
      </c>
      <c r="BX9" t="e">
        <f>AND('Planilla_General_07-12-2012_8_3'!O125,"AAAAAG9/e0s=")</f>
        <v>#VALUE!</v>
      </c>
      <c r="BY9" t="e">
        <f>AND('Planilla_General_07-12-2012_8_3'!P125,"AAAAAG9/e0w=")</f>
        <v>#VALUE!</v>
      </c>
      <c r="BZ9">
        <f>IF('Planilla_General_07-12-2012_8_3'!126:126,"AAAAAG9/e00=",0)</f>
        <v>0</v>
      </c>
      <c r="CA9" t="e">
        <f>AND('Planilla_General_07-12-2012_8_3'!A126,"AAAAAG9/e04=")</f>
        <v>#VALUE!</v>
      </c>
      <c r="CB9" t="e">
        <f>AND('Planilla_General_07-12-2012_8_3'!B126,"AAAAAG9/e08=")</f>
        <v>#VALUE!</v>
      </c>
      <c r="CC9" t="e">
        <f>AND('Planilla_General_07-12-2012_8_3'!C126,"AAAAAG9/e1A=")</f>
        <v>#VALUE!</v>
      </c>
      <c r="CD9" t="e">
        <f>AND('Planilla_General_07-12-2012_8_3'!D126,"AAAAAG9/e1E=")</f>
        <v>#VALUE!</v>
      </c>
      <c r="CE9" t="e">
        <f>AND('Planilla_General_07-12-2012_8_3'!E126,"AAAAAG9/e1I=")</f>
        <v>#VALUE!</v>
      </c>
      <c r="CF9" t="e">
        <f>AND('Planilla_General_07-12-2012_8_3'!F126,"AAAAAG9/e1M=")</f>
        <v>#VALUE!</v>
      </c>
      <c r="CG9" t="e">
        <f>AND('Planilla_General_07-12-2012_8_3'!G126,"AAAAAG9/e1Q=")</f>
        <v>#VALUE!</v>
      </c>
      <c r="CH9" t="e">
        <f>AND('Planilla_General_07-12-2012_8_3'!H126,"AAAAAG9/e1U=")</f>
        <v>#VALUE!</v>
      </c>
      <c r="CI9" t="e">
        <f>AND('Planilla_General_07-12-2012_8_3'!I126,"AAAAAG9/e1Y=")</f>
        <v>#VALUE!</v>
      </c>
      <c r="CJ9" t="e">
        <f>AND('Planilla_General_07-12-2012_8_3'!J126,"AAAAAG9/e1c=")</f>
        <v>#VALUE!</v>
      </c>
      <c r="CK9" t="e">
        <f>AND('Planilla_General_07-12-2012_8_3'!K126,"AAAAAG9/e1g=")</f>
        <v>#VALUE!</v>
      </c>
      <c r="CL9" t="e">
        <f>AND('Planilla_General_07-12-2012_8_3'!L126,"AAAAAG9/e1k=")</f>
        <v>#VALUE!</v>
      </c>
      <c r="CM9" t="e">
        <f>AND('Planilla_General_07-12-2012_8_3'!M126,"AAAAAG9/e1o=")</f>
        <v>#VALUE!</v>
      </c>
      <c r="CN9" t="e">
        <f>AND('Planilla_General_07-12-2012_8_3'!N126,"AAAAAG9/e1s=")</f>
        <v>#VALUE!</v>
      </c>
      <c r="CO9" t="e">
        <f>AND('Planilla_General_07-12-2012_8_3'!O126,"AAAAAG9/e1w=")</f>
        <v>#VALUE!</v>
      </c>
      <c r="CP9" t="e">
        <f>AND('Planilla_General_07-12-2012_8_3'!P126,"AAAAAG9/e10=")</f>
        <v>#VALUE!</v>
      </c>
      <c r="CQ9">
        <f>IF('Planilla_General_07-12-2012_8_3'!127:127,"AAAAAG9/e14=",0)</f>
        <v>0</v>
      </c>
      <c r="CR9" t="e">
        <f>AND('Planilla_General_07-12-2012_8_3'!A127,"AAAAAG9/e18=")</f>
        <v>#VALUE!</v>
      </c>
      <c r="CS9" t="e">
        <f>AND('Planilla_General_07-12-2012_8_3'!B127,"AAAAAG9/e2A=")</f>
        <v>#VALUE!</v>
      </c>
      <c r="CT9" t="e">
        <f>AND('Planilla_General_07-12-2012_8_3'!C127,"AAAAAG9/e2E=")</f>
        <v>#VALUE!</v>
      </c>
      <c r="CU9" t="e">
        <f>AND('Planilla_General_07-12-2012_8_3'!D127,"AAAAAG9/e2I=")</f>
        <v>#VALUE!</v>
      </c>
      <c r="CV9" t="e">
        <f>AND('Planilla_General_07-12-2012_8_3'!E127,"AAAAAG9/e2M=")</f>
        <v>#VALUE!</v>
      </c>
      <c r="CW9" t="e">
        <f>AND('Planilla_General_07-12-2012_8_3'!F127,"AAAAAG9/e2Q=")</f>
        <v>#VALUE!</v>
      </c>
      <c r="CX9" t="e">
        <f>AND('Planilla_General_07-12-2012_8_3'!G127,"AAAAAG9/e2U=")</f>
        <v>#VALUE!</v>
      </c>
      <c r="CY9" t="e">
        <f>AND('Planilla_General_07-12-2012_8_3'!H127,"AAAAAG9/e2Y=")</f>
        <v>#VALUE!</v>
      </c>
      <c r="CZ9" t="e">
        <f>AND('Planilla_General_07-12-2012_8_3'!I127,"AAAAAG9/e2c=")</f>
        <v>#VALUE!</v>
      </c>
      <c r="DA9" t="e">
        <f>AND('Planilla_General_07-12-2012_8_3'!J127,"AAAAAG9/e2g=")</f>
        <v>#VALUE!</v>
      </c>
      <c r="DB9" t="e">
        <f>AND('Planilla_General_07-12-2012_8_3'!K127,"AAAAAG9/e2k=")</f>
        <v>#VALUE!</v>
      </c>
      <c r="DC9" t="e">
        <f>AND('Planilla_General_07-12-2012_8_3'!L127,"AAAAAG9/e2o=")</f>
        <v>#VALUE!</v>
      </c>
      <c r="DD9" t="e">
        <f>AND('Planilla_General_07-12-2012_8_3'!M127,"AAAAAG9/e2s=")</f>
        <v>#VALUE!</v>
      </c>
      <c r="DE9" t="e">
        <f>AND('Planilla_General_07-12-2012_8_3'!N127,"AAAAAG9/e2w=")</f>
        <v>#VALUE!</v>
      </c>
      <c r="DF9" t="e">
        <f>AND('Planilla_General_07-12-2012_8_3'!O127,"AAAAAG9/e20=")</f>
        <v>#VALUE!</v>
      </c>
      <c r="DG9" t="e">
        <f>AND('Planilla_General_07-12-2012_8_3'!P127,"AAAAAG9/e24=")</f>
        <v>#VALUE!</v>
      </c>
      <c r="DH9">
        <f>IF('Planilla_General_07-12-2012_8_3'!128:128,"AAAAAG9/e28=",0)</f>
        <v>0</v>
      </c>
      <c r="DI9" t="e">
        <f>AND('Planilla_General_07-12-2012_8_3'!A128,"AAAAAG9/e3A=")</f>
        <v>#VALUE!</v>
      </c>
      <c r="DJ9" t="e">
        <f>AND('Planilla_General_07-12-2012_8_3'!B128,"AAAAAG9/e3E=")</f>
        <v>#VALUE!</v>
      </c>
      <c r="DK9" t="e">
        <f>AND('Planilla_General_07-12-2012_8_3'!C128,"AAAAAG9/e3I=")</f>
        <v>#VALUE!</v>
      </c>
      <c r="DL9" t="e">
        <f>AND('Planilla_General_07-12-2012_8_3'!D128,"AAAAAG9/e3M=")</f>
        <v>#VALUE!</v>
      </c>
      <c r="DM9" t="e">
        <f>AND('Planilla_General_07-12-2012_8_3'!E128,"AAAAAG9/e3Q=")</f>
        <v>#VALUE!</v>
      </c>
      <c r="DN9" t="e">
        <f>AND('Planilla_General_07-12-2012_8_3'!F128,"AAAAAG9/e3U=")</f>
        <v>#VALUE!</v>
      </c>
      <c r="DO9" t="e">
        <f>AND('Planilla_General_07-12-2012_8_3'!G128,"AAAAAG9/e3Y=")</f>
        <v>#VALUE!</v>
      </c>
      <c r="DP9" t="e">
        <f>AND('Planilla_General_07-12-2012_8_3'!H128,"AAAAAG9/e3c=")</f>
        <v>#VALUE!</v>
      </c>
      <c r="DQ9" t="e">
        <f>AND('Planilla_General_07-12-2012_8_3'!I128,"AAAAAG9/e3g=")</f>
        <v>#VALUE!</v>
      </c>
      <c r="DR9" t="e">
        <f>AND('Planilla_General_07-12-2012_8_3'!J128,"AAAAAG9/e3k=")</f>
        <v>#VALUE!</v>
      </c>
      <c r="DS9" t="e">
        <f>AND('Planilla_General_07-12-2012_8_3'!K128,"AAAAAG9/e3o=")</f>
        <v>#VALUE!</v>
      </c>
      <c r="DT9" t="e">
        <f>AND('Planilla_General_07-12-2012_8_3'!L128,"AAAAAG9/e3s=")</f>
        <v>#VALUE!</v>
      </c>
      <c r="DU9" t="e">
        <f>AND('Planilla_General_07-12-2012_8_3'!M128,"AAAAAG9/e3w=")</f>
        <v>#VALUE!</v>
      </c>
      <c r="DV9" t="e">
        <f>AND('Planilla_General_07-12-2012_8_3'!N128,"AAAAAG9/e30=")</f>
        <v>#VALUE!</v>
      </c>
      <c r="DW9" t="e">
        <f>AND('Planilla_General_07-12-2012_8_3'!O128,"AAAAAG9/e34=")</f>
        <v>#VALUE!</v>
      </c>
      <c r="DX9" t="e">
        <f>AND('Planilla_General_07-12-2012_8_3'!P128,"AAAAAG9/e38=")</f>
        <v>#VALUE!</v>
      </c>
      <c r="DY9">
        <f>IF('Planilla_General_07-12-2012_8_3'!129:129,"AAAAAG9/e4A=",0)</f>
        <v>0</v>
      </c>
      <c r="DZ9" t="e">
        <f>AND('Planilla_General_07-12-2012_8_3'!A129,"AAAAAG9/e4E=")</f>
        <v>#VALUE!</v>
      </c>
      <c r="EA9" t="e">
        <f>AND('Planilla_General_07-12-2012_8_3'!B129,"AAAAAG9/e4I=")</f>
        <v>#VALUE!</v>
      </c>
      <c r="EB9" t="e">
        <f>AND('Planilla_General_07-12-2012_8_3'!C129,"AAAAAG9/e4M=")</f>
        <v>#VALUE!</v>
      </c>
      <c r="EC9" t="e">
        <f>AND('Planilla_General_07-12-2012_8_3'!D129,"AAAAAG9/e4Q=")</f>
        <v>#VALUE!</v>
      </c>
      <c r="ED9" t="e">
        <f>AND('Planilla_General_07-12-2012_8_3'!E129,"AAAAAG9/e4U=")</f>
        <v>#VALUE!</v>
      </c>
      <c r="EE9" t="e">
        <f>AND('Planilla_General_07-12-2012_8_3'!F129,"AAAAAG9/e4Y=")</f>
        <v>#VALUE!</v>
      </c>
      <c r="EF9" t="e">
        <f>AND('Planilla_General_07-12-2012_8_3'!G129,"AAAAAG9/e4c=")</f>
        <v>#VALUE!</v>
      </c>
      <c r="EG9" t="e">
        <f>AND('Planilla_General_07-12-2012_8_3'!H129,"AAAAAG9/e4g=")</f>
        <v>#VALUE!</v>
      </c>
      <c r="EH9" t="e">
        <f>AND('Planilla_General_07-12-2012_8_3'!I129,"AAAAAG9/e4k=")</f>
        <v>#VALUE!</v>
      </c>
      <c r="EI9" t="e">
        <f>AND('Planilla_General_07-12-2012_8_3'!J129,"AAAAAG9/e4o=")</f>
        <v>#VALUE!</v>
      </c>
      <c r="EJ9" t="e">
        <f>AND('Planilla_General_07-12-2012_8_3'!K129,"AAAAAG9/e4s=")</f>
        <v>#VALUE!</v>
      </c>
      <c r="EK9" t="e">
        <f>AND('Planilla_General_07-12-2012_8_3'!L129,"AAAAAG9/e4w=")</f>
        <v>#VALUE!</v>
      </c>
      <c r="EL9" t="e">
        <f>AND('Planilla_General_07-12-2012_8_3'!M129,"AAAAAG9/e40=")</f>
        <v>#VALUE!</v>
      </c>
      <c r="EM9" t="e">
        <f>AND('Planilla_General_07-12-2012_8_3'!N129,"AAAAAG9/e44=")</f>
        <v>#VALUE!</v>
      </c>
      <c r="EN9" t="e">
        <f>AND('Planilla_General_07-12-2012_8_3'!O129,"AAAAAG9/e48=")</f>
        <v>#VALUE!</v>
      </c>
      <c r="EO9" t="e">
        <f>AND('Planilla_General_07-12-2012_8_3'!P129,"AAAAAG9/e5A=")</f>
        <v>#VALUE!</v>
      </c>
      <c r="EP9">
        <f>IF('Planilla_General_07-12-2012_8_3'!130:130,"AAAAAG9/e5E=",0)</f>
        <v>0</v>
      </c>
      <c r="EQ9" t="e">
        <f>AND('Planilla_General_07-12-2012_8_3'!A130,"AAAAAG9/e5I=")</f>
        <v>#VALUE!</v>
      </c>
      <c r="ER9" t="e">
        <f>AND('Planilla_General_07-12-2012_8_3'!B130,"AAAAAG9/e5M=")</f>
        <v>#VALUE!</v>
      </c>
      <c r="ES9" t="e">
        <f>AND('Planilla_General_07-12-2012_8_3'!C130,"AAAAAG9/e5Q=")</f>
        <v>#VALUE!</v>
      </c>
      <c r="ET9" t="e">
        <f>AND('Planilla_General_07-12-2012_8_3'!D130,"AAAAAG9/e5U=")</f>
        <v>#VALUE!</v>
      </c>
      <c r="EU9" t="e">
        <f>AND('Planilla_General_07-12-2012_8_3'!E130,"AAAAAG9/e5Y=")</f>
        <v>#VALUE!</v>
      </c>
      <c r="EV9" t="e">
        <f>AND('Planilla_General_07-12-2012_8_3'!F130,"AAAAAG9/e5c=")</f>
        <v>#VALUE!</v>
      </c>
      <c r="EW9" t="e">
        <f>AND('Planilla_General_07-12-2012_8_3'!G130,"AAAAAG9/e5g=")</f>
        <v>#VALUE!</v>
      </c>
      <c r="EX9" t="e">
        <f>AND('Planilla_General_07-12-2012_8_3'!H130,"AAAAAG9/e5k=")</f>
        <v>#VALUE!</v>
      </c>
      <c r="EY9" t="e">
        <f>AND('Planilla_General_07-12-2012_8_3'!I130,"AAAAAG9/e5o=")</f>
        <v>#VALUE!</v>
      </c>
      <c r="EZ9" t="e">
        <f>AND('Planilla_General_07-12-2012_8_3'!J130,"AAAAAG9/e5s=")</f>
        <v>#VALUE!</v>
      </c>
      <c r="FA9" t="e">
        <f>AND('Planilla_General_07-12-2012_8_3'!K130,"AAAAAG9/e5w=")</f>
        <v>#VALUE!</v>
      </c>
      <c r="FB9" t="e">
        <f>AND('Planilla_General_07-12-2012_8_3'!L130,"AAAAAG9/e50=")</f>
        <v>#VALUE!</v>
      </c>
      <c r="FC9" t="e">
        <f>AND('Planilla_General_07-12-2012_8_3'!M130,"AAAAAG9/e54=")</f>
        <v>#VALUE!</v>
      </c>
      <c r="FD9" t="e">
        <f>AND('Planilla_General_07-12-2012_8_3'!N130,"AAAAAG9/e58=")</f>
        <v>#VALUE!</v>
      </c>
      <c r="FE9" t="e">
        <f>AND('Planilla_General_07-12-2012_8_3'!O130,"AAAAAG9/e6A=")</f>
        <v>#VALUE!</v>
      </c>
      <c r="FF9" t="e">
        <f>AND('Planilla_General_07-12-2012_8_3'!P130,"AAAAAG9/e6E=")</f>
        <v>#VALUE!</v>
      </c>
      <c r="FG9">
        <f>IF('Planilla_General_07-12-2012_8_3'!131:131,"AAAAAG9/e6I=",0)</f>
        <v>0</v>
      </c>
      <c r="FH9" t="e">
        <f>AND('Planilla_General_07-12-2012_8_3'!A131,"AAAAAG9/e6M=")</f>
        <v>#VALUE!</v>
      </c>
      <c r="FI9" t="e">
        <f>AND('Planilla_General_07-12-2012_8_3'!B131,"AAAAAG9/e6Q=")</f>
        <v>#VALUE!</v>
      </c>
      <c r="FJ9" t="e">
        <f>AND('Planilla_General_07-12-2012_8_3'!C131,"AAAAAG9/e6U=")</f>
        <v>#VALUE!</v>
      </c>
      <c r="FK9" t="e">
        <f>AND('Planilla_General_07-12-2012_8_3'!D131,"AAAAAG9/e6Y=")</f>
        <v>#VALUE!</v>
      </c>
      <c r="FL9" t="e">
        <f>AND('Planilla_General_07-12-2012_8_3'!E131,"AAAAAG9/e6c=")</f>
        <v>#VALUE!</v>
      </c>
      <c r="FM9" t="e">
        <f>AND('Planilla_General_07-12-2012_8_3'!F131,"AAAAAG9/e6g=")</f>
        <v>#VALUE!</v>
      </c>
      <c r="FN9" t="e">
        <f>AND('Planilla_General_07-12-2012_8_3'!G131,"AAAAAG9/e6k=")</f>
        <v>#VALUE!</v>
      </c>
      <c r="FO9" t="e">
        <f>AND('Planilla_General_07-12-2012_8_3'!H131,"AAAAAG9/e6o=")</f>
        <v>#VALUE!</v>
      </c>
      <c r="FP9" t="e">
        <f>AND('Planilla_General_07-12-2012_8_3'!I131,"AAAAAG9/e6s=")</f>
        <v>#VALUE!</v>
      </c>
      <c r="FQ9" t="e">
        <f>AND('Planilla_General_07-12-2012_8_3'!J131,"AAAAAG9/e6w=")</f>
        <v>#VALUE!</v>
      </c>
      <c r="FR9" t="e">
        <f>AND('Planilla_General_07-12-2012_8_3'!K131,"AAAAAG9/e60=")</f>
        <v>#VALUE!</v>
      </c>
      <c r="FS9" t="e">
        <f>AND('Planilla_General_07-12-2012_8_3'!L131,"AAAAAG9/e64=")</f>
        <v>#VALUE!</v>
      </c>
      <c r="FT9" t="e">
        <f>AND('Planilla_General_07-12-2012_8_3'!M131,"AAAAAG9/e68=")</f>
        <v>#VALUE!</v>
      </c>
      <c r="FU9" t="e">
        <f>AND('Planilla_General_07-12-2012_8_3'!N131,"AAAAAG9/e7A=")</f>
        <v>#VALUE!</v>
      </c>
      <c r="FV9" t="e">
        <f>AND('Planilla_General_07-12-2012_8_3'!O131,"AAAAAG9/e7E=")</f>
        <v>#VALUE!</v>
      </c>
      <c r="FW9" t="e">
        <f>AND('Planilla_General_07-12-2012_8_3'!P131,"AAAAAG9/e7I=")</f>
        <v>#VALUE!</v>
      </c>
      <c r="FX9">
        <f>IF('Planilla_General_07-12-2012_8_3'!132:132,"AAAAAG9/e7M=",0)</f>
        <v>0</v>
      </c>
      <c r="FY9" t="e">
        <f>AND('Planilla_General_07-12-2012_8_3'!A132,"AAAAAG9/e7Q=")</f>
        <v>#VALUE!</v>
      </c>
      <c r="FZ9" t="e">
        <f>AND('Planilla_General_07-12-2012_8_3'!B132,"AAAAAG9/e7U=")</f>
        <v>#VALUE!</v>
      </c>
      <c r="GA9" t="e">
        <f>AND('Planilla_General_07-12-2012_8_3'!C132,"AAAAAG9/e7Y=")</f>
        <v>#VALUE!</v>
      </c>
      <c r="GB9" t="e">
        <f>AND('Planilla_General_07-12-2012_8_3'!D132,"AAAAAG9/e7c=")</f>
        <v>#VALUE!</v>
      </c>
      <c r="GC9" t="e">
        <f>AND('Planilla_General_07-12-2012_8_3'!E132,"AAAAAG9/e7g=")</f>
        <v>#VALUE!</v>
      </c>
      <c r="GD9" t="e">
        <f>AND('Planilla_General_07-12-2012_8_3'!F132,"AAAAAG9/e7k=")</f>
        <v>#VALUE!</v>
      </c>
      <c r="GE9" t="e">
        <f>AND('Planilla_General_07-12-2012_8_3'!G132,"AAAAAG9/e7o=")</f>
        <v>#VALUE!</v>
      </c>
      <c r="GF9" t="e">
        <f>AND('Planilla_General_07-12-2012_8_3'!H132,"AAAAAG9/e7s=")</f>
        <v>#VALUE!</v>
      </c>
      <c r="GG9" t="e">
        <f>AND('Planilla_General_07-12-2012_8_3'!I132,"AAAAAG9/e7w=")</f>
        <v>#VALUE!</v>
      </c>
      <c r="GH9" t="e">
        <f>AND('Planilla_General_07-12-2012_8_3'!J132,"AAAAAG9/e70=")</f>
        <v>#VALUE!</v>
      </c>
      <c r="GI9" t="e">
        <f>AND('Planilla_General_07-12-2012_8_3'!K132,"AAAAAG9/e74=")</f>
        <v>#VALUE!</v>
      </c>
      <c r="GJ9" t="e">
        <f>AND('Planilla_General_07-12-2012_8_3'!L132,"AAAAAG9/e78=")</f>
        <v>#VALUE!</v>
      </c>
      <c r="GK9" t="e">
        <f>AND('Planilla_General_07-12-2012_8_3'!M132,"AAAAAG9/e8A=")</f>
        <v>#VALUE!</v>
      </c>
      <c r="GL9" t="e">
        <f>AND('Planilla_General_07-12-2012_8_3'!N132,"AAAAAG9/e8E=")</f>
        <v>#VALUE!</v>
      </c>
      <c r="GM9" t="e">
        <f>AND('Planilla_General_07-12-2012_8_3'!O132,"AAAAAG9/e8I=")</f>
        <v>#VALUE!</v>
      </c>
      <c r="GN9" t="e">
        <f>AND('Planilla_General_07-12-2012_8_3'!P132,"AAAAAG9/e8M=")</f>
        <v>#VALUE!</v>
      </c>
      <c r="GO9">
        <f>IF('Planilla_General_07-12-2012_8_3'!133:133,"AAAAAG9/e8Q=",0)</f>
        <v>0</v>
      </c>
      <c r="GP9" t="e">
        <f>AND('Planilla_General_07-12-2012_8_3'!A133,"AAAAAG9/e8U=")</f>
        <v>#VALUE!</v>
      </c>
      <c r="GQ9" t="e">
        <f>AND('Planilla_General_07-12-2012_8_3'!B133,"AAAAAG9/e8Y=")</f>
        <v>#VALUE!</v>
      </c>
      <c r="GR9" t="e">
        <f>AND('Planilla_General_07-12-2012_8_3'!C133,"AAAAAG9/e8c=")</f>
        <v>#VALUE!</v>
      </c>
      <c r="GS9" t="e">
        <f>AND('Planilla_General_07-12-2012_8_3'!D133,"AAAAAG9/e8g=")</f>
        <v>#VALUE!</v>
      </c>
      <c r="GT9" t="e">
        <f>AND('Planilla_General_07-12-2012_8_3'!E133,"AAAAAG9/e8k=")</f>
        <v>#VALUE!</v>
      </c>
      <c r="GU9" t="e">
        <f>AND('Planilla_General_07-12-2012_8_3'!F133,"AAAAAG9/e8o=")</f>
        <v>#VALUE!</v>
      </c>
      <c r="GV9" t="e">
        <f>AND('Planilla_General_07-12-2012_8_3'!G133,"AAAAAG9/e8s=")</f>
        <v>#VALUE!</v>
      </c>
      <c r="GW9" t="e">
        <f>AND('Planilla_General_07-12-2012_8_3'!H133,"AAAAAG9/e8w=")</f>
        <v>#VALUE!</v>
      </c>
      <c r="GX9" t="e">
        <f>AND('Planilla_General_07-12-2012_8_3'!I133,"AAAAAG9/e80=")</f>
        <v>#VALUE!</v>
      </c>
      <c r="GY9" t="e">
        <f>AND('Planilla_General_07-12-2012_8_3'!J133,"AAAAAG9/e84=")</f>
        <v>#VALUE!</v>
      </c>
      <c r="GZ9" t="e">
        <f>AND('Planilla_General_07-12-2012_8_3'!K133,"AAAAAG9/e88=")</f>
        <v>#VALUE!</v>
      </c>
      <c r="HA9" t="e">
        <f>AND('Planilla_General_07-12-2012_8_3'!L133,"AAAAAG9/e9A=")</f>
        <v>#VALUE!</v>
      </c>
      <c r="HB9" t="e">
        <f>AND('Planilla_General_07-12-2012_8_3'!M133,"AAAAAG9/e9E=")</f>
        <v>#VALUE!</v>
      </c>
      <c r="HC9" t="e">
        <f>AND('Planilla_General_07-12-2012_8_3'!N133,"AAAAAG9/e9I=")</f>
        <v>#VALUE!</v>
      </c>
      <c r="HD9" t="e">
        <f>AND('Planilla_General_07-12-2012_8_3'!O133,"AAAAAG9/e9M=")</f>
        <v>#VALUE!</v>
      </c>
      <c r="HE9" t="e">
        <f>AND('Planilla_General_07-12-2012_8_3'!P133,"AAAAAG9/e9Q=")</f>
        <v>#VALUE!</v>
      </c>
      <c r="HF9">
        <f>IF('Planilla_General_07-12-2012_8_3'!134:134,"AAAAAG9/e9U=",0)</f>
        <v>0</v>
      </c>
      <c r="HG9" t="e">
        <f>AND('Planilla_General_07-12-2012_8_3'!A134,"AAAAAG9/e9Y=")</f>
        <v>#VALUE!</v>
      </c>
      <c r="HH9" t="e">
        <f>AND('Planilla_General_07-12-2012_8_3'!B134,"AAAAAG9/e9c=")</f>
        <v>#VALUE!</v>
      </c>
      <c r="HI9" t="e">
        <f>AND('Planilla_General_07-12-2012_8_3'!C134,"AAAAAG9/e9g=")</f>
        <v>#VALUE!</v>
      </c>
      <c r="HJ9" t="e">
        <f>AND('Planilla_General_07-12-2012_8_3'!D134,"AAAAAG9/e9k=")</f>
        <v>#VALUE!</v>
      </c>
      <c r="HK9" t="e">
        <f>AND('Planilla_General_07-12-2012_8_3'!E134,"AAAAAG9/e9o=")</f>
        <v>#VALUE!</v>
      </c>
      <c r="HL9" t="e">
        <f>AND('Planilla_General_07-12-2012_8_3'!F134,"AAAAAG9/e9s=")</f>
        <v>#VALUE!</v>
      </c>
      <c r="HM9" t="e">
        <f>AND('Planilla_General_07-12-2012_8_3'!G134,"AAAAAG9/e9w=")</f>
        <v>#VALUE!</v>
      </c>
      <c r="HN9" t="e">
        <f>AND('Planilla_General_07-12-2012_8_3'!H134,"AAAAAG9/e90=")</f>
        <v>#VALUE!</v>
      </c>
      <c r="HO9" t="e">
        <f>AND('Planilla_General_07-12-2012_8_3'!I134,"AAAAAG9/e94=")</f>
        <v>#VALUE!</v>
      </c>
      <c r="HP9" t="e">
        <f>AND('Planilla_General_07-12-2012_8_3'!J134,"AAAAAG9/e98=")</f>
        <v>#VALUE!</v>
      </c>
      <c r="HQ9" t="e">
        <f>AND('Planilla_General_07-12-2012_8_3'!K134,"AAAAAG9/e+A=")</f>
        <v>#VALUE!</v>
      </c>
      <c r="HR9" t="e">
        <f>AND('Planilla_General_07-12-2012_8_3'!L134,"AAAAAG9/e+E=")</f>
        <v>#VALUE!</v>
      </c>
      <c r="HS9" t="e">
        <f>AND('Planilla_General_07-12-2012_8_3'!M134,"AAAAAG9/e+I=")</f>
        <v>#VALUE!</v>
      </c>
      <c r="HT9" t="e">
        <f>AND('Planilla_General_07-12-2012_8_3'!N134,"AAAAAG9/e+M=")</f>
        <v>#VALUE!</v>
      </c>
      <c r="HU9" t="e">
        <f>AND('Planilla_General_07-12-2012_8_3'!O134,"AAAAAG9/e+Q=")</f>
        <v>#VALUE!</v>
      </c>
      <c r="HV9" t="e">
        <f>AND('Planilla_General_07-12-2012_8_3'!P134,"AAAAAG9/e+U=")</f>
        <v>#VALUE!</v>
      </c>
      <c r="HW9">
        <f>IF('Planilla_General_07-12-2012_8_3'!135:135,"AAAAAG9/e+Y=",0)</f>
        <v>0</v>
      </c>
      <c r="HX9" t="e">
        <f>AND('Planilla_General_07-12-2012_8_3'!A135,"AAAAAG9/e+c=")</f>
        <v>#VALUE!</v>
      </c>
      <c r="HY9" t="e">
        <f>AND('Planilla_General_07-12-2012_8_3'!B135,"AAAAAG9/e+g=")</f>
        <v>#VALUE!</v>
      </c>
      <c r="HZ9" t="e">
        <f>AND('Planilla_General_07-12-2012_8_3'!C135,"AAAAAG9/e+k=")</f>
        <v>#VALUE!</v>
      </c>
      <c r="IA9" t="e">
        <f>AND('Planilla_General_07-12-2012_8_3'!D135,"AAAAAG9/e+o=")</f>
        <v>#VALUE!</v>
      </c>
      <c r="IB9" t="e">
        <f>AND('Planilla_General_07-12-2012_8_3'!E135,"AAAAAG9/e+s=")</f>
        <v>#VALUE!</v>
      </c>
      <c r="IC9" t="e">
        <f>AND('Planilla_General_07-12-2012_8_3'!F135,"AAAAAG9/e+w=")</f>
        <v>#VALUE!</v>
      </c>
      <c r="ID9" t="e">
        <f>AND('Planilla_General_07-12-2012_8_3'!G135,"AAAAAG9/e+0=")</f>
        <v>#VALUE!</v>
      </c>
      <c r="IE9" t="e">
        <f>AND('Planilla_General_07-12-2012_8_3'!H135,"AAAAAG9/e+4=")</f>
        <v>#VALUE!</v>
      </c>
      <c r="IF9" t="e">
        <f>AND('Planilla_General_07-12-2012_8_3'!I135,"AAAAAG9/e+8=")</f>
        <v>#VALUE!</v>
      </c>
      <c r="IG9" t="e">
        <f>AND('Planilla_General_07-12-2012_8_3'!J135,"AAAAAG9/e/A=")</f>
        <v>#VALUE!</v>
      </c>
      <c r="IH9" t="e">
        <f>AND('Planilla_General_07-12-2012_8_3'!K135,"AAAAAG9/e/E=")</f>
        <v>#VALUE!</v>
      </c>
      <c r="II9" t="e">
        <f>AND('Planilla_General_07-12-2012_8_3'!L135,"AAAAAG9/e/I=")</f>
        <v>#VALUE!</v>
      </c>
      <c r="IJ9" t="e">
        <f>AND('Planilla_General_07-12-2012_8_3'!M135,"AAAAAG9/e/M=")</f>
        <v>#VALUE!</v>
      </c>
      <c r="IK9" t="e">
        <f>AND('Planilla_General_07-12-2012_8_3'!N135,"AAAAAG9/e/Q=")</f>
        <v>#VALUE!</v>
      </c>
      <c r="IL9" t="e">
        <f>AND('Planilla_General_07-12-2012_8_3'!O135,"AAAAAG9/e/U=")</f>
        <v>#VALUE!</v>
      </c>
      <c r="IM9" t="e">
        <f>AND('Planilla_General_07-12-2012_8_3'!P135,"AAAAAG9/e/Y=")</f>
        <v>#VALUE!</v>
      </c>
      <c r="IN9">
        <f>IF('Planilla_General_07-12-2012_8_3'!136:136,"AAAAAG9/e/c=",0)</f>
        <v>0</v>
      </c>
      <c r="IO9" t="e">
        <f>AND('Planilla_General_07-12-2012_8_3'!A136,"AAAAAG9/e/g=")</f>
        <v>#VALUE!</v>
      </c>
      <c r="IP9" t="e">
        <f>AND('Planilla_General_07-12-2012_8_3'!B136,"AAAAAG9/e/k=")</f>
        <v>#VALUE!</v>
      </c>
      <c r="IQ9" t="e">
        <f>AND('Planilla_General_07-12-2012_8_3'!C136,"AAAAAG9/e/o=")</f>
        <v>#VALUE!</v>
      </c>
      <c r="IR9" t="e">
        <f>AND('Planilla_General_07-12-2012_8_3'!D136,"AAAAAG9/e/s=")</f>
        <v>#VALUE!</v>
      </c>
      <c r="IS9" t="e">
        <f>AND('Planilla_General_07-12-2012_8_3'!E136,"AAAAAG9/e/w=")</f>
        <v>#VALUE!</v>
      </c>
      <c r="IT9" t="e">
        <f>AND('Planilla_General_07-12-2012_8_3'!F136,"AAAAAG9/e/0=")</f>
        <v>#VALUE!</v>
      </c>
      <c r="IU9" t="e">
        <f>AND('Planilla_General_07-12-2012_8_3'!G136,"AAAAAG9/e/4=")</f>
        <v>#VALUE!</v>
      </c>
      <c r="IV9" t="e">
        <f>AND('Planilla_General_07-12-2012_8_3'!H136,"AAAAAG9/e/8=")</f>
        <v>#VALUE!</v>
      </c>
    </row>
    <row r="10" spans="1:256" x14ac:dyDescent="0.25">
      <c r="A10" t="e">
        <f>AND('Planilla_General_07-12-2012_8_3'!I136,"AAAAAC5/uwA=")</f>
        <v>#VALUE!</v>
      </c>
      <c r="B10" t="e">
        <f>AND('Planilla_General_07-12-2012_8_3'!J136,"AAAAAC5/uwE=")</f>
        <v>#VALUE!</v>
      </c>
      <c r="C10" t="e">
        <f>AND('Planilla_General_07-12-2012_8_3'!K136,"AAAAAC5/uwI=")</f>
        <v>#VALUE!</v>
      </c>
      <c r="D10" t="e">
        <f>AND('Planilla_General_07-12-2012_8_3'!L136,"AAAAAC5/uwM=")</f>
        <v>#VALUE!</v>
      </c>
      <c r="E10" t="e">
        <f>AND('Planilla_General_07-12-2012_8_3'!M136,"AAAAAC5/uwQ=")</f>
        <v>#VALUE!</v>
      </c>
      <c r="F10" t="e">
        <f>AND('Planilla_General_07-12-2012_8_3'!N136,"AAAAAC5/uwU=")</f>
        <v>#VALUE!</v>
      </c>
      <c r="G10" t="e">
        <f>AND('Planilla_General_07-12-2012_8_3'!O136,"AAAAAC5/uwY=")</f>
        <v>#VALUE!</v>
      </c>
      <c r="H10" t="e">
        <f>AND('Planilla_General_07-12-2012_8_3'!P136,"AAAAAC5/uwc=")</f>
        <v>#VALUE!</v>
      </c>
      <c r="I10" t="e">
        <f>IF('Planilla_General_07-12-2012_8_3'!137:137,"AAAAAC5/uwg=",0)</f>
        <v>#VALUE!</v>
      </c>
      <c r="J10" t="e">
        <f>AND('Planilla_General_07-12-2012_8_3'!A137,"AAAAAC5/uwk=")</f>
        <v>#VALUE!</v>
      </c>
      <c r="K10" t="e">
        <f>AND('Planilla_General_07-12-2012_8_3'!B137,"AAAAAC5/uwo=")</f>
        <v>#VALUE!</v>
      </c>
      <c r="L10" t="e">
        <f>AND('Planilla_General_07-12-2012_8_3'!C137,"AAAAAC5/uws=")</f>
        <v>#VALUE!</v>
      </c>
      <c r="M10" t="e">
        <f>AND('Planilla_General_07-12-2012_8_3'!D137,"AAAAAC5/uww=")</f>
        <v>#VALUE!</v>
      </c>
      <c r="N10" t="e">
        <f>AND('Planilla_General_07-12-2012_8_3'!E137,"AAAAAC5/uw0=")</f>
        <v>#VALUE!</v>
      </c>
      <c r="O10" t="e">
        <f>AND('Planilla_General_07-12-2012_8_3'!F137,"AAAAAC5/uw4=")</f>
        <v>#VALUE!</v>
      </c>
      <c r="P10" t="e">
        <f>AND('Planilla_General_07-12-2012_8_3'!G137,"AAAAAC5/uw8=")</f>
        <v>#VALUE!</v>
      </c>
      <c r="Q10" t="e">
        <f>AND('Planilla_General_07-12-2012_8_3'!H137,"AAAAAC5/uxA=")</f>
        <v>#VALUE!</v>
      </c>
      <c r="R10" t="e">
        <f>AND('Planilla_General_07-12-2012_8_3'!I137,"AAAAAC5/uxE=")</f>
        <v>#VALUE!</v>
      </c>
      <c r="S10" t="e">
        <f>AND('Planilla_General_07-12-2012_8_3'!J137,"AAAAAC5/uxI=")</f>
        <v>#VALUE!</v>
      </c>
      <c r="T10" t="e">
        <f>AND('Planilla_General_07-12-2012_8_3'!K137,"AAAAAC5/uxM=")</f>
        <v>#VALUE!</v>
      </c>
      <c r="U10" t="e">
        <f>AND('Planilla_General_07-12-2012_8_3'!L137,"AAAAAC5/uxQ=")</f>
        <v>#VALUE!</v>
      </c>
      <c r="V10" t="e">
        <f>AND('Planilla_General_07-12-2012_8_3'!M137,"AAAAAC5/uxU=")</f>
        <v>#VALUE!</v>
      </c>
      <c r="W10" t="e">
        <f>AND('Planilla_General_07-12-2012_8_3'!N137,"AAAAAC5/uxY=")</f>
        <v>#VALUE!</v>
      </c>
      <c r="X10" t="e">
        <f>AND('Planilla_General_07-12-2012_8_3'!O137,"AAAAAC5/uxc=")</f>
        <v>#VALUE!</v>
      </c>
      <c r="Y10" t="e">
        <f>AND('Planilla_General_07-12-2012_8_3'!P137,"AAAAAC5/uxg=")</f>
        <v>#VALUE!</v>
      </c>
      <c r="Z10">
        <f>IF('Planilla_General_07-12-2012_8_3'!138:138,"AAAAAC5/uxk=",0)</f>
        <v>0</v>
      </c>
      <c r="AA10" t="e">
        <f>AND('Planilla_General_07-12-2012_8_3'!A138,"AAAAAC5/uxo=")</f>
        <v>#VALUE!</v>
      </c>
      <c r="AB10" t="e">
        <f>AND('Planilla_General_07-12-2012_8_3'!B138,"AAAAAC5/uxs=")</f>
        <v>#VALUE!</v>
      </c>
      <c r="AC10" t="e">
        <f>AND('Planilla_General_07-12-2012_8_3'!C138,"AAAAAC5/uxw=")</f>
        <v>#VALUE!</v>
      </c>
      <c r="AD10" t="e">
        <f>AND('Planilla_General_07-12-2012_8_3'!D138,"AAAAAC5/ux0=")</f>
        <v>#VALUE!</v>
      </c>
      <c r="AE10" t="e">
        <f>AND('Planilla_General_07-12-2012_8_3'!E138,"AAAAAC5/ux4=")</f>
        <v>#VALUE!</v>
      </c>
      <c r="AF10" t="e">
        <f>AND('Planilla_General_07-12-2012_8_3'!F138,"AAAAAC5/ux8=")</f>
        <v>#VALUE!</v>
      </c>
      <c r="AG10" t="e">
        <f>AND('Planilla_General_07-12-2012_8_3'!G138,"AAAAAC5/uyA=")</f>
        <v>#VALUE!</v>
      </c>
      <c r="AH10" t="e">
        <f>AND('Planilla_General_07-12-2012_8_3'!H138,"AAAAAC5/uyE=")</f>
        <v>#VALUE!</v>
      </c>
      <c r="AI10" t="e">
        <f>AND('Planilla_General_07-12-2012_8_3'!I138,"AAAAAC5/uyI=")</f>
        <v>#VALUE!</v>
      </c>
      <c r="AJ10" t="e">
        <f>AND('Planilla_General_07-12-2012_8_3'!J138,"AAAAAC5/uyM=")</f>
        <v>#VALUE!</v>
      </c>
      <c r="AK10" t="e">
        <f>AND('Planilla_General_07-12-2012_8_3'!K138,"AAAAAC5/uyQ=")</f>
        <v>#VALUE!</v>
      </c>
      <c r="AL10" t="e">
        <f>AND('Planilla_General_07-12-2012_8_3'!L138,"AAAAAC5/uyU=")</f>
        <v>#VALUE!</v>
      </c>
      <c r="AM10" t="e">
        <f>AND('Planilla_General_07-12-2012_8_3'!M138,"AAAAAC5/uyY=")</f>
        <v>#VALUE!</v>
      </c>
      <c r="AN10" t="e">
        <f>AND('Planilla_General_07-12-2012_8_3'!N138,"AAAAAC5/uyc=")</f>
        <v>#VALUE!</v>
      </c>
      <c r="AO10" t="e">
        <f>AND('Planilla_General_07-12-2012_8_3'!O138,"AAAAAC5/uyg=")</f>
        <v>#VALUE!</v>
      </c>
      <c r="AP10" t="e">
        <f>AND('Planilla_General_07-12-2012_8_3'!P138,"AAAAAC5/uyk=")</f>
        <v>#VALUE!</v>
      </c>
      <c r="AQ10">
        <f>IF('Planilla_General_07-12-2012_8_3'!139:139,"AAAAAC5/uyo=",0)</f>
        <v>0</v>
      </c>
      <c r="AR10" t="e">
        <f>AND('Planilla_General_07-12-2012_8_3'!A139,"AAAAAC5/uys=")</f>
        <v>#VALUE!</v>
      </c>
      <c r="AS10" t="e">
        <f>AND('Planilla_General_07-12-2012_8_3'!B139,"AAAAAC5/uyw=")</f>
        <v>#VALUE!</v>
      </c>
      <c r="AT10" t="e">
        <f>AND('Planilla_General_07-12-2012_8_3'!C139,"AAAAAC5/uy0=")</f>
        <v>#VALUE!</v>
      </c>
      <c r="AU10" t="e">
        <f>AND('Planilla_General_07-12-2012_8_3'!D139,"AAAAAC5/uy4=")</f>
        <v>#VALUE!</v>
      </c>
      <c r="AV10" t="e">
        <f>AND('Planilla_General_07-12-2012_8_3'!E139,"AAAAAC5/uy8=")</f>
        <v>#VALUE!</v>
      </c>
      <c r="AW10" t="e">
        <f>AND('Planilla_General_07-12-2012_8_3'!F139,"AAAAAC5/uzA=")</f>
        <v>#VALUE!</v>
      </c>
      <c r="AX10" t="e">
        <f>AND('Planilla_General_07-12-2012_8_3'!G139,"AAAAAC5/uzE=")</f>
        <v>#VALUE!</v>
      </c>
      <c r="AY10" t="e">
        <f>AND('Planilla_General_07-12-2012_8_3'!H139,"AAAAAC5/uzI=")</f>
        <v>#VALUE!</v>
      </c>
      <c r="AZ10" t="e">
        <f>AND('Planilla_General_07-12-2012_8_3'!I139,"AAAAAC5/uzM=")</f>
        <v>#VALUE!</v>
      </c>
      <c r="BA10" t="e">
        <f>AND('Planilla_General_07-12-2012_8_3'!J139,"AAAAAC5/uzQ=")</f>
        <v>#VALUE!</v>
      </c>
      <c r="BB10" t="e">
        <f>AND('Planilla_General_07-12-2012_8_3'!K139,"AAAAAC5/uzU=")</f>
        <v>#VALUE!</v>
      </c>
      <c r="BC10" t="e">
        <f>AND('Planilla_General_07-12-2012_8_3'!L139,"AAAAAC5/uzY=")</f>
        <v>#VALUE!</v>
      </c>
      <c r="BD10" t="e">
        <f>AND('Planilla_General_07-12-2012_8_3'!M139,"AAAAAC5/uzc=")</f>
        <v>#VALUE!</v>
      </c>
      <c r="BE10" t="e">
        <f>AND('Planilla_General_07-12-2012_8_3'!N139,"AAAAAC5/uzg=")</f>
        <v>#VALUE!</v>
      </c>
      <c r="BF10" t="e">
        <f>AND('Planilla_General_07-12-2012_8_3'!O139,"AAAAAC5/uzk=")</f>
        <v>#VALUE!</v>
      </c>
      <c r="BG10" t="e">
        <f>AND('Planilla_General_07-12-2012_8_3'!P139,"AAAAAC5/uzo=")</f>
        <v>#VALUE!</v>
      </c>
      <c r="BH10">
        <f>IF('Planilla_General_07-12-2012_8_3'!140:140,"AAAAAC5/uzs=",0)</f>
        <v>0</v>
      </c>
      <c r="BI10" t="e">
        <f>AND('Planilla_General_07-12-2012_8_3'!A140,"AAAAAC5/uzw=")</f>
        <v>#VALUE!</v>
      </c>
      <c r="BJ10" t="e">
        <f>AND('Planilla_General_07-12-2012_8_3'!B140,"AAAAAC5/uz0=")</f>
        <v>#VALUE!</v>
      </c>
      <c r="BK10" t="e">
        <f>AND('Planilla_General_07-12-2012_8_3'!C140,"AAAAAC5/uz4=")</f>
        <v>#VALUE!</v>
      </c>
      <c r="BL10" t="e">
        <f>AND('Planilla_General_07-12-2012_8_3'!D140,"AAAAAC5/uz8=")</f>
        <v>#VALUE!</v>
      </c>
      <c r="BM10" t="e">
        <f>AND('Planilla_General_07-12-2012_8_3'!E140,"AAAAAC5/u0A=")</f>
        <v>#VALUE!</v>
      </c>
      <c r="BN10" t="e">
        <f>AND('Planilla_General_07-12-2012_8_3'!F140,"AAAAAC5/u0E=")</f>
        <v>#VALUE!</v>
      </c>
      <c r="BO10" t="e">
        <f>AND('Planilla_General_07-12-2012_8_3'!G140,"AAAAAC5/u0I=")</f>
        <v>#VALUE!</v>
      </c>
      <c r="BP10" t="e">
        <f>AND('Planilla_General_07-12-2012_8_3'!H140,"AAAAAC5/u0M=")</f>
        <v>#VALUE!</v>
      </c>
      <c r="BQ10" t="e">
        <f>AND('Planilla_General_07-12-2012_8_3'!I140,"AAAAAC5/u0Q=")</f>
        <v>#VALUE!</v>
      </c>
      <c r="BR10" t="e">
        <f>AND('Planilla_General_07-12-2012_8_3'!J140,"AAAAAC5/u0U=")</f>
        <v>#VALUE!</v>
      </c>
      <c r="BS10" t="e">
        <f>AND('Planilla_General_07-12-2012_8_3'!K140,"AAAAAC5/u0Y=")</f>
        <v>#VALUE!</v>
      </c>
      <c r="BT10" t="e">
        <f>AND('Planilla_General_07-12-2012_8_3'!L140,"AAAAAC5/u0c=")</f>
        <v>#VALUE!</v>
      </c>
      <c r="BU10" t="e">
        <f>AND('Planilla_General_07-12-2012_8_3'!M140,"AAAAAC5/u0g=")</f>
        <v>#VALUE!</v>
      </c>
      <c r="BV10" t="e">
        <f>AND('Planilla_General_07-12-2012_8_3'!N140,"AAAAAC5/u0k=")</f>
        <v>#VALUE!</v>
      </c>
      <c r="BW10" t="e">
        <f>AND('Planilla_General_07-12-2012_8_3'!O140,"AAAAAC5/u0o=")</f>
        <v>#VALUE!</v>
      </c>
      <c r="BX10" t="e">
        <f>AND('Planilla_General_07-12-2012_8_3'!P140,"AAAAAC5/u0s=")</f>
        <v>#VALUE!</v>
      </c>
      <c r="BY10">
        <f>IF('Planilla_General_07-12-2012_8_3'!141:141,"AAAAAC5/u0w=",0)</f>
        <v>0</v>
      </c>
      <c r="BZ10" t="e">
        <f>AND('Planilla_General_07-12-2012_8_3'!A141,"AAAAAC5/u00=")</f>
        <v>#VALUE!</v>
      </c>
      <c r="CA10" t="e">
        <f>AND('Planilla_General_07-12-2012_8_3'!B141,"AAAAAC5/u04=")</f>
        <v>#VALUE!</v>
      </c>
      <c r="CB10" t="e">
        <f>AND('Planilla_General_07-12-2012_8_3'!C141,"AAAAAC5/u08=")</f>
        <v>#VALUE!</v>
      </c>
      <c r="CC10" t="e">
        <f>AND('Planilla_General_07-12-2012_8_3'!D141,"AAAAAC5/u1A=")</f>
        <v>#VALUE!</v>
      </c>
      <c r="CD10" t="e">
        <f>AND('Planilla_General_07-12-2012_8_3'!E141,"AAAAAC5/u1E=")</f>
        <v>#VALUE!</v>
      </c>
      <c r="CE10" t="e">
        <f>AND('Planilla_General_07-12-2012_8_3'!F141,"AAAAAC5/u1I=")</f>
        <v>#VALUE!</v>
      </c>
      <c r="CF10" t="e">
        <f>AND('Planilla_General_07-12-2012_8_3'!G141,"AAAAAC5/u1M=")</f>
        <v>#VALUE!</v>
      </c>
      <c r="CG10" t="e">
        <f>AND('Planilla_General_07-12-2012_8_3'!H141,"AAAAAC5/u1Q=")</f>
        <v>#VALUE!</v>
      </c>
      <c r="CH10" t="e">
        <f>AND('Planilla_General_07-12-2012_8_3'!I141,"AAAAAC5/u1U=")</f>
        <v>#VALUE!</v>
      </c>
      <c r="CI10" t="e">
        <f>AND('Planilla_General_07-12-2012_8_3'!J141,"AAAAAC5/u1Y=")</f>
        <v>#VALUE!</v>
      </c>
      <c r="CJ10" t="e">
        <f>AND('Planilla_General_07-12-2012_8_3'!K141,"AAAAAC5/u1c=")</f>
        <v>#VALUE!</v>
      </c>
      <c r="CK10" t="e">
        <f>AND('Planilla_General_07-12-2012_8_3'!L141,"AAAAAC5/u1g=")</f>
        <v>#VALUE!</v>
      </c>
      <c r="CL10" t="e">
        <f>AND('Planilla_General_07-12-2012_8_3'!M141,"AAAAAC5/u1k=")</f>
        <v>#VALUE!</v>
      </c>
      <c r="CM10" t="e">
        <f>AND('Planilla_General_07-12-2012_8_3'!N141,"AAAAAC5/u1o=")</f>
        <v>#VALUE!</v>
      </c>
      <c r="CN10" t="e">
        <f>AND('Planilla_General_07-12-2012_8_3'!O141,"AAAAAC5/u1s=")</f>
        <v>#VALUE!</v>
      </c>
      <c r="CO10" t="e">
        <f>AND('Planilla_General_07-12-2012_8_3'!P141,"AAAAAC5/u1w=")</f>
        <v>#VALUE!</v>
      </c>
      <c r="CP10">
        <f>IF('Planilla_General_07-12-2012_8_3'!142:142,"AAAAAC5/u10=",0)</f>
        <v>0</v>
      </c>
      <c r="CQ10" t="e">
        <f>AND('Planilla_General_07-12-2012_8_3'!A142,"AAAAAC5/u14=")</f>
        <v>#VALUE!</v>
      </c>
      <c r="CR10" t="e">
        <f>AND('Planilla_General_07-12-2012_8_3'!B142,"AAAAAC5/u18=")</f>
        <v>#VALUE!</v>
      </c>
      <c r="CS10" t="e">
        <f>AND('Planilla_General_07-12-2012_8_3'!C142,"AAAAAC5/u2A=")</f>
        <v>#VALUE!</v>
      </c>
      <c r="CT10" t="e">
        <f>AND('Planilla_General_07-12-2012_8_3'!D142,"AAAAAC5/u2E=")</f>
        <v>#VALUE!</v>
      </c>
      <c r="CU10" t="e">
        <f>AND('Planilla_General_07-12-2012_8_3'!E142,"AAAAAC5/u2I=")</f>
        <v>#VALUE!</v>
      </c>
      <c r="CV10" t="e">
        <f>AND('Planilla_General_07-12-2012_8_3'!F142,"AAAAAC5/u2M=")</f>
        <v>#VALUE!</v>
      </c>
      <c r="CW10" t="e">
        <f>AND('Planilla_General_07-12-2012_8_3'!G142,"AAAAAC5/u2Q=")</f>
        <v>#VALUE!</v>
      </c>
      <c r="CX10" t="e">
        <f>AND('Planilla_General_07-12-2012_8_3'!H142,"AAAAAC5/u2U=")</f>
        <v>#VALUE!</v>
      </c>
      <c r="CY10" t="e">
        <f>AND('Planilla_General_07-12-2012_8_3'!I142,"AAAAAC5/u2Y=")</f>
        <v>#VALUE!</v>
      </c>
      <c r="CZ10" t="e">
        <f>AND('Planilla_General_07-12-2012_8_3'!J142,"AAAAAC5/u2c=")</f>
        <v>#VALUE!</v>
      </c>
      <c r="DA10" t="e">
        <f>AND('Planilla_General_07-12-2012_8_3'!K142,"AAAAAC5/u2g=")</f>
        <v>#VALUE!</v>
      </c>
      <c r="DB10" t="e">
        <f>AND('Planilla_General_07-12-2012_8_3'!L142,"AAAAAC5/u2k=")</f>
        <v>#VALUE!</v>
      </c>
      <c r="DC10" t="e">
        <f>AND('Planilla_General_07-12-2012_8_3'!M142,"AAAAAC5/u2o=")</f>
        <v>#VALUE!</v>
      </c>
      <c r="DD10" t="e">
        <f>AND('Planilla_General_07-12-2012_8_3'!N142,"AAAAAC5/u2s=")</f>
        <v>#VALUE!</v>
      </c>
      <c r="DE10" t="e">
        <f>AND('Planilla_General_07-12-2012_8_3'!O142,"AAAAAC5/u2w=")</f>
        <v>#VALUE!</v>
      </c>
      <c r="DF10" t="e">
        <f>AND('Planilla_General_07-12-2012_8_3'!P142,"AAAAAC5/u20=")</f>
        <v>#VALUE!</v>
      </c>
      <c r="DG10">
        <f>IF('Planilla_General_07-12-2012_8_3'!143:143,"AAAAAC5/u24=",0)</f>
        <v>0</v>
      </c>
      <c r="DH10" t="e">
        <f>AND('Planilla_General_07-12-2012_8_3'!A143,"AAAAAC5/u28=")</f>
        <v>#VALUE!</v>
      </c>
      <c r="DI10" t="e">
        <f>AND('Planilla_General_07-12-2012_8_3'!B143,"AAAAAC5/u3A=")</f>
        <v>#VALUE!</v>
      </c>
      <c r="DJ10" t="e">
        <f>AND('Planilla_General_07-12-2012_8_3'!C143,"AAAAAC5/u3E=")</f>
        <v>#VALUE!</v>
      </c>
      <c r="DK10" t="e">
        <f>AND('Planilla_General_07-12-2012_8_3'!D143,"AAAAAC5/u3I=")</f>
        <v>#VALUE!</v>
      </c>
      <c r="DL10" t="e">
        <f>AND('Planilla_General_07-12-2012_8_3'!E143,"AAAAAC5/u3M=")</f>
        <v>#VALUE!</v>
      </c>
      <c r="DM10" t="e">
        <f>AND('Planilla_General_07-12-2012_8_3'!F143,"AAAAAC5/u3Q=")</f>
        <v>#VALUE!</v>
      </c>
      <c r="DN10" t="e">
        <f>AND('Planilla_General_07-12-2012_8_3'!G143,"AAAAAC5/u3U=")</f>
        <v>#VALUE!</v>
      </c>
      <c r="DO10" t="e">
        <f>AND('Planilla_General_07-12-2012_8_3'!H143,"AAAAAC5/u3Y=")</f>
        <v>#VALUE!</v>
      </c>
      <c r="DP10" t="e">
        <f>AND('Planilla_General_07-12-2012_8_3'!I143,"AAAAAC5/u3c=")</f>
        <v>#VALUE!</v>
      </c>
      <c r="DQ10" t="e">
        <f>AND('Planilla_General_07-12-2012_8_3'!J143,"AAAAAC5/u3g=")</f>
        <v>#VALUE!</v>
      </c>
      <c r="DR10" t="e">
        <f>AND('Planilla_General_07-12-2012_8_3'!K143,"AAAAAC5/u3k=")</f>
        <v>#VALUE!</v>
      </c>
      <c r="DS10" t="e">
        <f>AND('Planilla_General_07-12-2012_8_3'!L143,"AAAAAC5/u3o=")</f>
        <v>#VALUE!</v>
      </c>
      <c r="DT10" t="e">
        <f>AND('Planilla_General_07-12-2012_8_3'!M143,"AAAAAC5/u3s=")</f>
        <v>#VALUE!</v>
      </c>
      <c r="DU10" t="e">
        <f>AND('Planilla_General_07-12-2012_8_3'!N143,"AAAAAC5/u3w=")</f>
        <v>#VALUE!</v>
      </c>
      <c r="DV10" t="e">
        <f>AND('Planilla_General_07-12-2012_8_3'!O143,"AAAAAC5/u30=")</f>
        <v>#VALUE!</v>
      </c>
      <c r="DW10" t="e">
        <f>AND('Planilla_General_07-12-2012_8_3'!P143,"AAAAAC5/u34=")</f>
        <v>#VALUE!</v>
      </c>
      <c r="DX10">
        <f>IF('Planilla_General_07-12-2012_8_3'!144:144,"AAAAAC5/u38=",0)</f>
        <v>0</v>
      </c>
      <c r="DY10" t="e">
        <f>AND('Planilla_General_07-12-2012_8_3'!A144,"AAAAAC5/u4A=")</f>
        <v>#VALUE!</v>
      </c>
      <c r="DZ10" t="e">
        <f>AND('Planilla_General_07-12-2012_8_3'!B144,"AAAAAC5/u4E=")</f>
        <v>#VALUE!</v>
      </c>
      <c r="EA10" t="e">
        <f>AND('Planilla_General_07-12-2012_8_3'!C144,"AAAAAC5/u4I=")</f>
        <v>#VALUE!</v>
      </c>
      <c r="EB10" t="e">
        <f>AND('Planilla_General_07-12-2012_8_3'!D144,"AAAAAC5/u4M=")</f>
        <v>#VALUE!</v>
      </c>
      <c r="EC10" t="e">
        <f>AND('Planilla_General_07-12-2012_8_3'!E144,"AAAAAC5/u4Q=")</f>
        <v>#VALUE!</v>
      </c>
      <c r="ED10" t="e">
        <f>AND('Planilla_General_07-12-2012_8_3'!F144,"AAAAAC5/u4U=")</f>
        <v>#VALUE!</v>
      </c>
      <c r="EE10" t="e">
        <f>AND('Planilla_General_07-12-2012_8_3'!G144,"AAAAAC5/u4Y=")</f>
        <v>#VALUE!</v>
      </c>
      <c r="EF10" t="e">
        <f>AND('Planilla_General_07-12-2012_8_3'!H144,"AAAAAC5/u4c=")</f>
        <v>#VALUE!</v>
      </c>
      <c r="EG10" t="e">
        <f>AND('Planilla_General_07-12-2012_8_3'!I144,"AAAAAC5/u4g=")</f>
        <v>#VALUE!</v>
      </c>
      <c r="EH10" t="e">
        <f>AND('Planilla_General_07-12-2012_8_3'!J144,"AAAAAC5/u4k=")</f>
        <v>#VALUE!</v>
      </c>
      <c r="EI10" t="e">
        <f>AND('Planilla_General_07-12-2012_8_3'!K144,"AAAAAC5/u4o=")</f>
        <v>#VALUE!</v>
      </c>
      <c r="EJ10" t="e">
        <f>AND('Planilla_General_07-12-2012_8_3'!L144,"AAAAAC5/u4s=")</f>
        <v>#VALUE!</v>
      </c>
      <c r="EK10" t="e">
        <f>AND('Planilla_General_07-12-2012_8_3'!M144,"AAAAAC5/u4w=")</f>
        <v>#VALUE!</v>
      </c>
      <c r="EL10" t="e">
        <f>AND('Planilla_General_07-12-2012_8_3'!N144,"AAAAAC5/u40=")</f>
        <v>#VALUE!</v>
      </c>
      <c r="EM10" t="e">
        <f>AND('Planilla_General_07-12-2012_8_3'!O144,"AAAAAC5/u44=")</f>
        <v>#VALUE!</v>
      </c>
      <c r="EN10" t="e">
        <f>AND('Planilla_General_07-12-2012_8_3'!P144,"AAAAAC5/u48=")</f>
        <v>#VALUE!</v>
      </c>
      <c r="EO10">
        <f>IF('Planilla_General_07-12-2012_8_3'!145:145,"AAAAAC5/u5A=",0)</f>
        <v>0</v>
      </c>
      <c r="EP10" t="e">
        <f>AND('Planilla_General_07-12-2012_8_3'!A145,"AAAAAC5/u5E=")</f>
        <v>#VALUE!</v>
      </c>
      <c r="EQ10" t="e">
        <f>AND('Planilla_General_07-12-2012_8_3'!B145,"AAAAAC5/u5I=")</f>
        <v>#VALUE!</v>
      </c>
      <c r="ER10" t="e">
        <f>AND('Planilla_General_07-12-2012_8_3'!C145,"AAAAAC5/u5M=")</f>
        <v>#VALUE!</v>
      </c>
      <c r="ES10" t="e">
        <f>AND('Planilla_General_07-12-2012_8_3'!D145,"AAAAAC5/u5Q=")</f>
        <v>#VALUE!</v>
      </c>
      <c r="ET10" t="e">
        <f>AND('Planilla_General_07-12-2012_8_3'!E145,"AAAAAC5/u5U=")</f>
        <v>#VALUE!</v>
      </c>
      <c r="EU10" t="e">
        <f>AND('Planilla_General_07-12-2012_8_3'!F145,"AAAAAC5/u5Y=")</f>
        <v>#VALUE!</v>
      </c>
      <c r="EV10" t="e">
        <f>AND('Planilla_General_07-12-2012_8_3'!G145,"AAAAAC5/u5c=")</f>
        <v>#VALUE!</v>
      </c>
      <c r="EW10" t="e">
        <f>AND('Planilla_General_07-12-2012_8_3'!H145,"AAAAAC5/u5g=")</f>
        <v>#VALUE!</v>
      </c>
      <c r="EX10" t="e">
        <f>AND('Planilla_General_07-12-2012_8_3'!I145,"AAAAAC5/u5k=")</f>
        <v>#VALUE!</v>
      </c>
      <c r="EY10" t="e">
        <f>AND('Planilla_General_07-12-2012_8_3'!J145,"AAAAAC5/u5o=")</f>
        <v>#VALUE!</v>
      </c>
      <c r="EZ10" t="e">
        <f>AND('Planilla_General_07-12-2012_8_3'!K145,"AAAAAC5/u5s=")</f>
        <v>#VALUE!</v>
      </c>
      <c r="FA10" t="e">
        <f>AND('Planilla_General_07-12-2012_8_3'!L145,"AAAAAC5/u5w=")</f>
        <v>#VALUE!</v>
      </c>
      <c r="FB10" t="e">
        <f>AND('Planilla_General_07-12-2012_8_3'!M145,"AAAAAC5/u50=")</f>
        <v>#VALUE!</v>
      </c>
      <c r="FC10" t="e">
        <f>AND('Planilla_General_07-12-2012_8_3'!N145,"AAAAAC5/u54=")</f>
        <v>#VALUE!</v>
      </c>
      <c r="FD10" t="e">
        <f>AND('Planilla_General_07-12-2012_8_3'!O145,"AAAAAC5/u58=")</f>
        <v>#VALUE!</v>
      </c>
      <c r="FE10" t="e">
        <f>AND('Planilla_General_07-12-2012_8_3'!P145,"AAAAAC5/u6A=")</f>
        <v>#VALUE!</v>
      </c>
      <c r="FF10">
        <f>IF('Planilla_General_07-12-2012_8_3'!146:146,"AAAAAC5/u6E=",0)</f>
        <v>0</v>
      </c>
      <c r="FG10" t="e">
        <f>AND('Planilla_General_07-12-2012_8_3'!A146,"AAAAAC5/u6I=")</f>
        <v>#VALUE!</v>
      </c>
      <c r="FH10" t="e">
        <f>AND('Planilla_General_07-12-2012_8_3'!B146,"AAAAAC5/u6M=")</f>
        <v>#VALUE!</v>
      </c>
      <c r="FI10" t="e">
        <f>AND('Planilla_General_07-12-2012_8_3'!C146,"AAAAAC5/u6Q=")</f>
        <v>#VALUE!</v>
      </c>
      <c r="FJ10" t="e">
        <f>AND('Planilla_General_07-12-2012_8_3'!D146,"AAAAAC5/u6U=")</f>
        <v>#VALUE!</v>
      </c>
      <c r="FK10" t="e">
        <f>AND('Planilla_General_07-12-2012_8_3'!E146,"AAAAAC5/u6Y=")</f>
        <v>#VALUE!</v>
      </c>
      <c r="FL10" t="e">
        <f>AND('Planilla_General_07-12-2012_8_3'!F146,"AAAAAC5/u6c=")</f>
        <v>#VALUE!</v>
      </c>
      <c r="FM10" t="e">
        <f>AND('Planilla_General_07-12-2012_8_3'!G146,"AAAAAC5/u6g=")</f>
        <v>#VALUE!</v>
      </c>
      <c r="FN10" t="e">
        <f>AND('Planilla_General_07-12-2012_8_3'!H146,"AAAAAC5/u6k=")</f>
        <v>#VALUE!</v>
      </c>
      <c r="FO10" t="e">
        <f>AND('Planilla_General_07-12-2012_8_3'!I146,"AAAAAC5/u6o=")</f>
        <v>#VALUE!</v>
      </c>
      <c r="FP10" t="e">
        <f>AND('Planilla_General_07-12-2012_8_3'!J146,"AAAAAC5/u6s=")</f>
        <v>#VALUE!</v>
      </c>
      <c r="FQ10" t="e">
        <f>AND('Planilla_General_07-12-2012_8_3'!K146,"AAAAAC5/u6w=")</f>
        <v>#VALUE!</v>
      </c>
      <c r="FR10" t="e">
        <f>AND('Planilla_General_07-12-2012_8_3'!L146,"AAAAAC5/u60=")</f>
        <v>#VALUE!</v>
      </c>
      <c r="FS10" t="e">
        <f>AND('Planilla_General_07-12-2012_8_3'!M146,"AAAAAC5/u64=")</f>
        <v>#VALUE!</v>
      </c>
      <c r="FT10" t="e">
        <f>AND('Planilla_General_07-12-2012_8_3'!N146,"AAAAAC5/u68=")</f>
        <v>#VALUE!</v>
      </c>
      <c r="FU10" t="e">
        <f>AND('Planilla_General_07-12-2012_8_3'!O146,"AAAAAC5/u7A=")</f>
        <v>#VALUE!</v>
      </c>
      <c r="FV10" t="e">
        <f>AND('Planilla_General_07-12-2012_8_3'!P146,"AAAAAC5/u7E=")</f>
        <v>#VALUE!</v>
      </c>
      <c r="FW10">
        <f>IF('Planilla_General_07-12-2012_8_3'!147:147,"AAAAAC5/u7I=",0)</f>
        <v>0</v>
      </c>
      <c r="FX10" t="e">
        <f>AND('Planilla_General_07-12-2012_8_3'!A147,"AAAAAC5/u7M=")</f>
        <v>#VALUE!</v>
      </c>
      <c r="FY10" t="e">
        <f>AND('Planilla_General_07-12-2012_8_3'!B147,"AAAAAC5/u7Q=")</f>
        <v>#VALUE!</v>
      </c>
      <c r="FZ10" t="e">
        <f>AND('Planilla_General_07-12-2012_8_3'!C147,"AAAAAC5/u7U=")</f>
        <v>#VALUE!</v>
      </c>
      <c r="GA10" t="e">
        <f>AND('Planilla_General_07-12-2012_8_3'!D147,"AAAAAC5/u7Y=")</f>
        <v>#VALUE!</v>
      </c>
      <c r="GB10" t="e">
        <f>AND('Planilla_General_07-12-2012_8_3'!E147,"AAAAAC5/u7c=")</f>
        <v>#VALUE!</v>
      </c>
      <c r="GC10" t="e">
        <f>AND('Planilla_General_07-12-2012_8_3'!F147,"AAAAAC5/u7g=")</f>
        <v>#VALUE!</v>
      </c>
      <c r="GD10" t="e">
        <f>AND('Planilla_General_07-12-2012_8_3'!G147,"AAAAAC5/u7k=")</f>
        <v>#VALUE!</v>
      </c>
      <c r="GE10" t="e">
        <f>AND('Planilla_General_07-12-2012_8_3'!H147,"AAAAAC5/u7o=")</f>
        <v>#VALUE!</v>
      </c>
      <c r="GF10" t="e">
        <f>AND('Planilla_General_07-12-2012_8_3'!I147,"AAAAAC5/u7s=")</f>
        <v>#VALUE!</v>
      </c>
      <c r="GG10" t="e">
        <f>AND('Planilla_General_07-12-2012_8_3'!J147,"AAAAAC5/u7w=")</f>
        <v>#VALUE!</v>
      </c>
      <c r="GH10" t="e">
        <f>AND('Planilla_General_07-12-2012_8_3'!K147,"AAAAAC5/u70=")</f>
        <v>#VALUE!</v>
      </c>
      <c r="GI10" t="e">
        <f>AND('Planilla_General_07-12-2012_8_3'!L147,"AAAAAC5/u74=")</f>
        <v>#VALUE!</v>
      </c>
      <c r="GJ10" t="e">
        <f>AND('Planilla_General_07-12-2012_8_3'!M147,"AAAAAC5/u78=")</f>
        <v>#VALUE!</v>
      </c>
      <c r="GK10" t="e">
        <f>AND('Planilla_General_07-12-2012_8_3'!N147,"AAAAAC5/u8A=")</f>
        <v>#VALUE!</v>
      </c>
      <c r="GL10" t="e">
        <f>AND('Planilla_General_07-12-2012_8_3'!O147,"AAAAAC5/u8E=")</f>
        <v>#VALUE!</v>
      </c>
      <c r="GM10" t="e">
        <f>AND('Planilla_General_07-12-2012_8_3'!P147,"AAAAAC5/u8I=")</f>
        <v>#VALUE!</v>
      </c>
      <c r="GN10">
        <f>IF('Planilla_General_07-12-2012_8_3'!148:148,"AAAAAC5/u8M=",0)</f>
        <v>0</v>
      </c>
      <c r="GO10" t="e">
        <f>AND('Planilla_General_07-12-2012_8_3'!A148,"AAAAAC5/u8Q=")</f>
        <v>#VALUE!</v>
      </c>
      <c r="GP10" t="e">
        <f>AND('Planilla_General_07-12-2012_8_3'!B148,"AAAAAC5/u8U=")</f>
        <v>#VALUE!</v>
      </c>
      <c r="GQ10" t="e">
        <f>AND('Planilla_General_07-12-2012_8_3'!C148,"AAAAAC5/u8Y=")</f>
        <v>#VALUE!</v>
      </c>
      <c r="GR10" t="e">
        <f>AND('Planilla_General_07-12-2012_8_3'!D148,"AAAAAC5/u8c=")</f>
        <v>#VALUE!</v>
      </c>
      <c r="GS10" t="e">
        <f>AND('Planilla_General_07-12-2012_8_3'!E148,"AAAAAC5/u8g=")</f>
        <v>#VALUE!</v>
      </c>
      <c r="GT10" t="e">
        <f>AND('Planilla_General_07-12-2012_8_3'!F148,"AAAAAC5/u8k=")</f>
        <v>#VALUE!</v>
      </c>
      <c r="GU10" t="e">
        <f>AND('Planilla_General_07-12-2012_8_3'!G148,"AAAAAC5/u8o=")</f>
        <v>#VALUE!</v>
      </c>
      <c r="GV10" t="e">
        <f>AND('Planilla_General_07-12-2012_8_3'!H148,"AAAAAC5/u8s=")</f>
        <v>#VALUE!</v>
      </c>
      <c r="GW10" t="e">
        <f>AND('Planilla_General_07-12-2012_8_3'!I148,"AAAAAC5/u8w=")</f>
        <v>#VALUE!</v>
      </c>
      <c r="GX10" t="e">
        <f>AND('Planilla_General_07-12-2012_8_3'!J148,"AAAAAC5/u80=")</f>
        <v>#VALUE!</v>
      </c>
      <c r="GY10" t="e">
        <f>AND('Planilla_General_07-12-2012_8_3'!K148,"AAAAAC5/u84=")</f>
        <v>#VALUE!</v>
      </c>
      <c r="GZ10" t="e">
        <f>AND('Planilla_General_07-12-2012_8_3'!L148,"AAAAAC5/u88=")</f>
        <v>#VALUE!</v>
      </c>
      <c r="HA10" t="e">
        <f>AND('Planilla_General_07-12-2012_8_3'!M148,"AAAAAC5/u9A=")</f>
        <v>#VALUE!</v>
      </c>
      <c r="HB10" t="e">
        <f>AND('Planilla_General_07-12-2012_8_3'!N148,"AAAAAC5/u9E=")</f>
        <v>#VALUE!</v>
      </c>
      <c r="HC10" t="e">
        <f>AND('Planilla_General_07-12-2012_8_3'!O148,"AAAAAC5/u9I=")</f>
        <v>#VALUE!</v>
      </c>
      <c r="HD10" t="e">
        <f>AND('Planilla_General_07-12-2012_8_3'!P148,"AAAAAC5/u9M=")</f>
        <v>#VALUE!</v>
      </c>
      <c r="HE10">
        <f>IF('Planilla_General_07-12-2012_8_3'!149:149,"AAAAAC5/u9Q=",0)</f>
        <v>0</v>
      </c>
      <c r="HF10" t="e">
        <f>AND('Planilla_General_07-12-2012_8_3'!A149,"AAAAAC5/u9U=")</f>
        <v>#VALUE!</v>
      </c>
      <c r="HG10" t="e">
        <f>AND('Planilla_General_07-12-2012_8_3'!B149,"AAAAAC5/u9Y=")</f>
        <v>#VALUE!</v>
      </c>
      <c r="HH10" t="e">
        <f>AND('Planilla_General_07-12-2012_8_3'!C149,"AAAAAC5/u9c=")</f>
        <v>#VALUE!</v>
      </c>
      <c r="HI10" t="e">
        <f>AND('Planilla_General_07-12-2012_8_3'!D149,"AAAAAC5/u9g=")</f>
        <v>#VALUE!</v>
      </c>
      <c r="HJ10" t="e">
        <f>AND('Planilla_General_07-12-2012_8_3'!E149,"AAAAAC5/u9k=")</f>
        <v>#VALUE!</v>
      </c>
      <c r="HK10" t="e">
        <f>AND('Planilla_General_07-12-2012_8_3'!F149,"AAAAAC5/u9o=")</f>
        <v>#VALUE!</v>
      </c>
      <c r="HL10" t="e">
        <f>AND('Planilla_General_07-12-2012_8_3'!G149,"AAAAAC5/u9s=")</f>
        <v>#VALUE!</v>
      </c>
      <c r="HM10" t="e">
        <f>AND('Planilla_General_07-12-2012_8_3'!H149,"AAAAAC5/u9w=")</f>
        <v>#VALUE!</v>
      </c>
      <c r="HN10" t="e">
        <f>AND('Planilla_General_07-12-2012_8_3'!I149,"AAAAAC5/u90=")</f>
        <v>#VALUE!</v>
      </c>
      <c r="HO10" t="e">
        <f>AND('Planilla_General_07-12-2012_8_3'!J149,"AAAAAC5/u94=")</f>
        <v>#VALUE!</v>
      </c>
      <c r="HP10" t="e">
        <f>AND('Planilla_General_07-12-2012_8_3'!K149,"AAAAAC5/u98=")</f>
        <v>#VALUE!</v>
      </c>
      <c r="HQ10" t="e">
        <f>AND('Planilla_General_07-12-2012_8_3'!L149,"AAAAAC5/u+A=")</f>
        <v>#VALUE!</v>
      </c>
      <c r="HR10" t="e">
        <f>AND('Planilla_General_07-12-2012_8_3'!M149,"AAAAAC5/u+E=")</f>
        <v>#VALUE!</v>
      </c>
      <c r="HS10" t="e">
        <f>AND('Planilla_General_07-12-2012_8_3'!N149,"AAAAAC5/u+I=")</f>
        <v>#VALUE!</v>
      </c>
      <c r="HT10" t="e">
        <f>AND('Planilla_General_07-12-2012_8_3'!O149,"AAAAAC5/u+M=")</f>
        <v>#VALUE!</v>
      </c>
      <c r="HU10" t="e">
        <f>AND('Planilla_General_07-12-2012_8_3'!P149,"AAAAAC5/u+Q=")</f>
        <v>#VALUE!</v>
      </c>
      <c r="HV10">
        <f>IF('Planilla_General_07-12-2012_8_3'!150:150,"AAAAAC5/u+U=",0)</f>
        <v>0</v>
      </c>
      <c r="HW10" t="e">
        <f>AND('Planilla_General_07-12-2012_8_3'!A150,"AAAAAC5/u+Y=")</f>
        <v>#VALUE!</v>
      </c>
      <c r="HX10" t="e">
        <f>AND('Planilla_General_07-12-2012_8_3'!B150,"AAAAAC5/u+c=")</f>
        <v>#VALUE!</v>
      </c>
      <c r="HY10" t="e">
        <f>AND('Planilla_General_07-12-2012_8_3'!C150,"AAAAAC5/u+g=")</f>
        <v>#VALUE!</v>
      </c>
      <c r="HZ10" t="e">
        <f>AND('Planilla_General_07-12-2012_8_3'!D150,"AAAAAC5/u+k=")</f>
        <v>#VALUE!</v>
      </c>
      <c r="IA10" t="e">
        <f>AND('Planilla_General_07-12-2012_8_3'!E150,"AAAAAC5/u+o=")</f>
        <v>#VALUE!</v>
      </c>
      <c r="IB10" t="e">
        <f>AND('Planilla_General_07-12-2012_8_3'!F150,"AAAAAC5/u+s=")</f>
        <v>#VALUE!</v>
      </c>
      <c r="IC10" t="e">
        <f>AND('Planilla_General_07-12-2012_8_3'!G150,"AAAAAC5/u+w=")</f>
        <v>#VALUE!</v>
      </c>
      <c r="ID10" t="e">
        <f>AND('Planilla_General_07-12-2012_8_3'!H150,"AAAAAC5/u+0=")</f>
        <v>#VALUE!</v>
      </c>
      <c r="IE10" t="e">
        <f>AND('Planilla_General_07-12-2012_8_3'!I150,"AAAAAC5/u+4=")</f>
        <v>#VALUE!</v>
      </c>
      <c r="IF10" t="e">
        <f>AND('Planilla_General_07-12-2012_8_3'!J150,"AAAAAC5/u+8=")</f>
        <v>#VALUE!</v>
      </c>
      <c r="IG10" t="e">
        <f>AND('Planilla_General_07-12-2012_8_3'!K150,"AAAAAC5/u/A=")</f>
        <v>#VALUE!</v>
      </c>
      <c r="IH10" t="e">
        <f>AND('Planilla_General_07-12-2012_8_3'!L150,"AAAAAC5/u/E=")</f>
        <v>#VALUE!</v>
      </c>
      <c r="II10" t="e">
        <f>AND('Planilla_General_07-12-2012_8_3'!M150,"AAAAAC5/u/I=")</f>
        <v>#VALUE!</v>
      </c>
      <c r="IJ10" t="e">
        <f>AND('Planilla_General_07-12-2012_8_3'!N150,"AAAAAC5/u/M=")</f>
        <v>#VALUE!</v>
      </c>
      <c r="IK10" t="e">
        <f>AND('Planilla_General_07-12-2012_8_3'!O150,"AAAAAC5/u/Q=")</f>
        <v>#VALUE!</v>
      </c>
      <c r="IL10" t="e">
        <f>AND('Planilla_General_07-12-2012_8_3'!P150,"AAAAAC5/u/U=")</f>
        <v>#VALUE!</v>
      </c>
      <c r="IM10">
        <f>IF('Planilla_General_07-12-2012_8_3'!151:151,"AAAAAC5/u/Y=",0)</f>
        <v>0</v>
      </c>
      <c r="IN10" t="e">
        <f>AND('Planilla_General_07-12-2012_8_3'!A151,"AAAAAC5/u/c=")</f>
        <v>#VALUE!</v>
      </c>
      <c r="IO10" t="e">
        <f>AND('Planilla_General_07-12-2012_8_3'!B151,"AAAAAC5/u/g=")</f>
        <v>#VALUE!</v>
      </c>
      <c r="IP10" t="e">
        <f>AND('Planilla_General_07-12-2012_8_3'!C151,"AAAAAC5/u/k=")</f>
        <v>#VALUE!</v>
      </c>
      <c r="IQ10" t="e">
        <f>AND('Planilla_General_07-12-2012_8_3'!D151,"AAAAAC5/u/o=")</f>
        <v>#VALUE!</v>
      </c>
      <c r="IR10" t="e">
        <f>AND('Planilla_General_07-12-2012_8_3'!E151,"AAAAAC5/u/s=")</f>
        <v>#VALUE!</v>
      </c>
      <c r="IS10" t="e">
        <f>AND('Planilla_General_07-12-2012_8_3'!F151,"AAAAAC5/u/w=")</f>
        <v>#VALUE!</v>
      </c>
      <c r="IT10" t="e">
        <f>AND('Planilla_General_07-12-2012_8_3'!G151,"AAAAAC5/u/0=")</f>
        <v>#VALUE!</v>
      </c>
      <c r="IU10" t="e">
        <f>AND('Planilla_General_07-12-2012_8_3'!H151,"AAAAAC5/u/4=")</f>
        <v>#VALUE!</v>
      </c>
      <c r="IV10" t="e">
        <f>AND('Planilla_General_07-12-2012_8_3'!I151,"AAAAAC5/u/8=")</f>
        <v>#VALUE!</v>
      </c>
    </row>
    <row r="11" spans="1:256" x14ac:dyDescent="0.25">
      <c r="A11" t="e">
        <f>AND('Planilla_General_07-12-2012_8_3'!J151,"AAAAAF+K+wA=")</f>
        <v>#VALUE!</v>
      </c>
      <c r="B11" t="e">
        <f>AND('Planilla_General_07-12-2012_8_3'!K151,"AAAAAF+K+wE=")</f>
        <v>#VALUE!</v>
      </c>
      <c r="C11" t="e">
        <f>AND('Planilla_General_07-12-2012_8_3'!L151,"AAAAAF+K+wI=")</f>
        <v>#VALUE!</v>
      </c>
      <c r="D11" t="e">
        <f>AND('Planilla_General_07-12-2012_8_3'!M151,"AAAAAF+K+wM=")</f>
        <v>#VALUE!</v>
      </c>
      <c r="E11" t="e">
        <f>AND('Planilla_General_07-12-2012_8_3'!N151,"AAAAAF+K+wQ=")</f>
        <v>#VALUE!</v>
      </c>
      <c r="F11" t="e">
        <f>AND('Planilla_General_07-12-2012_8_3'!O151,"AAAAAF+K+wU=")</f>
        <v>#VALUE!</v>
      </c>
      <c r="G11" t="e">
        <f>AND('Planilla_General_07-12-2012_8_3'!P151,"AAAAAF+K+wY=")</f>
        <v>#VALUE!</v>
      </c>
      <c r="H11" t="e">
        <f>IF('Planilla_General_07-12-2012_8_3'!152:152,"AAAAAF+K+wc=",0)</f>
        <v>#VALUE!</v>
      </c>
      <c r="I11" t="e">
        <f>AND('Planilla_General_07-12-2012_8_3'!A152,"AAAAAF+K+wg=")</f>
        <v>#VALUE!</v>
      </c>
      <c r="J11" t="e">
        <f>AND('Planilla_General_07-12-2012_8_3'!B152,"AAAAAF+K+wk=")</f>
        <v>#VALUE!</v>
      </c>
      <c r="K11" t="e">
        <f>AND('Planilla_General_07-12-2012_8_3'!C152,"AAAAAF+K+wo=")</f>
        <v>#VALUE!</v>
      </c>
      <c r="L11" t="e">
        <f>AND('Planilla_General_07-12-2012_8_3'!D152,"AAAAAF+K+ws=")</f>
        <v>#VALUE!</v>
      </c>
      <c r="M11" t="e">
        <f>AND('Planilla_General_07-12-2012_8_3'!E152,"AAAAAF+K+ww=")</f>
        <v>#VALUE!</v>
      </c>
      <c r="N11" t="e">
        <f>AND('Planilla_General_07-12-2012_8_3'!F152,"AAAAAF+K+w0=")</f>
        <v>#VALUE!</v>
      </c>
      <c r="O11" t="e">
        <f>AND('Planilla_General_07-12-2012_8_3'!G152,"AAAAAF+K+w4=")</f>
        <v>#VALUE!</v>
      </c>
      <c r="P11" t="e">
        <f>AND('Planilla_General_07-12-2012_8_3'!H152,"AAAAAF+K+w8=")</f>
        <v>#VALUE!</v>
      </c>
      <c r="Q11" t="e">
        <f>AND('Planilla_General_07-12-2012_8_3'!I152,"AAAAAF+K+xA=")</f>
        <v>#VALUE!</v>
      </c>
      <c r="R11" t="e">
        <f>AND('Planilla_General_07-12-2012_8_3'!J152,"AAAAAF+K+xE=")</f>
        <v>#VALUE!</v>
      </c>
      <c r="S11" t="e">
        <f>AND('Planilla_General_07-12-2012_8_3'!K152,"AAAAAF+K+xI=")</f>
        <v>#VALUE!</v>
      </c>
      <c r="T11" t="e">
        <f>AND('Planilla_General_07-12-2012_8_3'!L152,"AAAAAF+K+xM=")</f>
        <v>#VALUE!</v>
      </c>
      <c r="U11" t="e">
        <f>AND('Planilla_General_07-12-2012_8_3'!M152,"AAAAAF+K+xQ=")</f>
        <v>#VALUE!</v>
      </c>
      <c r="V11" t="e">
        <f>AND('Planilla_General_07-12-2012_8_3'!N152,"AAAAAF+K+xU=")</f>
        <v>#VALUE!</v>
      </c>
      <c r="W11" t="e">
        <f>AND('Planilla_General_07-12-2012_8_3'!O152,"AAAAAF+K+xY=")</f>
        <v>#VALUE!</v>
      </c>
      <c r="X11" t="e">
        <f>AND('Planilla_General_07-12-2012_8_3'!P152,"AAAAAF+K+xc=")</f>
        <v>#VALUE!</v>
      </c>
      <c r="Y11">
        <f>IF('Planilla_General_07-12-2012_8_3'!153:153,"AAAAAF+K+xg=",0)</f>
        <v>0</v>
      </c>
      <c r="Z11" t="e">
        <f>AND('Planilla_General_07-12-2012_8_3'!A153,"AAAAAF+K+xk=")</f>
        <v>#VALUE!</v>
      </c>
      <c r="AA11" t="e">
        <f>AND('Planilla_General_07-12-2012_8_3'!B153,"AAAAAF+K+xo=")</f>
        <v>#VALUE!</v>
      </c>
      <c r="AB11" t="e">
        <f>AND('Planilla_General_07-12-2012_8_3'!C153,"AAAAAF+K+xs=")</f>
        <v>#VALUE!</v>
      </c>
      <c r="AC11" t="e">
        <f>AND('Planilla_General_07-12-2012_8_3'!D153,"AAAAAF+K+xw=")</f>
        <v>#VALUE!</v>
      </c>
      <c r="AD11" t="e">
        <f>AND('Planilla_General_07-12-2012_8_3'!E153,"AAAAAF+K+x0=")</f>
        <v>#VALUE!</v>
      </c>
      <c r="AE11" t="e">
        <f>AND('Planilla_General_07-12-2012_8_3'!F153,"AAAAAF+K+x4=")</f>
        <v>#VALUE!</v>
      </c>
      <c r="AF11" t="e">
        <f>AND('Planilla_General_07-12-2012_8_3'!G153,"AAAAAF+K+x8=")</f>
        <v>#VALUE!</v>
      </c>
      <c r="AG11" t="e">
        <f>AND('Planilla_General_07-12-2012_8_3'!H153,"AAAAAF+K+yA=")</f>
        <v>#VALUE!</v>
      </c>
      <c r="AH11" t="e">
        <f>AND('Planilla_General_07-12-2012_8_3'!I153,"AAAAAF+K+yE=")</f>
        <v>#VALUE!</v>
      </c>
      <c r="AI11" t="e">
        <f>AND('Planilla_General_07-12-2012_8_3'!J153,"AAAAAF+K+yI=")</f>
        <v>#VALUE!</v>
      </c>
      <c r="AJ11" t="e">
        <f>AND('Planilla_General_07-12-2012_8_3'!K153,"AAAAAF+K+yM=")</f>
        <v>#VALUE!</v>
      </c>
      <c r="AK11" t="e">
        <f>AND('Planilla_General_07-12-2012_8_3'!L153,"AAAAAF+K+yQ=")</f>
        <v>#VALUE!</v>
      </c>
      <c r="AL11" t="e">
        <f>AND('Planilla_General_07-12-2012_8_3'!M153,"AAAAAF+K+yU=")</f>
        <v>#VALUE!</v>
      </c>
      <c r="AM11" t="e">
        <f>AND('Planilla_General_07-12-2012_8_3'!N153,"AAAAAF+K+yY=")</f>
        <v>#VALUE!</v>
      </c>
      <c r="AN11" t="e">
        <f>AND('Planilla_General_07-12-2012_8_3'!O153,"AAAAAF+K+yc=")</f>
        <v>#VALUE!</v>
      </c>
      <c r="AO11" t="e">
        <f>AND('Planilla_General_07-12-2012_8_3'!P153,"AAAAAF+K+yg=")</f>
        <v>#VALUE!</v>
      </c>
      <c r="AP11">
        <f>IF('Planilla_General_07-12-2012_8_3'!154:154,"AAAAAF+K+yk=",0)</f>
        <v>0</v>
      </c>
      <c r="AQ11" t="e">
        <f>AND('Planilla_General_07-12-2012_8_3'!A154,"AAAAAF+K+yo=")</f>
        <v>#VALUE!</v>
      </c>
      <c r="AR11" t="e">
        <f>AND('Planilla_General_07-12-2012_8_3'!B154,"AAAAAF+K+ys=")</f>
        <v>#VALUE!</v>
      </c>
      <c r="AS11" t="e">
        <f>AND('Planilla_General_07-12-2012_8_3'!C154,"AAAAAF+K+yw=")</f>
        <v>#VALUE!</v>
      </c>
      <c r="AT11" t="e">
        <f>AND('Planilla_General_07-12-2012_8_3'!D154,"AAAAAF+K+y0=")</f>
        <v>#VALUE!</v>
      </c>
      <c r="AU11" t="e">
        <f>AND('Planilla_General_07-12-2012_8_3'!E154,"AAAAAF+K+y4=")</f>
        <v>#VALUE!</v>
      </c>
      <c r="AV11" t="e">
        <f>AND('Planilla_General_07-12-2012_8_3'!F154,"AAAAAF+K+y8=")</f>
        <v>#VALUE!</v>
      </c>
      <c r="AW11" t="e">
        <f>AND('Planilla_General_07-12-2012_8_3'!G154,"AAAAAF+K+zA=")</f>
        <v>#VALUE!</v>
      </c>
      <c r="AX11" t="e">
        <f>AND('Planilla_General_07-12-2012_8_3'!H154,"AAAAAF+K+zE=")</f>
        <v>#VALUE!</v>
      </c>
      <c r="AY11" t="e">
        <f>AND('Planilla_General_07-12-2012_8_3'!I154,"AAAAAF+K+zI=")</f>
        <v>#VALUE!</v>
      </c>
      <c r="AZ11" t="e">
        <f>AND('Planilla_General_07-12-2012_8_3'!J154,"AAAAAF+K+zM=")</f>
        <v>#VALUE!</v>
      </c>
      <c r="BA11" t="e">
        <f>AND('Planilla_General_07-12-2012_8_3'!K154,"AAAAAF+K+zQ=")</f>
        <v>#VALUE!</v>
      </c>
      <c r="BB11" t="e">
        <f>AND('Planilla_General_07-12-2012_8_3'!L154,"AAAAAF+K+zU=")</f>
        <v>#VALUE!</v>
      </c>
      <c r="BC11" t="e">
        <f>AND('Planilla_General_07-12-2012_8_3'!M154,"AAAAAF+K+zY=")</f>
        <v>#VALUE!</v>
      </c>
      <c r="BD11" t="e">
        <f>AND('Planilla_General_07-12-2012_8_3'!N154,"AAAAAF+K+zc=")</f>
        <v>#VALUE!</v>
      </c>
      <c r="BE11" t="e">
        <f>AND('Planilla_General_07-12-2012_8_3'!O154,"AAAAAF+K+zg=")</f>
        <v>#VALUE!</v>
      </c>
      <c r="BF11" t="e">
        <f>AND('Planilla_General_07-12-2012_8_3'!P154,"AAAAAF+K+zk=")</f>
        <v>#VALUE!</v>
      </c>
      <c r="BG11">
        <f>IF('Planilla_General_07-12-2012_8_3'!155:155,"AAAAAF+K+zo=",0)</f>
        <v>0</v>
      </c>
      <c r="BH11" t="e">
        <f>AND('Planilla_General_07-12-2012_8_3'!A155,"AAAAAF+K+zs=")</f>
        <v>#VALUE!</v>
      </c>
      <c r="BI11" t="e">
        <f>AND('Planilla_General_07-12-2012_8_3'!B155,"AAAAAF+K+zw=")</f>
        <v>#VALUE!</v>
      </c>
      <c r="BJ11" t="e">
        <f>AND('Planilla_General_07-12-2012_8_3'!C155,"AAAAAF+K+z0=")</f>
        <v>#VALUE!</v>
      </c>
      <c r="BK11" t="e">
        <f>AND('Planilla_General_07-12-2012_8_3'!D155,"AAAAAF+K+z4=")</f>
        <v>#VALUE!</v>
      </c>
      <c r="BL11" t="e">
        <f>AND('Planilla_General_07-12-2012_8_3'!E155,"AAAAAF+K+z8=")</f>
        <v>#VALUE!</v>
      </c>
      <c r="BM11" t="e">
        <f>AND('Planilla_General_07-12-2012_8_3'!F155,"AAAAAF+K+0A=")</f>
        <v>#VALUE!</v>
      </c>
      <c r="BN11" t="e">
        <f>AND('Planilla_General_07-12-2012_8_3'!G155,"AAAAAF+K+0E=")</f>
        <v>#VALUE!</v>
      </c>
      <c r="BO11" t="e">
        <f>AND('Planilla_General_07-12-2012_8_3'!H155,"AAAAAF+K+0I=")</f>
        <v>#VALUE!</v>
      </c>
      <c r="BP11" t="e">
        <f>AND('Planilla_General_07-12-2012_8_3'!I155,"AAAAAF+K+0M=")</f>
        <v>#VALUE!</v>
      </c>
      <c r="BQ11" t="e">
        <f>AND('Planilla_General_07-12-2012_8_3'!J155,"AAAAAF+K+0Q=")</f>
        <v>#VALUE!</v>
      </c>
      <c r="BR11" t="e">
        <f>AND('Planilla_General_07-12-2012_8_3'!K155,"AAAAAF+K+0U=")</f>
        <v>#VALUE!</v>
      </c>
      <c r="BS11" t="e">
        <f>AND('Planilla_General_07-12-2012_8_3'!L155,"AAAAAF+K+0Y=")</f>
        <v>#VALUE!</v>
      </c>
      <c r="BT11" t="e">
        <f>AND('Planilla_General_07-12-2012_8_3'!M155,"AAAAAF+K+0c=")</f>
        <v>#VALUE!</v>
      </c>
      <c r="BU11" t="e">
        <f>AND('Planilla_General_07-12-2012_8_3'!N155,"AAAAAF+K+0g=")</f>
        <v>#VALUE!</v>
      </c>
      <c r="BV11" t="e">
        <f>AND('Planilla_General_07-12-2012_8_3'!O155,"AAAAAF+K+0k=")</f>
        <v>#VALUE!</v>
      </c>
      <c r="BW11" t="e">
        <f>AND('Planilla_General_07-12-2012_8_3'!P155,"AAAAAF+K+0o=")</f>
        <v>#VALUE!</v>
      </c>
      <c r="BX11">
        <f>IF('Planilla_General_07-12-2012_8_3'!156:156,"AAAAAF+K+0s=",0)</f>
        <v>0</v>
      </c>
      <c r="BY11" t="e">
        <f>AND('Planilla_General_07-12-2012_8_3'!A156,"AAAAAF+K+0w=")</f>
        <v>#VALUE!</v>
      </c>
      <c r="BZ11" t="e">
        <f>AND('Planilla_General_07-12-2012_8_3'!B156,"AAAAAF+K+00=")</f>
        <v>#VALUE!</v>
      </c>
      <c r="CA11" t="e">
        <f>AND('Planilla_General_07-12-2012_8_3'!C156,"AAAAAF+K+04=")</f>
        <v>#VALUE!</v>
      </c>
      <c r="CB11" t="e">
        <f>AND('Planilla_General_07-12-2012_8_3'!D156,"AAAAAF+K+08=")</f>
        <v>#VALUE!</v>
      </c>
      <c r="CC11" t="e">
        <f>AND('Planilla_General_07-12-2012_8_3'!E156,"AAAAAF+K+1A=")</f>
        <v>#VALUE!</v>
      </c>
      <c r="CD11" t="e">
        <f>AND('Planilla_General_07-12-2012_8_3'!F156,"AAAAAF+K+1E=")</f>
        <v>#VALUE!</v>
      </c>
      <c r="CE11" t="e">
        <f>AND('Planilla_General_07-12-2012_8_3'!G156,"AAAAAF+K+1I=")</f>
        <v>#VALUE!</v>
      </c>
      <c r="CF11" t="e">
        <f>AND('Planilla_General_07-12-2012_8_3'!H156,"AAAAAF+K+1M=")</f>
        <v>#VALUE!</v>
      </c>
      <c r="CG11" t="e">
        <f>AND('Planilla_General_07-12-2012_8_3'!I156,"AAAAAF+K+1Q=")</f>
        <v>#VALUE!</v>
      </c>
      <c r="CH11" t="e">
        <f>AND('Planilla_General_07-12-2012_8_3'!J156,"AAAAAF+K+1U=")</f>
        <v>#VALUE!</v>
      </c>
      <c r="CI11" t="e">
        <f>AND('Planilla_General_07-12-2012_8_3'!K156,"AAAAAF+K+1Y=")</f>
        <v>#VALUE!</v>
      </c>
      <c r="CJ11" t="e">
        <f>AND('Planilla_General_07-12-2012_8_3'!L156,"AAAAAF+K+1c=")</f>
        <v>#VALUE!</v>
      </c>
      <c r="CK11" t="e">
        <f>AND('Planilla_General_07-12-2012_8_3'!M156,"AAAAAF+K+1g=")</f>
        <v>#VALUE!</v>
      </c>
      <c r="CL11" t="e">
        <f>AND('Planilla_General_07-12-2012_8_3'!N156,"AAAAAF+K+1k=")</f>
        <v>#VALUE!</v>
      </c>
      <c r="CM11" t="e">
        <f>AND('Planilla_General_07-12-2012_8_3'!O156,"AAAAAF+K+1o=")</f>
        <v>#VALUE!</v>
      </c>
      <c r="CN11" t="e">
        <f>AND('Planilla_General_07-12-2012_8_3'!P156,"AAAAAF+K+1s=")</f>
        <v>#VALUE!</v>
      </c>
      <c r="CO11">
        <f>IF('Planilla_General_07-12-2012_8_3'!157:157,"AAAAAF+K+1w=",0)</f>
        <v>0</v>
      </c>
      <c r="CP11" t="e">
        <f>AND('Planilla_General_07-12-2012_8_3'!A157,"AAAAAF+K+10=")</f>
        <v>#VALUE!</v>
      </c>
      <c r="CQ11" t="e">
        <f>AND('Planilla_General_07-12-2012_8_3'!B157,"AAAAAF+K+14=")</f>
        <v>#VALUE!</v>
      </c>
      <c r="CR11" t="e">
        <f>AND('Planilla_General_07-12-2012_8_3'!C157,"AAAAAF+K+18=")</f>
        <v>#VALUE!</v>
      </c>
      <c r="CS11" t="e">
        <f>AND('Planilla_General_07-12-2012_8_3'!D157,"AAAAAF+K+2A=")</f>
        <v>#VALUE!</v>
      </c>
      <c r="CT11" t="e">
        <f>AND('Planilla_General_07-12-2012_8_3'!E157,"AAAAAF+K+2E=")</f>
        <v>#VALUE!</v>
      </c>
      <c r="CU11" t="e">
        <f>AND('Planilla_General_07-12-2012_8_3'!F157,"AAAAAF+K+2I=")</f>
        <v>#VALUE!</v>
      </c>
      <c r="CV11" t="e">
        <f>AND('Planilla_General_07-12-2012_8_3'!G157,"AAAAAF+K+2M=")</f>
        <v>#VALUE!</v>
      </c>
      <c r="CW11" t="e">
        <f>AND('Planilla_General_07-12-2012_8_3'!H157,"AAAAAF+K+2Q=")</f>
        <v>#VALUE!</v>
      </c>
      <c r="CX11" t="e">
        <f>AND('Planilla_General_07-12-2012_8_3'!I157,"AAAAAF+K+2U=")</f>
        <v>#VALUE!</v>
      </c>
      <c r="CY11" t="e">
        <f>AND('Planilla_General_07-12-2012_8_3'!J157,"AAAAAF+K+2Y=")</f>
        <v>#VALUE!</v>
      </c>
      <c r="CZ11" t="e">
        <f>AND('Planilla_General_07-12-2012_8_3'!K157,"AAAAAF+K+2c=")</f>
        <v>#VALUE!</v>
      </c>
      <c r="DA11" t="e">
        <f>AND('Planilla_General_07-12-2012_8_3'!L157,"AAAAAF+K+2g=")</f>
        <v>#VALUE!</v>
      </c>
      <c r="DB11" t="e">
        <f>AND('Planilla_General_07-12-2012_8_3'!M157,"AAAAAF+K+2k=")</f>
        <v>#VALUE!</v>
      </c>
      <c r="DC11" t="e">
        <f>AND('Planilla_General_07-12-2012_8_3'!N157,"AAAAAF+K+2o=")</f>
        <v>#VALUE!</v>
      </c>
      <c r="DD11" t="e">
        <f>AND('Planilla_General_07-12-2012_8_3'!O157,"AAAAAF+K+2s=")</f>
        <v>#VALUE!</v>
      </c>
      <c r="DE11" t="e">
        <f>AND('Planilla_General_07-12-2012_8_3'!P157,"AAAAAF+K+2w=")</f>
        <v>#VALUE!</v>
      </c>
      <c r="DF11">
        <f>IF('Planilla_General_07-12-2012_8_3'!158:158,"AAAAAF+K+20=",0)</f>
        <v>0</v>
      </c>
      <c r="DG11" t="e">
        <f>AND('Planilla_General_07-12-2012_8_3'!A158,"AAAAAF+K+24=")</f>
        <v>#VALUE!</v>
      </c>
      <c r="DH11" t="e">
        <f>AND('Planilla_General_07-12-2012_8_3'!B158,"AAAAAF+K+28=")</f>
        <v>#VALUE!</v>
      </c>
      <c r="DI11" t="e">
        <f>AND('Planilla_General_07-12-2012_8_3'!C158,"AAAAAF+K+3A=")</f>
        <v>#VALUE!</v>
      </c>
      <c r="DJ11" t="e">
        <f>AND('Planilla_General_07-12-2012_8_3'!D158,"AAAAAF+K+3E=")</f>
        <v>#VALUE!</v>
      </c>
      <c r="DK11" t="e">
        <f>AND('Planilla_General_07-12-2012_8_3'!E158,"AAAAAF+K+3I=")</f>
        <v>#VALUE!</v>
      </c>
      <c r="DL11" t="e">
        <f>AND('Planilla_General_07-12-2012_8_3'!F158,"AAAAAF+K+3M=")</f>
        <v>#VALUE!</v>
      </c>
      <c r="DM11" t="e">
        <f>AND('Planilla_General_07-12-2012_8_3'!G158,"AAAAAF+K+3Q=")</f>
        <v>#VALUE!</v>
      </c>
      <c r="DN11" t="e">
        <f>AND('Planilla_General_07-12-2012_8_3'!H158,"AAAAAF+K+3U=")</f>
        <v>#VALUE!</v>
      </c>
      <c r="DO11" t="e">
        <f>AND('Planilla_General_07-12-2012_8_3'!I158,"AAAAAF+K+3Y=")</f>
        <v>#VALUE!</v>
      </c>
      <c r="DP11" t="e">
        <f>AND('Planilla_General_07-12-2012_8_3'!J158,"AAAAAF+K+3c=")</f>
        <v>#VALUE!</v>
      </c>
      <c r="DQ11" t="e">
        <f>AND('Planilla_General_07-12-2012_8_3'!K158,"AAAAAF+K+3g=")</f>
        <v>#VALUE!</v>
      </c>
      <c r="DR11" t="e">
        <f>AND('Planilla_General_07-12-2012_8_3'!L158,"AAAAAF+K+3k=")</f>
        <v>#VALUE!</v>
      </c>
      <c r="DS11" t="e">
        <f>AND('Planilla_General_07-12-2012_8_3'!M158,"AAAAAF+K+3o=")</f>
        <v>#VALUE!</v>
      </c>
      <c r="DT11" t="e">
        <f>AND('Planilla_General_07-12-2012_8_3'!N158,"AAAAAF+K+3s=")</f>
        <v>#VALUE!</v>
      </c>
      <c r="DU11" t="e">
        <f>AND('Planilla_General_07-12-2012_8_3'!O158,"AAAAAF+K+3w=")</f>
        <v>#VALUE!</v>
      </c>
      <c r="DV11" t="e">
        <f>AND('Planilla_General_07-12-2012_8_3'!P158,"AAAAAF+K+30=")</f>
        <v>#VALUE!</v>
      </c>
      <c r="DW11">
        <f>IF('Planilla_General_07-12-2012_8_3'!159:159,"AAAAAF+K+34=",0)</f>
        <v>0</v>
      </c>
      <c r="DX11" t="e">
        <f>AND('Planilla_General_07-12-2012_8_3'!A159,"AAAAAF+K+38=")</f>
        <v>#VALUE!</v>
      </c>
      <c r="DY11" t="e">
        <f>AND('Planilla_General_07-12-2012_8_3'!B159,"AAAAAF+K+4A=")</f>
        <v>#VALUE!</v>
      </c>
      <c r="DZ11" t="e">
        <f>AND('Planilla_General_07-12-2012_8_3'!C159,"AAAAAF+K+4E=")</f>
        <v>#VALUE!</v>
      </c>
      <c r="EA11" t="e">
        <f>AND('Planilla_General_07-12-2012_8_3'!D159,"AAAAAF+K+4I=")</f>
        <v>#VALUE!</v>
      </c>
      <c r="EB11" t="e">
        <f>AND('Planilla_General_07-12-2012_8_3'!E159,"AAAAAF+K+4M=")</f>
        <v>#VALUE!</v>
      </c>
      <c r="EC11" t="e">
        <f>AND('Planilla_General_07-12-2012_8_3'!F159,"AAAAAF+K+4Q=")</f>
        <v>#VALUE!</v>
      </c>
      <c r="ED11" t="e">
        <f>AND('Planilla_General_07-12-2012_8_3'!G159,"AAAAAF+K+4U=")</f>
        <v>#VALUE!</v>
      </c>
      <c r="EE11" t="e">
        <f>AND('Planilla_General_07-12-2012_8_3'!H159,"AAAAAF+K+4Y=")</f>
        <v>#VALUE!</v>
      </c>
      <c r="EF11" t="e">
        <f>AND('Planilla_General_07-12-2012_8_3'!I159,"AAAAAF+K+4c=")</f>
        <v>#VALUE!</v>
      </c>
      <c r="EG11" t="e">
        <f>AND('Planilla_General_07-12-2012_8_3'!J159,"AAAAAF+K+4g=")</f>
        <v>#VALUE!</v>
      </c>
      <c r="EH11" t="e">
        <f>AND('Planilla_General_07-12-2012_8_3'!K159,"AAAAAF+K+4k=")</f>
        <v>#VALUE!</v>
      </c>
      <c r="EI11" t="e">
        <f>AND('Planilla_General_07-12-2012_8_3'!L159,"AAAAAF+K+4o=")</f>
        <v>#VALUE!</v>
      </c>
      <c r="EJ11" t="e">
        <f>AND('Planilla_General_07-12-2012_8_3'!M159,"AAAAAF+K+4s=")</f>
        <v>#VALUE!</v>
      </c>
      <c r="EK11" t="e">
        <f>AND('Planilla_General_07-12-2012_8_3'!N159,"AAAAAF+K+4w=")</f>
        <v>#VALUE!</v>
      </c>
      <c r="EL11" t="e">
        <f>AND('Planilla_General_07-12-2012_8_3'!O159,"AAAAAF+K+40=")</f>
        <v>#VALUE!</v>
      </c>
      <c r="EM11" t="e">
        <f>AND('Planilla_General_07-12-2012_8_3'!P159,"AAAAAF+K+44=")</f>
        <v>#VALUE!</v>
      </c>
      <c r="EN11">
        <f>IF('Planilla_General_07-12-2012_8_3'!160:160,"AAAAAF+K+48=",0)</f>
        <v>0</v>
      </c>
      <c r="EO11" t="e">
        <f>AND('Planilla_General_07-12-2012_8_3'!A160,"AAAAAF+K+5A=")</f>
        <v>#VALUE!</v>
      </c>
      <c r="EP11" t="e">
        <f>AND('Planilla_General_07-12-2012_8_3'!B160,"AAAAAF+K+5E=")</f>
        <v>#VALUE!</v>
      </c>
      <c r="EQ11" t="e">
        <f>AND('Planilla_General_07-12-2012_8_3'!C160,"AAAAAF+K+5I=")</f>
        <v>#VALUE!</v>
      </c>
      <c r="ER11" t="e">
        <f>AND('Planilla_General_07-12-2012_8_3'!D160,"AAAAAF+K+5M=")</f>
        <v>#VALUE!</v>
      </c>
      <c r="ES11" t="e">
        <f>AND('Planilla_General_07-12-2012_8_3'!E160,"AAAAAF+K+5Q=")</f>
        <v>#VALUE!</v>
      </c>
      <c r="ET11" t="e">
        <f>AND('Planilla_General_07-12-2012_8_3'!F160,"AAAAAF+K+5U=")</f>
        <v>#VALUE!</v>
      </c>
      <c r="EU11" t="e">
        <f>AND('Planilla_General_07-12-2012_8_3'!G160,"AAAAAF+K+5Y=")</f>
        <v>#VALUE!</v>
      </c>
      <c r="EV11" t="e">
        <f>AND('Planilla_General_07-12-2012_8_3'!H160,"AAAAAF+K+5c=")</f>
        <v>#VALUE!</v>
      </c>
      <c r="EW11" t="e">
        <f>AND('Planilla_General_07-12-2012_8_3'!I160,"AAAAAF+K+5g=")</f>
        <v>#VALUE!</v>
      </c>
      <c r="EX11" t="e">
        <f>AND('Planilla_General_07-12-2012_8_3'!J160,"AAAAAF+K+5k=")</f>
        <v>#VALUE!</v>
      </c>
      <c r="EY11" t="e">
        <f>AND('Planilla_General_07-12-2012_8_3'!K160,"AAAAAF+K+5o=")</f>
        <v>#VALUE!</v>
      </c>
      <c r="EZ11" t="e">
        <f>AND('Planilla_General_07-12-2012_8_3'!L160,"AAAAAF+K+5s=")</f>
        <v>#VALUE!</v>
      </c>
      <c r="FA11" t="e">
        <f>AND('Planilla_General_07-12-2012_8_3'!M160,"AAAAAF+K+5w=")</f>
        <v>#VALUE!</v>
      </c>
      <c r="FB11" t="e">
        <f>AND('Planilla_General_07-12-2012_8_3'!N160,"AAAAAF+K+50=")</f>
        <v>#VALUE!</v>
      </c>
      <c r="FC11" t="e">
        <f>AND('Planilla_General_07-12-2012_8_3'!O160,"AAAAAF+K+54=")</f>
        <v>#VALUE!</v>
      </c>
      <c r="FD11" t="e">
        <f>AND('Planilla_General_07-12-2012_8_3'!P160,"AAAAAF+K+58=")</f>
        <v>#VALUE!</v>
      </c>
      <c r="FE11">
        <f>IF('Planilla_General_07-12-2012_8_3'!161:161,"AAAAAF+K+6A=",0)</f>
        <v>0</v>
      </c>
      <c r="FF11" t="e">
        <f>AND('Planilla_General_07-12-2012_8_3'!A161,"AAAAAF+K+6E=")</f>
        <v>#VALUE!</v>
      </c>
      <c r="FG11" t="e">
        <f>AND('Planilla_General_07-12-2012_8_3'!B161,"AAAAAF+K+6I=")</f>
        <v>#VALUE!</v>
      </c>
      <c r="FH11" t="e">
        <f>AND('Planilla_General_07-12-2012_8_3'!C161,"AAAAAF+K+6M=")</f>
        <v>#VALUE!</v>
      </c>
      <c r="FI11" t="e">
        <f>AND('Planilla_General_07-12-2012_8_3'!D161,"AAAAAF+K+6Q=")</f>
        <v>#VALUE!</v>
      </c>
      <c r="FJ11" t="e">
        <f>AND('Planilla_General_07-12-2012_8_3'!E161,"AAAAAF+K+6U=")</f>
        <v>#VALUE!</v>
      </c>
      <c r="FK11" t="e">
        <f>AND('Planilla_General_07-12-2012_8_3'!F161,"AAAAAF+K+6Y=")</f>
        <v>#VALUE!</v>
      </c>
      <c r="FL11" t="e">
        <f>AND('Planilla_General_07-12-2012_8_3'!G161,"AAAAAF+K+6c=")</f>
        <v>#VALUE!</v>
      </c>
      <c r="FM11" t="e">
        <f>AND('Planilla_General_07-12-2012_8_3'!H161,"AAAAAF+K+6g=")</f>
        <v>#VALUE!</v>
      </c>
      <c r="FN11" t="e">
        <f>AND('Planilla_General_07-12-2012_8_3'!I161,"AAAAAF+K+6k=")</f>
        <v>#VALUE!</v>
      </c>
      <c r="FO11" t="e">
        <f>AND('Planilla_General_07-12-2012_8_3'!J161,"AAAAAF+K+6o=")</f>
        <v>#VALUE!</v>
      </c>
      <c r="FP11" t="e">
        <f>AND('Planilla_General_07-12-2012_8_3'!K161,"AAAAAF+K+6s=")</f>
        <v>#VALUE!</v>
      </c>
      <c r="FQ11" t="e">
        <f>AND('Planilla_General_07-12-2012_8_3'!L161,"AAAAAF+K+6w=")</f>
        <v>#VALUE!</v>
      </c>
      <c r="FR11" t="e">
        <f>AND('Planilla_General_07-12-2012_8_3'!M161,"AAAAAF+K+60=")</f>
        <v>#VALUE!</v>
      </c>
      <c r="FS11" t="e">
        <f>AND('Planilla_General_07-12-2012_8_3'!N161,"AAAAAF+K+64=")</f>
        <v>#VALUE!</v>
      </c>
      <c r="FT11" t="e">
        <f>AND('Planilla_General_07-12-2012_8_3'!O161,"AAAAAF+K+68=")</f>
        <v>#VALUE!</v>
      </c>
      <c r="FU11" t="e">
        <f>AND('Planilla_General_07-12-2012_8_3'!P161,"AAAAAF+K+7A=")</f>
        <v>#VALUE!</v>
      </c>
      <c r="FV11">
        <f>IF('Planilla_General_07-12-2012_8_3'!162:162,"AAAAAF+K+7E=",0)</f>
        <v>0</v>
      </c>
      <c r="FW11" t="e">
        <f>AND('Planilla_General_07-12-2012_8_3'!A162,"AAAAAF+K+7I=")</f>
        <v>#VALUE!</v>
      </c>
      <c r="FX11" t="e">
        <f>AND('Planilla_General_07-12-2012_8_3'!B162,"AAAAAF+K+7M=")</f>
        <v>#VALUE!</v>
      </c>
      <c r="FY11" t="e">
        <f>AND('Planilla_General_07-12-2012_8_3'!C162,"AAAAAF+K+7Q=")</f>
        <v>#VALUE!</v>
      </c>
      <c r="FZ11" t="e">
        <f>AND('Planilla_General_07-12-2012_8_3'!D162,"AAAAAF+K+7U=")</f>
        <v>#VALUE!</v>
      </c>
      <c r="GA11" t="e">
        <f>AND('Planilla_General_07-12-2012_8_3'!E162,"AAAAAF+K+7Y=")</f>
        <v>#VALUE!</v>
      </c>
      <c r="GB11" t="e">
        <f>AND('Planilla_General_07-12-2012_8_3'!F162,"AAAAAF+K+7c=")</f>
        <v>#VALUE!</v>
      </c>
      <c r="GC11" t="e">
        <f>AND('Planilla_General_07-12-2012_8_3'!G162,"AAAAAF+K+7g=")</f>
        <v>#VALUE!</v>
      </c>
      <c r="GD11" t="e">
        <f>AND('Planilla_General_07-12-2012_8_3'!H162,"AAAAAF+K+7k=")</f>
        <v>#VALUE!</v>
      </c>
      <c r="GE11" t="e">
        <f>AND('Planilla_General_07-12-2012_8_3'!I162,"AAAAAF+K+7o=")</f>
        <v>#VALUE!</v>
      </c>
      <c r="GF11" t="e">
        <f>AND('Planilla_General_07-12-2012_8_3'!J162,"AAAAAF+K+7s=")</f>
        <v>#VALUE!</v>
      </c>
      <c r="GG11" t="e">
        <f>AND('Planilla_General_07-12-2012_8_3'!K162,"AAAAAF+K+7w=")</f>
        <v>#VALUE!</v>
      </c>
      <c r="GH11" t="e">
        <f>AND('Planilla_General_07-12-2012_8_3'!L162,"AAAAAF+K+70=")</f>
        <v>#VALUE!</v>
      </c>
      <c r="GI11" t="e">
        <f>AND('Planilla_General_07-12-2012_8_3'!M162,"AAAAAF+K+74=")</f>
        <v>#VALUE!</v>
      </c>
      <c r="GJ11" t="e">
        <f>AND('Planilla_General_07-12-2012_8_3'!N162,"AAAAAF+K+78=")</f>
        <v>#VALUE!</v>
      </c>
      <c r="GK11" t="e">
        <f>AND('Planilla_General_07-12-2012_8_3'!O162,"AAAAAF+K+8A=")</f>
        <v>#VALUE!</v>
      </c>
      <c r="GL11" t="e">
        <f>AND('Planilla_General_07-12-2012_8_3'!P162,"AAAAAF+K+8E=")</f>
        <v>#VALUE!</v>
      </c>
      <c r="GM11">
        <f>IF('Planilla_General_07-12-2012_8_3'!163:163,"AAAAAF+K+8I=",0)</f>
        <v>0</v>
      </c>
      <c r="GN11" t="e">
        <f>AND('Planilla_General_07-12-2012_8_3'!A163,"AAAAAF+K+8M=")</f>
        <v>#VALUE!</v>
      </c>
      <c r="GO11" t="e">
        <f>AND('Planilla_General_07-12-2012_8_3'!B163,"AAAAAF+K+8Q=")</f>
        <v>#VALUE!</v>
      </c>
      <c r="GP11" t="e">
        <f>AND('Planilla_General_07-12-2012_8_3'!C163,"AAAAAF+K+8U=")</f>
        <v>#VALUE!</v>
      </c>
      <c r="GQ11" t="e">
        <f>AND('Planilla_General_07-12-2012_8_3'!D163,"AAAAAF+K+8Y=")</f>
        <v>#VALUE!</v>
      </c>
      <c r="GR11" t="e">
        <f>AND('Planilla_General_07-12-2012_8_3'!E163,"AAAAAF+K+8c=")</f>
        <v>#VALUE!</v>
      </c>
      <c r="GS11" t="e">
        <f>AND('Planilla_General_07-12-2012_8_3'!F163,"AAAAAF+K+8g=")</f>
        <v>#VALUE!</v>
      </c>
      <c r="GT11" t="e">
        <f>AND('Planilla_General_07-12-2012_8_3'!G163,"AAAAAF+K+8k=")</f>
        <v>#VALUE!</v>
      </c>
      <c r="GU11" t="e">
        <f>AND('Planilla_General_07-12-2012_8_3'!H163,"AAAAAF+K+8o=")</f>
        <v>#VALUE!</v>
      </c>
      <c r="GV11" t="e">
        <f>AND('Planilla_General_07-12-2012_8_3'!I163,"AAAAAF+K+8s=")</f>
        <v>#VALUE!</v>
      </c>
      <c r="GW11" t="e">
        <f>AND('Planilla_General_07-12-2012_8_3'!J163,"AAAAAF+K+8w=")</f>
        <v>#VALUE!</v>
      </c>
      <c r="GX11" t="e">
        <f>AND('Planilla_General_07-12-2012_8_3'!K163,"AAAAAF+K+80=")</f>
        <v>#VALUE!</v>
      </c>
      <c r="GY11" t="e">
        <f>AND('Planilla_General_07-12-2012_8_3'!L163,"AAAAAF+K+84=")</f>
        <v>#VALUE!</v>
      </c>
      <c r="GZ11" t="e">
        <f>AND('Planilla_General_07-12-2012_8_3'!M163,"AAAAAF+K+88=")</f>
        <v>#VALUE!</v>
      </c>
      <c r="HA11" t="e">
        <f>AND('Planilla_General_07-12-2012_8_3'!N163,"AAAAAF+K+9A=")</f>
        <v>#VALUE!</v>
      </c>
      <c r="HB11" t="e">
        <f>AND('Planilla_General_07-12-2012_8_3'!O163,"AAAAAF+K+9E=")</f>
        <v>#VALUE!</v>
      </c>
      <c r="HC11" t="e">
        <f>AND('Planilla_General_07-12-2012_8_3'!P163,"AAAAAF+K+9I=")</f>
        <v>#VALUE!</v>
      </c>
      <c r="HD11">
        <f>IF('Planilla_General_07-12-2012_8_3'!164:164,"AAAAAF+K+9M=",0)</f>
        <v>0</v>
      </c>
      <c r="HE11" t="e">
        <f>AND('Planilla_General_07-12-2012_8_3'!A164,"AAAAAF+K+9Q=")</f>
        <v>#VALUE!</v>
      </c>
      <c r="HF11" t="e">
        <f>AND('Planilla_General_07-12-2012_8_3'!B164,"AAAAAF+K+9U=")</f>
        <v>#VALUE!</v>
      </c>
      <c r="HG11" t="e">
        <f>AND('Planilla_General_07-12-2012_8_3'!C164,"AAAAAF+K+9Y=")</f>
        <v>#VALUE!</v>
      </c>
      <c r="HH11" t="e">
        <f>AND('Planilla_General_07-12-2012_8_3'!D164,"AAAAAF+K+9c=")</f>
        <v>#VALUE!</v>
      </c>
      <c r="HI11" t="e">
        <f>AND('Planilla_General_07-12-2012_8_3'!E164,"AAAAAF+K+9g=")</f>
        <v>#VALUE!</v>
      </c>
      <c r="HJ11" t="e">
        <f>AND('Planilla_General_07-12-2012_8_3'!F164,"AAAAAF+K+9k=")</f>
        <v>#VALUE!</v>
      </c>
      <c r="HK11" t="e">
        <f>AND('Planilla_General_07-12-2012_8_3'!G164,"AAAAAF+K+9o=")</f>
        <v>#VALUE!</v>
      </c>
      <c r="HL11" t="e">
        <f>AND('Planilla_General_07-12-2012_8_3'!H164,"AAAAAF+K+9s=")</f>
        <v>#VALUE!</v>
      </c>
      <c r="HM11" t="e">
        <f>AND('Planilla_General_07-12-2012_8_3'!I164,"AAAAAF+K+9w=")</f>
        <v>#VALUE!</v>
      </c>
      <c r="HN11" t="e">
        <f>AND('Planilla_General_07-12-2012_8_3'!J164,"AAAAAF+K+90=")</f>
        <v>#VALUE!</v>
      </c>
      <c r="HO11" t="e">
        <f>AND('Planilla_General_07-12-2012_8_3'!K164,"AAAAAF+K+94=")</f>
        <v>#VALUE!</v>
      </c>
      <c r="HP11" t="e">
        <f>AND('Planilla_General_07-12-2012_8_3'!L164,"AAAAAF+K+98=")</f>
        <v>#VALUE!</v>
      </c>
      <c r="HQ11" t="e">
        <f>AND('Planilla_General_07-12-2012_8_3'!M164,"AAAAAF+K++A=")</f>
        <v>#VALUE!</v>
      </c>
      <c r="HR11" t="e">
        <f>AND('Planilla_General_07-12-2012_8_3'!N164,"AAAAAF+K++E=")</f>
        <v>#VALUE!</v>
      </c>
      <c r="HS11" t="e">
        <f>AND('Planilla_General_07-12-2012_8_3'!O164,"AAAAAF+K++I=")</f>
        <v>#VALUE!</v>
      </c>
      <c r="HT11" t="e">
        <f>AND('Planilla_General_07-12-2012_8_3'!P164,"AAAAAF+K++M=")</f>
        <v>#VALUE!</v>
      </c>
      <c r="HU11">
        <f>IF('Planilla_General_07-12-2012_8_3'!165:165,"AAAAAF+K++Q=",0)</f>
        <v>0</v>
      </c>
      <c r="HV11" t="e">
        <f>AND('Planilla_General_07-12-2012_8_3'!A165,"AAAAAF+K++U=")</f>
        <v>#VALUE!</v>
      </c>
      <c r="HW11" t="e">
        <f>AND('Planilla_General_07-12-2012_8_3'!B165,"AAAAAF+K++Y=")</f>
        <v>#VALUE!</v>
      </c>
      <c r="HX11" t="e">
        <f>AND('Planilla_General_07-12-2012_8_3'!C165,"AAAAAF+K++c=")</f>
        <v>#VALUE!</v>
      </c>
      <c r="HY11" t="e">
        <f>AND('Planilla_General_07-12-2012_8_3'!D165,"AAAAAF+K++g=")</f>
        <v>#VALUE!</v>
      </c>
      <c r="HZ11" t="e">
        <f>AND('Planilla_General_07-12-2012_8_3'!E165,"AAAAAF+K++k=")</f>
        <v>#VALUE!</v>
      </c>
      <c r="IA11" t="e">
        <f>AND('Planilla_General_07-12-2012_8_3'!F165,"AAAAAF+K++o=")</f>
        <v>#VALUE!</v>
      </c>
      <c r="IB11" t="e">
        <f>AND('Planilla_General_07-12-2012_8_3'!G165,"AAAAAF+K++s=")</f>
        <v>#VALUE!</v>
      </c>
      <c r="IC11" t="e">
        <f>AND('Planilla_General_07-12-2012_8_3'!H165,"AAAAAF+K++w=")</f>
        <v>#VALUE!</v>
      </c>
      <c r="ID11" t="e">
        <f>AND('Planilla_General_07-12-2012_8_3'!I165,"AAAAAF+K++0=")</f>
        <v>#VALUE!</v>
      </c>
      <c r="IE11" t="e">
        <f>AND('Planilla_General_07-12-2012_8_3'!J165,"AAAAAF+K++4=")</f>
        <v>#VALUE!</v>
      </c>
      <c r="IF11" t="e">
        <f>AND('Planilla_General_07-12-2012_8_3'!K165,"AAAAAF+K++8=")</f>
        <v>#VALUE!</v>
      </c>
      <c r="IG11" t="e">
        <f>AND('Planilla_General_07-12-2012_8_3'!L165,"AAAAAF+K+/A=")</f>
        <v>#VALUE!</v>
      </c>
      <c r="IH11" t="e">
        <f>AND('Planilla_General_07-12-2012_8_3'!M165,"AAAAAF+K+/E=")</f>
        <v>#VALUE!</v>
      </c>
      <c r="II11" t="e">
        <f>AND('Planilla_General_07-12-2012_8_3'!N165,"AAAAAF+K+/I=")</f>
        <v>#VALUE!</v>
      </c>
      <c r="IJ11" t="e">
        <f>AND('Planilla_General_07-12-2012_8_3'!O165,"AAAAAF+K+/M=")</f>
        <v>#VALUE!</v>
      </c>
      <c r="IK11" t="e">
        <f>AND('Planilla_General_07-12-2012_8_3'!P165,"AAAAAF+K+/Q=")</f>
        <v>#VALUE!</v>
      </c>
      <c r="IL11">
        <f>IF('Planilla_General_07-12-2012_8_3'!166:166,"AAAAAF+K+/U=",0)</f>
        <v>0</v>
      </c>
      <c r="IM11" t="e">
        <f>AND('Planilla_General_07-12-2012_8_3'!A166,"AAAAAF+K+/Y=")</f>
        <v>#VALUE!</v>
      </c>
      <c r="IN11" t="e">
        <f>AND('Planilla_General_07-12-2012_8_3'!B166,"AAAAAF+K+/c=")</f>
        <v>#VALUE!</v>
      </c>
      <c r="IO11" t="e">
        <f>AND('Planilla_General_07-12-2012_8_3'!C166,"AAAAAF+K+/g=")</f>
        <v>#VALUE!</v>
      </c>
      <c r="IP11" t="e">
        <f>AND('Planilla_General_07-12-2012_8_3'!D166,"AAAAAF+K+/k=")</f>
        <v>#VALUE!</v>
      </c>
      <c r="IQ11" t="e">
        <f>AND('Planilla_General_07-12-2012_8_3'!E166,"AAAAAF+K+/o=")</f>
        <v>#VALUE!</v>
      </c>
      <c r="IR11" t="e">
        <f>AND('Planilla_General_07-12-2012_8_3'!F166,"AAAAAF+K+/s=")</f>
        <v>#VALUE!</v>
      </c>
      <c r="IS11" t="e">
        <f>AND('Planilla_General_07-12-2012_8_3'!G166,"AAAAAF+K+/w=")</f>
        <v>#VALUE!</v>
      </c>
      <c r="IT11" t="e">
        <f>AND('Planilla_General_07-12-2012_8_3'!H166,"AAAAAF+K+/0=")</f>
        <v>#VALUE!</v>
      </c>
      <c r="IU11" t="e">
        <f>AND('Planilla_General_07-12-2012_8_3'!I166,"AAAAAF+K+/4=")</f>
        <v>#VALUE!</v>
      </c>
      <c r="IV11" t="e">
        <f>AND('Planilla_General_07-12-2012_8_3'!J166,"AAAAAF+K+/8=")</f>
        <v>#VALUE!</v>
      </c>
    </row>
    <row r="12" spans="1:256" x14ac:dyDescent="0.25">
      <c r="A12" t="e">
        <f>AND('Planilla_General_07-12-2012_8_3'!K166,"AAAAAFf/rwA=")</f>
        <v>#VALUE!</v>
      </c>
      <c r="B12" t="e">
        <f>AND('Planilla_General_07-12-2012_8_3'!L166,"AAAAAFf/rwE=")</f>
        <v>#VALUE!</v>
      </c>
      <c r="C12" t="e">
        <f>AND('Planilla_General_07-12-2012_8_3'!M166,"AAAAAFf/rwI=")</f>
        <v>#VALUE!</v>
      </c>
      <c r="D12" t="e">
        <f>AND('Planilla_General_07-12-2012_8_3'!N166,"AAAAAFf/rwM=")</f>
        <v>#VALUE!</v>
      </c>
      <c r="E12" t="e">
        <f>AND('Planilla_General_07-12-2012_8_3'!O166,"AAAAAFf/rwQ=")</f>
        <v>#VALUE!</v>
      </c>
      <c r="F12" t="e">
        <f>AND('Planilla_General_07-12-2012_8_3'!P166,"AAAAAFf/rwU=")</f>
        <v>#VALUE!</v>
      </c>
      <c r="G12" t="e">
        <f>IF('Planilla_General_07-12-2012_8_3'!167:167,"AAAAAFf/rwY=",0)</f>
        <v>#VALUE!</v>
      </c>
      <c r="H12" t="e">
        <f>AND('Planilla_General_07-12-2012_8_3'!A167,"AAAAAFf/rwc=")</f>
        <v>#VALUE!</v>
      </c>
      <c r="I12" t="e">
        <f>AND('Planilla_General_07-12-2012_8_3'!B167,"AAAAAFf/rwg=")</f>
        <v>#VALUE!</v>
      </c>
      <c r="J12" t="e">
        <f>AND('Planilla_General_07-12-2012_8_3'!C167,"AAAAAFf/rwk=")</f>
        <v>#VALUE!</v>
      </c>
      <c r="K12" t="e">
        <f>AND('Planilla_General_07-12-2012_8_3'!D167,"AAAAAFf/rwo=")</f>
        <v>#VALUE!</v>
      </c>
      <c r="L12" t="e">
        <f>AND('Planilla_General_07-12-2012_8_3'!E167,"AAAAAFf/rws=")</f>
        <v>#VALUE!</v>
      </c>
      <c r="M12" t="e">
        <f>AND('Planilla_General_07-12-2012_8_3'!F167,"AAAAAFf/rww=")</f>
        <v>#VALUE!</v>
      </c>
      <c r="N12" t="e">
        <f>AND('Planilla_General_07-12-2012_8_3'!G167,"AAAAAFf/rw0=")</f>
        <v>#VALUE!</v>
      </c>
      <c r="O12" t="e">
        <f>AND('Planilla_General_07-12-2012_8_3'!H167,"AAAAAFf/rw4=")</f>
        <v>#VALUE!</v>
      </c>
      <c r="P12" t="e">
        <f>AND('Planilla_General_07-12-2012_8_3'!I167,"AAAAAFf/rw8=")</f>
        <v>#VALUE!</v>
      </c>
      <c r="Q12" t="e">
        <f>AND('Planilla_General_07-12-2012_8_3'!J167,"AAAAAFf/rxA=")</f>
        <v>#VALUE!</v>
      </c>
      <c r="R12" t="e">
        <f>AND('Planilla_General_07-12-2012_8_3'!K167,"AAAAAFf/rxE=")</f>
        <v>#VALUE!</v>
      </c>
      <c r="S12" t="e">
        <f>AND('Planilla_General_07-12-2012_8_3'!L167,"AAAAAFf/rxI=")</f>
        <v>#VALUE!</v>
      </c>
      <c r="T12" t="e">
        <f>AND('Planilla_General_07-12-2012_8_3'!M167,"AAAAAFf/rxM=")</f>
        <v>#VALUE!</v>
      </c>
      <c r="U12" t="e">
        <f>AND('Planilla_General_07-12-2012_8_3'!N167,"AAAAAFf/rxQ=")</f>
        <v>#VALUE!</v>
      </c>
      <c r="V12" t="e">
        <f>AND('Planilla_General_07-12-2012_8_3'!O167,"AAAAAFf/rxU=")</f>
        <v>#VALUE!</v>
      </c>
      <c r="W12" t="e">
        <f>AND('Planilla_General_07-12-2012_8_3'!P167,"AAAAAFf/rxY=")</f>
        <v>#VALUE!</v>
      </c>
      <c r="X12">
        <f>IF('Planilla_General_07-12-2012_8_3'!168:168,"AAAAAFf/rxc=",0)</f>
        <v>0</v>
      </c>
      <c r="Y12" t="e">
        <f>AND('Planilla_General_07-12-2012_8_3'!A168,"AAAAAFf/rxg=")</f>
        <v>#VALUE!</v>
      </c>
      <c r="Z12" t="e">
        <f>AND('Planilla_General_07-12-2012_8_3'!B168,"AAAAAFf/rxk=")</f>
        <v>#VALUE!</v>
      </c>
      <c r="AA12" t="e">
        <f>AND('Planilla_General_07-12-2012_8_3'!C168,"AAAAAFf/rxo=")</f>
        <v>#VALUE!</v>
      </c>
      <c r="AB12" t="e">
        <f>AND('Planilla_General_07-12-2012_8_3'!D168,"AAAAAFf/rxs=")</f>
        <v>#VALUE!</v>
      </c>
      <c r="AC12" t="e">
        <f>AND('Planilla_General_07-12-2012_8_3'!E168,"AAAAAFf/rxw=")</f>
        <v>#VALUE!</v>
      </c>
      <c r="AD12" t="e">
        <f>AND('Planilla_General_07-12-2012_8_3'!F168,"AAAAAFf/rx0=")</f>
        <v>#VALUE!</v>
      </c>
      <c r="AE12" t="e">
        <f>AND('Planilla_General_07-12-2012_8_3'!G168,"AAAAAFf/rx4=")</f>
        <v>#VALUE!</v>
      </c>
      <c r="AF12" t="e">
        <f>AND('Planilla_General_07-12-2012_8_3'!H168,"AAAAAFf/rx8=")</f>
        <v>#VALUE!</v>
      </c>
      <c r="AG12" t="e">
        <f>AND('Planilla_General_07-12-2012_8_3'!I168,"AAAAAFf/ryA=")</f>
        <v>#VALUE!</v>
      </c>
      <c r="AH12" t="e">
        <f>AND('Planilla_General_07-12-2012_8_3'!J168,"AAAAAFf/ryE=")</f>
        <v>#VALUE!</v>
      </c>
      <c r="AI12" t="e">
        <f>AND('Planilla_General_07-12-2012_8_3'!K168,"AAAAAFf/ryI=")</f>
        <v>#VALUE!</v>
      </c>
      <c r="AJ12" t="e">
        <f>AND('Planilla_General_07-12-2012_8_3'!L168,"AAAAAFf/ryM=")</f>
        <v>#VALUE!</v>
      </c>
      <c r="AK12" t="e">
        <f>AND('Planilla_General_07-12-2012_8_3'!M168,"AAAAAFf/ryQ=")</f>
        <v>#VALUE!</v>
      </c>
      <c r="AL12" t="e">
        <f>AND('Planilla_General_07-12-2012_8_3'!N168,"AAAAAFf/ryU=")</f>
        <v>#VALUE!</v>
      </c>
      <c r="AM12" t="e">
        <f>AND('Planilla_General_07-12-2012_8_3'!O168,"AAAAAFf/ryY=")</f>
        <v>#VALUE!</v>
      </c>
      <c r="AN12" t="e">
        <f>AND('Planilla_General_07-12-2012_8_3'!P168,"AAAAAFf/ryc=")</f>
        <v>#VALUE!</v>
      </c>
      <c r="AO12">
        <f>IF('Planilla_General_07-12-2012_8_3'!169:169,"AAAAAFf/ryg=",0)</f>
        <v>0</v>
      </c>
      <c r="AP12" t="e">
        <f>AND('Planilla_General_07-12-2012_8_3'!A169,"AAAAAFf/ryk=")</f>
        <v>#VALUE!</v>
      </c>
      <c r="AQ12" t="e">
        <f>AND('Planilla_General_07-12-2012_8_3'!B169,"AAAAAFf/ryo=")</f>
        <v>#VALUE!</v>
      </c>
      <c r="AR12" t="e">
        <f>AND('Planilla_General_07-12-2012_8_3'!C169,"AAAAAFf/rys=")</f>
        <v>#VALUE!</v>
      </c>
      <c r="AS12" t="e">
        <f>AND('Planilla_General_07-12-2012_8_3'!D169,"AAAAAFf/ryw=")</f>
        <v>#VALUE!</v>
      </c>
      <c r="AT12" t="e">
        <f>AND('Planilla_General_07-12-2012_8_3'!E169,"AAAAAFf/ry0=")</f>
        <v>#VALUE!</v>
      </c>
      <c r="AU12" t="e">
        <f>AND('Planilla_General_07-12-2012_8_3'!F169,"AAAAAFf/ry4=")</f>
        <v>#VALUE!</v>
      </c>
      <c r="AV12" t="e">
        <f>AND('Planilla_General_07-12-2012_8_3'!G169,"AAAAAFf/ry8=")</f>
        <v>#VALUE!</v>
      </c>
      <c r="AW12" t="e">
        <f>AND('Planilla_General_07-12-2012_8_3'!H169,"AAAAAFf/rzA=")</f>
        <v>#VALUE!</v>
      </c>
      <c r="AX12" t="e">
        <f>AND('Planilla_General_07-12-2012_8_3'!I169,"AAAAAFf/rzE=")</f>
        <v>#VALUE!</v>
      </c>
      <c r="AY12" t="e">
        <f>AND('Planilla_General_07-12-2012_8_3'!J169,"AAAAAFf/rzI=")</f>
        <v>#VALUE!</v>
      </c>
      <c r="AZ12" t="e">
        <f>AND('Planilla_General_07-12-2012_8_3'!K169,"AAAAAFf/rzM=")</f>
        <v>#VALUE!</v>
      </c>
      <c r="BA12" t="e">
        <f>AND('Planilla_General_07-12-2012_8_3'!L169,"AAAAAFf/rzQ=")</f>
        <v>#VALUE!</v>
      </c>
      <c r="BB12" t="e">
        <f>AND('Planilla_General_07-12-2012_8_3'!M169,"AAAAAFf/rzU=")</f>
        <v>#VALUE!</v>
      </c>
      <c r="BC12" t="e">
        <f>AND('Planilla_General_07-12-2012_8_3'!N169,"AAAAAFf/rzY=")</f>
        <v>#VALUE!</v>
      </c>
      <c r="BD12" t="e">
        <f>AND('Planilla_General_07-12-2012_8_3'!O169,"AAAAAFf/rzc=")</f>
        <v>#VALUE!</v>
      </c>
      <c r="BE12" t="e">
        <f>AND('Planilla_General_07-12-2012_8_3'!P169,"AAAAAFf/rzg=")</f>
        <v>#VALUE!</v>
      </c>
      <c r="BF12">
        <f>IF('Planilla_General_07-12-2012_8_3'!170:170,"AAAAAFf/rzk=",0)</f>
        <v>0</v>
      </c>
      <c r="BG12" t="e">
        <f>AND('Planilla_General_07-12-2012_8_3'!A170,"AAAAAFf/rzo=")</f>
        <v>#VALUE!</v>
      </c>
      <c r="BH12" t="e">
        <f>AND('Planilla_General_07-12-2012_8_3'!B170,"AAAAAFf/rzs=")</f>
        <v>#VALUE!</v>
      </c>
      <c r="BI12" t="e">
        <f>AND('Planilla_General_07-12-2012_8_3'!C170,"AAAAAFf/rzw=")</f>
        <v>#VALUE!</v>
      </c>
      <c r="BJ12" t="e">
        <f>AND('Planilla_General_07-12-2012_8_3'!D170,"AAAAAFf/rz0=")</f>
        <v>#VALUE!</v>
      </c>
      <c r="BK12" t="e">
        <f>AND('Planilla_General_07-12-2012_8_3'!E170,"AAAAAFf/rz4=")</f>
        <v>#VALUE!</v>
      </c>
      <c r="BL12" t="e">
        <f>AND('Planilla_General_07-12-2012_8_3'!F170,"AAAAAFf/rz8=")</f>
        <v>#VALUE!</v>
      </c>
      <c r="BM12" t="e">
        <f>AND('Planilla_General_07-12-2012_8_3'!G170,"AAAAAFf/r0A=")</f>
        <v>#VALUE!</v>
      </c>
      <c r="BN12" t="e">
        <f>AND('Planilla_General_07-12-2012_8_3'!H170,"AAAAAFf/r0E=")</f>
        <v>#VALUE!</v>
      </c>
      <c r="BO12" t="e">
        <f>AND('Planilla_General_07-12-2012_8_3'!I170,"AAAAAFf/r0I=")</f>
        <v>#VALUE!</v>
      </c>
      <c r="BP12" t="e">
        <f>AND('Planilla_General_07-12-2012_8_3'!J170,"AAAAAFf/r0M=")</f>
        <v>#VALUE!</v>
      </c>
      <c r="BQ12" t="e">
        <f>AND('Planilla_General_07-12-2012_8_3'!K170,"AAAAAFf/r0Q=")</f>
        <v>#VALUE!</v>
      </c>
      <c r="BR12" t="e">
        <f>AND('Planilla_General_07-12-2012_8_3'!L170,"AAAAAFf/r0U=")</f>
        <v>#VALUE!</v>
      </c>
      <c r="BS12" t="e">
        <f>AND('Planilla_General_07-12-2012_8_3'!M170,"AAAAAFf/r0Y=")</f>
        <v>#VALUE!</v>
      </c>
      <c r="BT12" t="e">
        <f>AND('Planilla_General_07-12-2012_8_3'!N170,"AAAAAFf/r0c=")</f>
        <v>#VALUE!</v>
      </c>
      <c r="BU12" t="e">
        <f>AND('Planilla_General_07-12-2012_8_3'!O170,"AAAAAFf/r0g=")</f>
        <v>#VALUE!</v>
      </c>
      <c r="BV12" t="e">
        <f>AND('Planilla_General_07-12-2012_8_3'!P170,"AAAAAFf/r0k=")</f>
        <v>#VALUE!</v>
      </c>
      <c r="BW12">
        <f>IF('Planilla_General_07-12-2012_8_3'!171:171,"AAAAAFf/r0o=",0)</f>
        <v>0</v>
      </c>
      <c r="BX12" t="e">
        <f>AND('Planilla_General_07-12-2012_8_3'!A171,"AAAAAFf/r0s=")</f>
        <v>#VALUE!</v>
      </c>
      <c r="BY12" t="e">
        <f>AND('Planilla_General_07-12-2012_8_3'!B171,"AAAAAFf/r0w=")</f>
        <v>#VALUE!</v>
      </c>
      <c r="BZ12" t="e">
        <f>AND('Planilla_General_07-12-2012_8_3'!C171,"AAAAAFf/r00=")</f>
        <v>#VALUE!</v>
      </c>
      <c r="CA12" t="e">
        <f>AND('Planilla_General_07-12-2012_8_3'!D171,"AAAAAFf/r04=")</f>
        <v>#VALUE!</v>
      </c>
      <c r="CB12" t="e">
        <f>AND('Planilla_General_07-12-2012_8_3'!E171,"AAAAAFf/r08=")</f>
        <v>#VALUE!</v>
      </c>
      <c r="CC12" t="e">
        <f>AND('Planilla_General_07-12-2012_8_3'!F171,"AAAAAFf/r1A=")</f>
        <v>#VALUE!</v>
      </c>
      <c r="CD12" t="e">
        <f>AND('Planilla_General_07-12-2012_8_3'!G171,"AAAAAFf/r1E=")</f>
        <v>#VALUE!</v>
      </c>
      <c r="CE12" t="e">
        <f>AND('Planilla_General_07-12-2012_8_3'!H171,"AAAAAFf/r1I=")</f>
        <v>#VALUE!</v>
      </c>
      <c r="CF12" t="e">
        <f>AND('Planilla_General_07-12-2012_8_3'!I171,"AAAAAFf/r1M=")</f>
        <v>#VALUE!</v>
      </c>
      <c r="CG12" t="e">
        <f>AND('Planilla_General_07-12-2012_8_3'!J171,"AAAAAFf/r1Q=")</f>
        <v>#VALUE!</v>
      </c>
      <c r="CH12" t="e">
        <f>AND('Planilla_General_07-12-2012_8_3'!K171,"AAAAAFf/r1U=")</f>
        <v>#VALUE!</v>
      </c>
      <c r="CI12" t="e">
        <f>AND('Planilla_General_07-12-2012_8_3'!L171,"AAAAAFf/r1Y=")</f>
        <v>#VALUE!</v>
      </c>
      <c r="CJ12" t="e">
        <f>AND('Planilla_General_07-12-2012_8_3'!M171,"AAAAAFf/r1c=")</f>
        <v>#VALUE!</v>
      </c>
      <c r="CK12" t="e">
        <f>AND('Planilla_General_07-12-2012_8_3'!N171,"AAAAAFf/r1g=")</f>
        <v>#VALUE!</v>
      </c>
      <c r="CL12" t="e">
        <f>AND('Planilla_General_07-12-2012_8_3'!O171,"AAAAAFf/r1k=")</f>
        <v>#VALUE!</v>
      </c>
      <c r="CM12" t="e">
        <f>AND('Planilla_General_07-12-2012_8_3'!P171,"AAAAAFf/r1o=")</f>
        <v>#VALUE!</v>
      </c>
      <c r="CN12">
        <f>IF('Planilla_General_07-12-2012_8_3'!172:172,"AAAAAFf/r1s=",0)</f>
        <v>0</v>
      </c>
      <c r="CO12" t="e">
        <f>AND('Planilla_General_07-12-2012_8_3'!A172,"AAAAAFf/r1w=")</f>
        <v>#VALUE!</v>
      </c>
      <c r="CP12" t="e">
        <f>AND('Planilla_General_07-12-2012_8_3'!B172,"AAAAAFf/r10=")</f>
        <v>#VALUE!</v>
      </c>
      <c r="CQ12" t="e">
        <f>AND('Planilla_General_07-12-2012_8_3'!C172,"AAAAAFf/r14=")</f>
        <v>#VALUE!</v>
      </c>
      <c r="CR12" t="e">
        <f>AND('Planilla_General_07-12-2012_8_3'!D172,"AAAAAFf/r18=")</f>
        <v>#VALUE!</v>
      </c>
      <c r="CS12" t="e">
        <f>AND('Planilla_General_07-12-2012_8_3'!E172,"AAAAAFf/r2A=")</f>
        <v>#VALUE!</v>
      </c>
      <c r="CT12" t="e">
        <f>AND('Planilla_General_07-12-2012_8_3'!F172,"AAAAAFf/r2E=")</f>
        <v>#VALUE!</v>
      </c>
      <c r="CU12" t="e">
        <f>AND('Planilla_General_07-12-2012_8_3'!G172,"AAAAAFf/r2I=")</f>
        <v>#VALUE!</v>
      </c>
      <c r="CV12" t="e">
        <f>AND('Planilla_General_07-12-2012_8_3'!H172,"AAAAAFf/r2M=")</f>
        <v>#VALUE!</v>
      </c>
      <c r="CW12" t="e">
        <f>AND('Planilla_General_07-12-2012_8_3'!I172,"AAAAAFf/r2Q=")</f>
        <v>#VALUE!</v>
      </c>
      <c r="CX12" t="e">
        <f>AND('Planilla_General_07-12-2012_8_3'!J172,"AAAAAFf/r2U=")</f>
        <v>#VALUE!</v>
      </c>
      <c r="CY12" t="e">
        <f>AND('Planilla_General_07-12-2012_8_3'!K172,"AAAAAFf/r2Y=")</f>
        <v>#VALUE!</v>
      </c>
      <c r="CZ12" t="e">
        <f>AND('Planilla_General_07-12-2012_8_3'!L172,"AAAAAFf/r2c=")</f>
        <v>#VALUE!</v>
      </c>
      <c r="DA12" t="e">
        <f>AND('Planilla_General_07-12-2012_8_3'!M172,"AAAAAFf/r2g=")</f>
        <v>#VALUE!</v>
      </c>
      <c r="DB12" t="e">
        <f>AND('Planilla_General_07-12-2012_8_3'!N172,"AAAAAFf/r2k=")</f>
        <v>#VALUE!</v>
      </c>
      <c r="DC12" t="e">
        <f>AND('Planilla_General_07-12-2012_8_3'!O172,"AAAAAFf/r2o=")</f>
        <v>#VALUE!</v>
      </c>
      <c r="DD12" t="e">
        <f>AND('Planilla_General_07-12-2012_8_3'!P172,"AAAAAFf/r2s=")</f>
        <v>#VALUE!</v>
      </c>
      <c r="DE12">
        <f>IF('Planilla_General_07-12-2012_8_3'!173:173,"AAAAAFf/r2w=",0)</f>
        <v>0</v>
      </c>
      <c r="DF12" t="e">
        <f>AND('Planilla_General_07-12-2012_8_3'!A173,"AAAAAFf/r20=")</f>
        <v>#VALUE!</v>
      </c>
      <c r="DG12" t="e">
        <f>AND('Planilla_General_07-12-2012_8_3'!B173,"AAAAAFf/r24=")</f>
        <v>#VALUE!</v>
      </c>
      <c r="DH12" t="e">
        <f>AND('Planilla_General_07-12-2012_8_3'!C173,"AAAAAFf/r28=")</f>
        <v>#VALUE!</v>
      </c>
      <c r="DI12" t="e">
        <f>AND('Planilla_General_07-12-2012_8_3'!D173,"AAAAAFf/r3A=")</f>
        <v>#VALUE!</v>
      </c>
      <c r="DJ12" t="e">
        <f>AND('Planilla_General_07-12-2012_8_3'!E173,"AAAAAFf/r3E=")</f>
        <v>#VALUE!</v>
      </c>
      <c r="DK12" t="e">
        <f>AND('Planilla_General_07-12-2012_8_3'!F173,"AAAAAFf/r3I=")</f>
        <v>#VALUE!</v>
      </c>
      <c r="DL12" t="e">
        <f>AND('Planilla_General_07-12-2012_8_3'!G173,"AAAAAFf/r3M=")</f>
        <v>#VALUE!</v>
      </c>
      <c r="DM12" t="e">
        <f>AND('Planilla_General_07-12-2012_8_3'!H173,"AAAAAFf/r3Q=")</f>
        <v>#VALUE!</v>
      </c>
      <c r="DN12" t="e">
        <f>AND('Planilla_General_07-12-2012_8_3'!I173,"AAAAAFf/r3U=")</f>
        <v>#VALUE!</v>
      </c>
      <c r="DO12" t="e">
        <f>AND('Planilla_General_07-12-2012_8_3'!J173,"AAAAAFf/r3Y=")</f>
        <v>#VALUE!</v>
      </c>
      <c r="DP12" t="e">
        <f>AND('Planilla_General_07-12-2012_8_3'!K173,"AAAAAFf/r3c=")</f>
        <v>#VALUE!</v>
      </c>
      <c r="DQ12" t="e">
        <f>AND('Planilla_General_07-12-2012_8_3'!L173,"AAAAAFf/r3g=")</f>
        <v>#VALUE!</v>
      </c>
      <c r="DR12" t="e">
        <f>AND('Planilla_General_07-12-2012_8_3'!M173,"AAAAAFf/r3k=")</f>
        <v>#VALUE!</v>
      </c>
      <c r="DS12" t="e">
        <f>AND('Planilla_General_07-12-2012_8_3'!N173,"AAAAAFf/r3o=")</f>
        <v>#VALUE!</v>
      </c>
      <c r="DT12" t="e">
        <f>AND('Planilla_General_07-12-2012_8_3'!O173,"AAAAAFf/r3s=")</f>
        <v>#VALUE!</v>
      </c>
      <c r="DU12" t="e">
        <f>AND('Planilla_General_07-12-2012_8_3'!P173,"AAAAAFf/r3w=")</f>
        <v>#VALUE!</v>
      </c>
      <c r="DV12">
        <f>IF('Planilla_General_07-12-2012_8_3'!174:174,"AAAAAFf/r30=",0)</f>
        <v>0</v>
      </c>
      <c r="DW12" t="e">
        <f>AND('Planilla_General_07-12-2012_8_3'!A174,"AAAAAFf/r34=")</f>
        <v>#VALUE!</v>
      </c>
      <c r="DX12" t="e">
        <f>AND('Planilla_General_07-12-2012_8_3'!B174,"AAAAAFf/r38=")</f>
        <v>#VALUE!</v>
      </c>
      <c r="DY12" t="e">
        <f>AND('Planilla_General_07-12-2012_8_3'!C174,"AAAAAFf/r4A=")</f>
        <v>#VALUE!</v>
      </c>
      <c r="DZ12" t="e">
        <f>AND('Planilla_General_07-12-2012_8_3'!D174,"AAAAAFf/r4E=")</f>
        <v>#VALUE!</v>
      </c>
      <c r="EA12" t="e">
        <f>AND('Planilla_General_07-12-2012_8_3'!E174,"AAAAAFf/r4I=")</f>
        <v>#VALUE!</v>
      </c>
      <c r="EB12" t="e">
        <f>AND('Planilla_General_07-12-2012_8_3'!F174,"AAAAAFf/r4M=")</f>
        <v>#VALUE!</v>
      </c>
      <c r="EC12" t="e">
        <f>AND('Planilla_General_07-12-2012_8_3'!G174,"AAAAAFf/r4Q=")</f>
        <v>#VALUE!</v>
      </c>
      <c r="ED12" t="e">
        <f>AND('Planilla_General_07-12-2012_8_3'!H174,"AAAAAFf/r4U=")</f>
        <v>#VALUE!</v>
      </c>
      <c r="EE12" t="e">
        <f>AND('Planilla_General_07-12-2012_8_3'!I174,"AAAAAFf/r4Y=")</f>
        <v>#VALUE!</v>
      </c>
      <c r="EF12" t="e">
        <f>AND('Planilla_General_07-12-2012_8_3'!J174,"AAAAAFf/r4c=")</f>
        <v>#VALUE!</v>
      </c>
      <c r="EG12" t="e">
        <f>AND('Planilla_General_07-12-2012_8_3'!K174,"AAAAAFf/r4g=")</f>
        <v>#VALUE!</v>
      </c>
      <c r="EH12" t="e">
        <f>AND('Planilla_General_07-12-2012_8_3'!L174,"AAAAAFf/r4k=")</f>
        <v>#VALUE!</v>
      </c>
      <c r="EI12" t="e">
        <f>AND('Planilla_General_07-12-2012_8_3'!M174,"AAAAAFf/r4o=")</f>
        <v>#VALUE!</v>
      </c>
      <c r="EJ12" t="e">
        <f>AND('Planilla_General_07-12-2012_8_3'!N174,"AAAAAFf/r4s=")</f>
        <v>#VALUE!</v>
      </c>
      <c r="EK12" t="e">
        <f>AND('Planilla_General_07-12-2012_8_3'!O174,"AAAAAFf/r4w=")</f>
        <v>#VALUE!</v>
      </c>
      <c r="EL12" t="e">
        <f>AND('Planilla_General_07-12-2012_8_3'!P174,"AAAAAFf/r40=")</f>
        <v>#VALUE!</v>
      </c>
      <c r="EM12">
        <f>IF('Planilla_General_07-12-2012_8_3'!175:175,"AAAAAFf/r44=",0)</f>
        <v>0</v>
      </c>
      <c r="EN12" t="e">
        <f>AND('Planilla_General_07-12-2012_8_3'!A175,"AAAAAFf/r48=")</f>
        <v>#VALUE!</v>
      </c>
      <c r="EO12" t="e">
        <f>AND('Planilla_General_07-12-2012_8_3'!B175,"AAAAAFf/r5A=")</f>
        <v>#VALUE!</v>
      </c>
      <c r="EP12" t="e">
        <f>AND('Planilla_General_07-12-2012_8_3'!C175,"AAAAAFf/r5E=")</f>
        <v>#VALUE!</v>
      </c>
      <c r="EQ12" t="e">
        <f>AND('Planilla_General_07-12-2012_8_3'!D175,"AAAAAFf/r5I=")</f>
        <v>#VALUE!</v>
      </c>
      <c r="ER12" t="e">
        <f>AND('Planilla_General_07-12-2012_8_3'!E175,"AAAAAFf/r5M=")</f>
        <v>#VALUE!</v>
      </c>
      <c r="ES12" t="e">
        <f>AND('Planilla_General_07-12-2012_8_3'!F175,"AAAAAFf/r5Q=")</f>
        <v>#VALUE!</v>
      </c>
      <c r="ET12" t="e">
        <f>AND('Planilla_General_07-12-2012_8_3'!G175,"AAAAAFf/r5U=")</f>
        <v>#VALUE!</v>
      </c>
      <c r="EU12" t="e">
        <f>AND('Planilla_General_07-12-2012_8_3'!H175,"AAAAAFf/r5Y=")</f>
        <v>#VALUE!</v>
      </c>
      <c r="EV12" t="e">
        <f>AND('Planilla_General_07-12-2012_8_3'!I175,"AAAAAFf/r5c=")</f>
        <v>#VALUE!</v>
      </c>
      <c r="EW12" t="e">
        <f>AND('Planilla_General_07-12-2012_8_3'!J175,"AAAAAFf/r5g=")</f>
        <v>#VALUE!</v>
      </c>
      <c r="EX12" t="e">
        <f>AND('Planilla_General_07-12-2012_8_3'!K175,"AAAAAFf/r5k=")</f>
        <v>#VALUE!</v>
      </c>
      <c r="EY12" t="e">
        <f>AND('Planilla_General_07-12-2012_8_3'!L175,"AAAAAFf/r5o=")</f>
        <v>#VALUE!</v>
      </c>
      <c r="EZ12" t="e">
        <f>AND('Planilla_General_07-12-2012_8_3'!M175,"AAAAAFf/r5s=")</f>
        <v>#VALUE!</v>
      </c>
      <c r="FA12" t="e">
        <f>AND('Planilla_General_07-12-2012_8_3'!N175,"AAAAAFf/r5w=")</f>
        <v>#VALUE!</v>
      </c>
      <c r="FB12" t="e">
        <f>AND('Planilla_General_07-12-2012_8_3'!O175,"AAAAAFf/r50=")</f>
        <v>#VALUE!</v>
      </c>
      <c r="FC12" t="e">
        <f>AND('Planilla_General_07-12-2012_8_3'!P175,"AAAAAFf/r54=")</f>
        <v>#VALUE!</v>
      </c>
      <c r="FD12">
        <f>IF('Planilla_General_07-12-2012_8_3'!176:176,"AAAAAFf/r58=",0)</f>
        <v>0</v>
      </c>
      <c r="FE12" t="e">
        <f>AND('Planilla_General_07-12-2012_8_3'!A176,"AAAAAFf/r6A=")</f>
        <v>#VALUE!</v>
      </c>
      <c r="FF12" t="e">
        <f>AND('Planilla_General_07-12-2012_8_3'!B176,"AAAAAFf/r6E=")</f>
        <v>#VALUE!</v>
      </c>
      <c r="FG12" t="e">
        <f>AND('Planilla_General_07-12-2012_8_3'!C176,"AAAAAFf/r6I=")</f>
        <v>#VALUE!</v>
      </c>
      <c r="FH12" t="e">
        <f>AND('Planilla_General_07-12-2012_8_3'!D176,"AAAAAFf/r6M=")</f>
        <v>#VALUE!</v>
      </c>
      <c r="FI12" t="e">
        <f>AND('Planilla_General_07-12-2012_8_3'!E176,"AAAAAFf/r6Q=")</f>
        <v>#VALUE!</v>
      </c>
      <c r="FJ12" t="e">
        <f>AND('Planilla_General_07-12-2012_8_3'!F176,"AAAAAFf/r6U=")</f>
        <v>#VALUE!</v>
      </c>
      <c r="FK12" t="e">
        <f>AND('Planilla_General_07-12-2012_8_3'!G176,"AAAAAFf/r6Y=")</f>
        <v>#VALUE!</v>
      </c>
      <c r="FL12" t="e">
        <f>AND('Planilla_General_07-12-2012_8_3'!H176,"AAAAAFf/r6c=")</f>
        <v>#VALUE!</v>
      </c>
      <c r="FM12" t="e">
        <f>AND('Planilla_General_07-12-2012_8_3'!I176,"AAAAAFf/r6g=")</f>
        <v>#VALUE!</v>
      </c>
      <c r="FN12" t="e">
        <f>AND('Planilla_General_07-12-2012_8_3'!J176,"AAAAAFf/r6k=")</f>
        <v>#VALUE!</v>
      </c>
      <c r="FO12" t="e">
        <f>AND('Planilla_General_07-12-2012_8_3'!K176,"AAAAAFf/r6o=")</f>
        <v>#VALUE!</v>
      </c>
      <c r="FP12" t="e">
        <f>AND('Planilla_General_07-12-2012_8_3'!L176,"AAAAAFf/r6s=")</f>
        <v>#VALUE!</v>
      </c>
      <c r="FQ12" t="e">
        <f>AND('Planilla_General_07-12-2012_8_3'!M176,"AAAAAFf/r6w=")</f>
        <v>#VALUE!</v>
      </c>
      <c r="FR12" t="e">
        <f>AND('Planilla_General_07-12-2012_8_3'!N176,"AAAAAFf/r60=")</f>
        <v>#VALUE!</v>
      </c>
      <c r="FS12" t="e">
        <f>AND('Planilla_General_07-12-2012_8_3'!O176,"AAAAAFf/r64=")</f>
        <v>#VALUE!</v>
      </c>
      <c r="FT12" t="e">
        <f>AND('Planilla_General_07-12-2012_8_3'!P176,"AAAAAFf/r68=")</f>
        <v>#VALUE!</v>
      </c>
      <c r="FU12">
        <f>IF('Planilla_General_07-12-2012_8_3'!177:177,"AAAAAFf/r7A=",0)</f>
        <v>0</v>
      </c>
      <c r="FV12" t="e">
        <f>AND('Planilla_General_07-12-2012_8_3'!A177,"AAAAAFf/r7E=")</f>
        <v>#VALUE!</v>
      </c>
      <c r="FW12" t="e">
        <f>AND('Planilla_General_07-12-2012_8_3'!B177,"AAAAAFf/r7I=")</f>
        <v>#VALUE!</v>
      </c>
      <c r="FX12" t="e">
        <f>AND('Planilla_General_07-12-2012_8_3'!C177,"AAAAAFf/r7M=")</f>
        <v>#VALUE!</v>
      </c>
      <c r="FY12" t="e">
        <f>AND('Planilla_General_07-12-2012_8_3'!D177,"AAAAAFf/r7Q=")</f>
        <v>#VALUE!</v>
      </c>
      <c r="FZ12" t="e">
        <f>AND('Planilla_General_07-12-2012_8_3'!E177,"AAAAAFf/r7U=")</f>
        <v>#VALUE!</v>
      </c>
      <c r="GA12" t="e">
        <f>AND('Planilla_General_07-12-2012_8_3'!F177,"AAAAAFf/r7Y=")</f>
        <v>#VALUE!</v>
      </c>
      <c r="GB12" t="e">
        <f>AND('Planilla_General_07-12-2012_8_3'!G177,"AAAAAFf/r7c=")</f>
        <v>#VALUE!</v>
      </c>
      <c r="GC12" t="e">
        <f>AND('Planilla_General_07-12-2012_8_3'!H177,"AAAAAFf/r7g=")</f>
        <v>#VALUE!</v>
      </c>
      <c r="GD12" t="e">
        <f>AND('Planilla_General_07-12-2012_8_3'!I177,"AAAAAFf/r7k=")</f>
        <v>#VALUE!</v>
      </c>
      <c r="GE12" t="e">
        <f>AND('Planilla_General_07-12-2012_8_3'!J177,"AAAAAFf/r7o=")</f>
        <v>#VALUE!</v>
      </c>
      <c r="GF12" t="e">
        <f>AND('Planilla_General_07-12-2012_8_3'!K177,"AAAAAFf/r7s=")</f>
        <v>#VALUE!</v>
      </c>
      <c r="GG12" t="e">
        <f>AND('Planilla_General_07-12-2012_8_3'!L177,"AAAAAFf/r7w=")</f>
        <v>#VALUE!</v>
      </c>
      <c r="GH12" t="e">
        <f>AND('Planilla_General_07-12-2012_8_3'!M177,"AAAAAFf/r70=")</f>
        <v>#VALUE!</v>
      </c>
      <c r="GI12" t="e">
        <f>AND('Planilla_General_07-12-2012_8_3'!N177,"AAAAAFf/r74=")</f>
        <v>#VALUE!</v>
      </c>
      <c r="GJ12" t="e">
        <f>AND('Planilla_General_07-12-2012_8_3'!O177,"AAAAAFf/r78=")</f>
        <v>#VALUE!</v>
      </c>
      <c r="GK12" t="e">
        <f>AND('Planilla_General_07-12-2012_8_3'!P177,"AAAAAFf/r8A=")</f>
        <v>#VALUE!</v>
      </c>
      <c r="GL12">
        <f>IF('Planilla_General_07-12-2012_8_3'!178:178,"AAAAAFf/r8E=",0)</f>
        <v>0</v>
      </c>
      <c r="GM12" t="e">
        <f>AND('Planilla_General_07-12-2012_8_3'!A178,"AAAAAFf/r8I=")</f>
        <v>#VALUE!</v>
      </c>
      <c r="GN12" t="e">
        <f>AND('Planilla_General_07-12-2012_8_3'!B178,"AAAAAFf/r8M=")</f>
        <v>#VALUE!</v>
      </c>
      <c r="GO12" t="e">
        <f>AND('Planilla_General_07-12-2012_8_3'!C178,"AAAAAFf/r8Q=")</f>
        <v>#VALUE!</v>
      </c>
      <c r="GP12" t="e">
        <f>AND('Planilla_General_07-12-2012_8_3'!D178,"AAAAAFf/r8U=")</f>
        <v>#VALUE!</v>
      </c>
      <c r="GQ12" t="e">
        <f>AND('Planilla_General_07-12-2012_8_3'!E178,"AAAAAFf/r8Y=")</f>
        <v>#VALUE!</v>
      </c>
      <c r="GR12" t="e">
        <f>AND('Planilla_General_07-12-2012_8_3'!F178,"AAAAAFf/r8c=")</f>
        <v>#VALUE!</v>
      </c>
      <c r="GS12" t="e">
        <f>AND('Planilla_General_07-12-2012_8_3'!G178,"AAAAAFf/r8g=")</f>
        <v>#VALUE!</v>
      </c>
      <c r="GT12" t="e">
        <f>AND('Planilla_General_07-12-2012_8_3'!H178,"AAAAAFf/r8k=")</f>
        <v>#VALUE!</v>
      </c>
      <c r="GU12" t="e">
        <f>AND('Planilla_General_07-12-2012_8_3'!I178,"AAAAAFf/r8o=")</f>
        <v>#VALUE!</v>
      </c>
      <c r="GV12" t="e">
        <f>AND('Planilla_General_07-12-2012_8_3'!J178,"AAAAAFf/r8s=")</f>
        <v>#VALUE!</v>
      </c>
      <c r="GW12" t="e">
        <f>AND('Planilla_General_07-12-2012_8_3'!K178,"AAAAAFf/r8w=")</f>
        <v>#VALUE!</v>
      </c>
      <c r="GX12" t="e">
        <f>AND('Planilla_General_07-12-2012_8_3'!L178,"AAAAAFf/r80=")</f>
        <v>#VALUE!</v>
      </c>
      <c r="GY12" t="e">
        <f>AND('Planilla_General_07-12-2012_8_3'!M178,"AAAAAFf/r84=")</f>
        <v>#VALUE!</v>
      </c>
      <c r="GZ12" t="e">
        <f>AND('Planilla_General_07-12-2012_8_3'!N178,"AAAAAFf/r88=")</f>
        <v>#VALUE!</v>
      </c>
      <c r="HA12" t="e">
        <f>AND('Planilla_General_07-12-2012_8_3'!O178,"AAAAAFf/r9A=")</f>
        <v>#VALUE!</v>
      </c>
      <c r="HB12" t="e">
        <f>AND('Planilla_General_07-12-2012_8_3'!P178,"AAAAAFf/r9E=")</f>
        <v>#VALUE!</v>
      </c>
      <c r="HC12">
        <f>IF('Planilla_General_07-12-2012_8_3'!179:179,"AAAAAFf/r9I=",0)</f>
        <v>0</v>
      </c>
      <c r="HD12" t="e">
        <f>AND('Planilla_General_07-12-2012_8_3'!A179,"AAAAAFf/r9M=")</f>
        <v>#VALUE!</v>
      </c>
      <c r="HE12" t="e">
        <f>AND('Planilla_General_07-12-2012_8_3'!B179,"AAAAAFf/r9Q=")</f>
        <v>#VALUE!</v>
      </c>
      <c r="HF12" t="e">
        <f>AND('Planilla_General_07-12-2012_8_3'!C179,"AAAAAFf/r9U=")</f>
        <v>#VALUE!</v>
      </c>
      <c r="HG12" t="e">
        <f>AND('Planilla_General_07-12-2012_8_3'!D179,"AAAAAFf/r9Y=")</f>
        <v>#VALUE!</v>
      </c>
      <c r="HH12" t="e">
        <f>AND('Planilla_General_07-12-2012_8_3'!E179,"AAAAAFf/r9c=")</f>
        <v>#VALUE!</v>
      </c>
      <c r="HI12" t="e">
        <f>AND('Planilla_General_07-12-2012_8_3'!F179,"AAAAAFf/r9g=")</f>
        <v>#VALUE!</v>
      </c>
      <c r="HJ12" t="e">
        <f>AND('Planilla_General_07-12-2012_8_3'!G179,"AAAAAFf/r9k=")</f>
        <v>#VALUE!</v>
      </c>
      <c r="HK12" t="e">
        <f>AND('Planilla_General_07-12-2012_8_3'!H179,"AAAAAFf/r9o=")</f>
        <v>#VALUE!</v>
      </c>
      <c r="HL12" t="e">
        <f>AND('Planilla_General_07-12-2012_8_3'!I179,"AAAAAFf/r9s=")</f>
        <v>#VALUE!</v>
      </c>
      <c r="HM12" t="e">
        <f>AND('Planilla_General_07-12-2012_8_3'!J179,"AAAAAFf/r9w=")</f>
        <v>#VALUE!</v>
      </c>
      <c r="HN12" t="e">
        <f>AND('Planilla_General_07-12-2012_8_3'!K179,"AAAAAFf/r90=")</f>
        <v>#VALUE!</v>
      </c>
      <c r="HO12" t="e">
        <f>AND('Planilla_General_07-12-2012_8_3'!L179,"AAAAAFf/r94=")</f>
        <v>#VALUE!</v>
      </c>
      <c r="HP12" t="e">
        <f>AND('Planilla_General_07-12-2012_8_3'!M179,"AAAAAFf/r98=")</f>
        <v>#VALUE!</v>
      </c>
      <c r="HQ12" t="e">
        <f>AND('Planilla_General_07-12-2012_8_3'!N179,"AAAAAFf/r+A=")</f>
        <v>#VALUE!</v>
      </c>
      <c r="HR12" t="e">
        <f>AND('Planilla_General_07-12-2012_8_3'!O179,"AAAAAFf/r+E=")</f>
        <v>#VALUE!</v>
      </c>
      <c r="HS12" t="e">
        <f>AND('Planilla_General_07-12-2012_8_3'!P179,"AAAAAFf/r+I=")</f>
        <v>#VALUE!</v>
      </c>
      <c r="HT12">
        <f>IF('Planilla_General_07-12-2012_8_3'!180:180,"AAAAAFf/r+M=",0)</f>
        <v>0</v>
      </c>
      <c r="HU12" t="e">
        <f>AND('Planilla_General_07-12-2012_8_3'!A180,"AAAAAFf/r+Q=")</f>
        <v>#VALUE!</v>
      </c>
      <c r="HV12" t="e">
        <f>AND('Planilla_General_07-12-2012_8_3'!B180,"AAAAAFf/r+U=")</f>
        <v>#VALUE!</v>
      </c>
      <c r="HW12" t="e">
        <f>AND('Planilla_General_07-12-2012_8_3'!C180,"AAAAAFf/r+Y=")</f>
        <v>#VALUE!</v>
      </c>
      <c r="HX12" t="e">
        <f>AND('Planilla_General_07-12-2012_8_3'!D180,"AAAAAFf/r+c=")</f>
        <v>#VALUE!</v>
      </c>
      <c r="HY12" t="e">
        <f>AND('Planilla_General_07-12-2012_8_3'!E180,"AAAAAFf/r+g=")</f>
        <v>#VALUE!</v>
      </c>
      <c r="HZ12" t="e">
        <f>AND('Planilla_General_07-12-2012_8_3'!F180,"AAAAAFf/r+k=")</f>
        <v>#VALUE!</v>
      </c>
      <c r="IA12" t="e">
        <f>AND('Planilla_General_07-12-2012_8_3'!G180,"AAAAAFf/r+o=")</f>
        <v>#VALUE!</v>
      </c>
      <c r="IB12" t="e">
        <f>AND('Planilla_General_07-12-2012_8_3'!H180,"AAAAAFf/r+s=")</f>
        <v>#VALUE!</v>
      </c>
      <c r="IC12" t="e">
        <f>AND('Planilla_General_07-12-2012_8_3'!I180,"AAAAAFf/r+w=")</f>
        <v>#VALUE!</v>
      </c>
      <c r="ID12" t="e">
        <f>AND('Planilla_General_07-12-2012_8_3'!J180,"AAAAAFf/r+0=")</f>
        <v>#VALUE!</v>
      </c>
      <c r="IE12" t="e">
        <f>AND('Planilla_General_07-12-2012_8_3'!K180,"AAAAAFf/r+4=")</f>
        <v>#VALUE!</v>
      </c>
      <c r="IF12" t="e">
        <f>AND('Planilla_General_07-12-2012_8_3'!L180,"AAAAAFf/r+8=")</f>
        <v>#VALUE!</v>
      </c>
      <c r="IG12" t="e">
        <f>AND('Planilla_General_07-12-2012_8_3'!M180,"AAAAAFf/r/A=")</f>
        <v>#VALUE!</v>
      </c>
      <c r="IH12" t="e">
        <f>AND('Planilla_General_07-12-2012_8_3'!N180,"AAAAAFf/r/E=")</f>
        <v>#VALUE!</v>
      </c>
      <c r="II12" t="e">
        <f>AND('Planilla_General_07-12-2012_8_3'!O180,"AAAAAFf/r/I=")</f>
        <v>#VALUE!</v>
      </c>
      <c r="IJ12" t="e">
        <f>AND('Planilla_General_07-12-2012_8_3'!P180,"AAAAAFf/r/M=")</f>
        <v>#VALUE!</v>
      </c>
      <c r="IK12">
        <f>IF('Planilla_General_07-12-2012_8_3'!181:181,"AAAAAFf/r/Q=",0)</f>
        <v>0</v>
      </c>
      <c r="IL12" t="e">
        <f>AND('Planilla_General_07-12-2012_8_3'!A181,"AAAAAFf/r/U=")</f>
        <v>#VALUE!</v>
      </c>
      <c r="IM12" t="e">
        <f>AND('Planilla_General_07-12-2012_8_3'!B181,"AAAAAFf/r/Y=")</f>
        <v>#VALUE!</v>
      </c>
      <c r="IN12" t="e">
        <f>AND('Planilla_General_07-12-2012_8_3'!C181,"AAAAAFf/r/c=")</f>
        <v>#VALUE!</v>
      </c>
      <c r="IO12" t="e">
        <f>AND('Planilla_General_07-12-2012_8_3'!D181,"AAAAAFf/r/g=")</f>
        <v>#VALUE!</v>
      </c>
      <c r="IP12" t="e">
        <f>AND('Planilla_General_07-12-2012_8_3'!E181,"AAAAAFf/r/k=")</f>
        <v>#VALUE!</v>
      </c>
      <c r="IQ12" t="e">
        <f>AND('Planilla_General_07-12-2012_8_3'!F181,"AAAAAFf/r/o=")</f>
        <v>#VALUE!</v>
      </c>
      <c r="IR12" t="e">
        <f>AND('Planilla_General_07-12-2012_8_3'!G181,"AAAAAFf/r/s=")</f>
        <v>#VALUE!</v>
      </c>
      <c r="IS12" t="e">
        <f>AND('Planilla_General_07-12-2012_8_3'!H181,"AAAAAFf/r/w=")</f>
        <v>#VALUE!</v>
      </c>
      <c r="IT12" t="e">
        <f>AND('Planilla_General_07-12-2012_8_3'!I181,"AAAAAFf/r/0=")</f>
        <v>#VALUE!</v>
      </c>
      <c r="IU12" t="e">
        <f>AND('Planilla_General_07-12-2012_8_3'!J181,"AAAAAFf/r/4=")</f>
        <v>#VALUE!</v>
      </c>
      <c r="IV12" t="e">
        <f>AND('Planilla_General_07-12-2012_8_3'!K181,"AAAAAFf/r/8=")</f>
        <v>#VALUE!</v>
      </c>
    </row>
    <row r="13" spans="1:256" x14ac:dyDescent="0.25">
      <c r="A13" t="e">
        <f>AND('Planilla_General_07-12-2012_8_3'!L181,"AAAAAC//9wA=")</f>
        <v>#VALUE!</v>
      </c>
      <c r="B13" t="e">
        <f>AND('Planilla_General_07-12-2012_8_3'!M181,"AAAAAC//9wE=")</f>
        <v>#VALUE!</v>
      </c>
      <c r="C13" t="e">
        <f>AND('Planilla_General_07-12-2012_8_3'!N181,"AAAAAC//9wI=")</f>
        <v>#VALUE!</v>
      </c>
      <c r="D13" t="e">
        <f>AND('Planilla_General_07-12-2012_8_3'!O181,"AAAAAC//9wM=")</f>
        <v>#VALUE!</v>
      </c>
      <c r="E13" t="e">
        <f>AND('Planilla_General_07-12-2012_8_3'!P181,"AAAAAC//9wQ=")</f>
        <v>#VALUE!</v>
      </c>
      <c r="F13" t="e">
        <f>IF('Planilla_General_07-12-2012_8_3'!182:182,"AAAAAC//9wU=",0)</f>
        <v>#VALUE!</v>
      </c>
      <c r="G13" t="e">
        <f>AND('Planilla_General_07-12-2012_8_3'!A182,"AAAAAC//9wY=")</f>
        <v>#VALUE!</v>
      </c>
      <c r="H13" t="e">
        <f>AND('Planilla_General_07-12-2012_8_3'!B182,"AAAAAC//9wc=")</f>
        <v>#VALUE!</v>
      </c>
      <c r="I13" t="e">
        <f>AND('Planilla_General_07-12-2012_8_3'!C182,"AAAAAC//9wg=")</f>
        <v>#VALUE!</v>
      </c>
      <c r="J13" t="e">
        <f>AND('Planilla_General_07-12-2012_8_3'!D182,"AAAAAC//9wk=")</f>
        <v>#VALUE!</v>
      </c>
      <c r="K13" t="e">
        <f>AND('Planilla_General_07-12-2012_8_3'!E182,"AAAAAC//9wo=")</f>
        <v>#VALUE!</v>
      </c>
      <c r="L13" t="e">
        <f>AND('Planilla_General_07-12-2012_8_3'!F182,"AAAAAC//9ws=")</f>
        <v>#VALUE!</v>
      </c>
      <c r="M13" t="e">
        <f>AND('Planilla_General_07-12-2012_8_3'!G182,"AAAAAC//9ww=")</f>
        <v>#VALUE!</v>
      </c>
      <c r="N13" t="e">
        <f>AND('Planilla_General_07-12-2012_8_3'!H182,"AAAAAC//9w0=")</f>
        <v>#VALUE!</v>
      </c>
      <c r="O13" t="e">
        <f>AND('Planilla_General_07-12-2012_8_3'!I182,"AAAAAC//9w4=")</f>
        <v>#VALUE!</v>
      </c>
      <c r="P13" t="e">
        <f>AND('Planilla_General_07-12-2012_8_3'!J182,"AAAAAC//9w8=")</f>
        <v>#VALUE!</v>
      </c>
      <c r="Q13" t="e">
        <f>AND('Planilla_General_07-12-2012_8_3'!K182,"AAAAAC//9xA=")</f>
        <v>#VALUE!</v>
      </c>
      <c r="R13" t="e">
        <f>AND('Planilla_General_07-12-2012_8_3'!L182,"AAAAAC//9xE=")</f>
        <v>#VALUE!</v>
      </c>
      <c r="S13" t="e">
        <f>AND('Planilla_General_07-12-2012_8_3'!M182,"AAAAAC//9xI=")</f>
        <v>#VALUE!</v>
      </c>
      <c r="T13" t="e">
        <f>AND('Planilla_General_07-12-2012_8_3'!N182,"AAAAAC//9xM=")</f>
        <v>#VALUE!</v>
      </c>
      <c r="U13" t="e">
        <f>AND('Planilla_General_07-12-2012_8_3'!O182,"AAAAAC//9xQ=")</f>
        <v>#VALUE!</v>
      </c>
      <c r="V13" t="e">
        <f>AND('Planilla_General_07-12-2012_8_3'!P182,"AAAAAC//9xU=")</f>
        <v>#VALUE!</v>
      </c>
      <c r="W13">
        <f>IF('Planilla_General_07-12-2012_8_3'!183:183,"AAAAAC//9xY=",0)</f>
        <v>0</v>
      </c>
      <c r="X13" t="e">
        <f>AND('Planilla_General_07-12-2012_8_3'!A183,"AAAAAC//9xc=")</f>
        <v>#VALUE!</v>
      </c>
      <c r="Y13" t="e">
        <f>AND('Planilla_General_07-12-2012_8_3'!B183,"AAAAAC//9xg=")</f>
        <v>#VALUE!</v>
      </c>
      <c r="Z13" t="e">
        <f>AND('Planilla_General_07-12-2012_8_3'!C183,"AAAAAC//9xk=")</f>
        <v>#VALUE!</v>
      </c>
      <c r="AA13" t="e">
        <f>AND('Planilla_General_07-12-2012_8_3'!D183,"AAAAAC//9xo=")</f>
        <v>#VALUE!</v>
      </c>
      <c r="AB13" t="e">
        <f>AND('Planilla_General_07-12-2012_8_3'!E183,"AAAAAC//9xs=")</f>
        <v>#VALUE!</v>
      </c>
      <c r="AC13" t="e">
        <f>AND('Planilla_General_07-12-2012_8_3'!F183,"AAAAAC//9xw=")</f>
        <v>#VALUE!</v>
      </c>
      <c r="AD13" t="e">
        <f>AND('Planilla_General_07-12-2012_8_3'!G183,"AAAAAC//9x0=")</f>
        <v>#VALUE!</v>
      </c>
      <c r="AE13" t="e">
        <f>AND('Planilla_General_07-12-2012_8_3'!H183,"AAAAAC//9x4=")</f>
        <v>#VALUE!</v>
      </c>
      <c r="AF13" t="e">
        <f>AND('Planilla_General_07-12-2012_8_3'!I183,"AAAAAC//9x8=")</f>
        <v>#VALUE!</v>
      </c>
      <c r="AG13" t="e">
        <f>AND('Planilla_General_07-12-2012_8_3'!J183,"AAAAAC//9yA=")</f>
        <v>#VALUE!</v>
      </c>
      <c r="AH13" t="e">
        <f>AND('Planilla_General_07-12-2012_8_3'!K183,"AAAAAC//9yE=")</f>
        <v>#VALUE!</v>
      </c>
      <c r="AI13" t="e">
        <f>AND('Planilla_General_07-12-2012_8_3'!L183,"AAAAAC//9yI=")</f>
        <v>#VALUE!</v>
      </c>
      <c r="AJ13" t="e">
        <f>AND('Planilla_General_07-12-2012_8_3'!M183,"AAAAAC//9yM=")</f>
        <v>#VALUE!</v>
      </c>
      <c r="AK13" t="e">
        <f>AND('Planilla_General_07-12-2012_8_3'!N183,"AAAAAC//9yQ=")</f>
        <v>#VALUE!</v>
      </c>
      <c r="AL13" t="e">
        <f>AND('Planilla_General_07-12-2012_8_3'!O183,"AAAAAC//9yU=")</f>
        <v>#VALUE!</v>
      </c>
      <c r="AM13" t="e">
        <f>AND('Planilla_General_07-12-2012_8_3'!P183,"AAAAAC//9yY=")</f>
        <v>#VALUE!</v>
      </c>
      <c r="AN13">
        <f>IF('Planilla_General_07-12-2012_8_3'!184:184,"AAAAAC//9yc=",0)</f>
        <v>0</v>
      </c>
      <c r="AO13" t="e">
        <f>AND('Planilla_General_07-12-2012_8_3'!A184,"AAAAAC//9yg=")</f>
        <v>#VALUE!</v>
      </c>
      <c r="AP13" t="e">
        <f>AND('Planilla_General_07-12-2012_8_3'!B184,"AAAAAC//9yk=")</f>
        <v>#VALUE!</v>
      </c>
      <c r="AQ13" t="e">
        <f>AND('Planilla_General_07-12-2012_8_3'!C184,"AAAAAC//9yo=")</f>
        <v>#VALUE!</v>
      </c>
      <c r="AR13" t="e">
        <f>AND('Planilla_General_07-12-2012_8_3'!D184,"AAAAAC//9ys=")</f>
        <v>#VALUE!</v>
      </c>
      <c r="AS13" t="e">
        <f>AND('Planilla_General_07-12-2012_8_3'!E184,"AAAAAC//9yw=")</f>
        <v>#VALUE!</v>
      </c>
      <c r="AT13" t="e">
        <f>AND('Planilla_General_07-12-2012_8_3'!F184,"AAAAAC//9y0=")</f>
        <v>#VALUE!</v>
      </c>
      <c r="AU13" t="e">
        <f>AND('Planilla_General_07-12-2012_8_3'!G184,"AAAAAC//9y4=")</f>
        <v>#VALUE!</v>
      </c>
      <c r="AV13" t="e">
        <f>AND('Planilla_General_07-12-2012_8_3'!H184,"AAAAAC//9y8=")</f>
        <v>#VALUE!</v>
      </c>
      <c r="AW13" t="e">
        <f>AND('Planilla_General_07-12-2012_8_3'!I184,"AAAAAC//9zA=")</f>
        <v>#VALUE!</v>
      </c>
      <c r="AX13" t="e">
        <f>AND('Planilla_General_07-12-2012_8_3'!J184,"AAAAAC//9zE=")</f>
        <v>#VALUE!</v>
      </c>
      <c r="AY13" t="e">
        <f>AND('Planilla_General_07-12-2012_8_3'!K184,"AAAAAC//9zI=")</f>
        <v>#VALUE!</v>
      </c>
      <c r="AZ13" t="e">
        <f>AND('Planilla_General_07-12-2012_8_3'!L184,"AAAAAC//9zM=")</f>
        <v>#VALUE!</v>
      </c>
      <c r="BA13" t="e">
        <f>AND('Planilla_General_07-12-2012_8_3'!M184,"AAAAAC//9zQ=")</f>
        <v>#VALUE!</v>
      </c>
      <c r="BB13" t="e">
        <f>AND('Planilla_General_07-12-2012_8_3'!N184,"AAAAAC//9zU=")</f>
        <v>#VALUE!</v>
      </c>
      <c r="BC13" t="e">
        <f>AND('Planilla_General_07-12-2012_8_3'!O184,"AAAAAC//9zY=")</f>
        <v>#VALUE!</v>
      </c>
      <c r="BD13" t="e">
        <f>AND('Planilla_General_07-12-2012_8_3'!P184,"AAAAAC//9zc=")</f>
        <v>#VALUE!</v>
      </c>
      <c r="BE13">
        <f>IF('Planilla_General_07-12-2012_8_3'!185:185,"AAAAAC//9zg=",0)</f>
        <v>0</v>
      </c>
      <c r="BF13" t="e">
        <f>AND('Planilla_General_07-12-2012_8_3'!A185,"AAAAAC//9zk=")</f>
        <v>#VALUE!</v>
      </c>
      <c r="BG13" t="e">
        <f>AND('Planilla_General_07-12-2012_8_3'!B185,"AAAAAC//9zo=")</f>
        <v>#VALUE!</v>
      </c>
      <c r="BH13" t="e">
        <f>AND('Planilla_General_07-12-2012_8_3'!C185,"AAAAAC//9zs=")</f>
        <v>#VALUE!</v>
      </c>
      <c r="BI13" t="e">
        <f>AND('Planilla_General_07-12-2012_8_3'!D185,"AAAAAC//9zw=")</f>
        <v>#VALUE!</v>
      </c>
      <c r="BJ13" t="e">
        <f>AND('Planilla_General_07-12-2012_8_3'!E185,"AAAAAC//9z0=")</f>
        <v>#VALUE!</v>
      </c>
      <c r="BK13" t="e">
        <f>AND('Planilla_General_07-12-2012_8_3'!F185,"AAAAAC//9z4=")</f>
        <v>#VALUE!</v>
      </c>
      <c r="BL13" t="e">
        <f>AND('Planilla_General_07-12-2012_8_3'!G185,"AAAAAC//9z8=")</f>
        <v>#VALUE!</v>
      </c>
      <c r="BM13" t="e">
        <f>AND('Planilla_General_07-12-2012_8_3'!H185,"AAAAAC//90A=")</f>
        <v>#VALUE!</v>
      </c>
      <c r="BN13" t="e">
        <f>AND('Planilla_General_07-12-2012_8_3'!I185,"AAAAAC//90E=")</f>
        <v>#VALUE!</v>
      </c>
      <c r="BO13" t="e">
        <f>AND('Planilla_General_07-12-2012_8_3'!J185,"AAAAAC//90I=")</f>
        <v>#VALUE!</v>
      </c>
      <c r="BP13" t="e">
        <f>AND('Planilla_General_07-12-2012_8_3'!K185,"AAAAAC//90M=")</f>
        <v>#VALUE!</v>
      </c>
      <c r="BQ13" t="e">
        <f>AND('Planilla_General_07-12-2012_8_3'!L185,"AAAAAC//90Q=")</f>
        <v>#VALUE!</v>
      </c>
      <c r="BR13" t="e">
        <f>AND('Planilla_General_07-12-2012_8_3'!M185,"AAAAAC//90U=")</f>
        <v>#VALUE!</v>
      </c>
      <c r="BS13" t="e">
        <f>AND('Planilla_General_07-12-2012_8_3'!N185,"AAAAAC//90Y=")</f>
        <v>#VALUE!</v>
      </c>
      <c r="BT13" t="e">
        <f>AND('Planilla_General_07-12-2012_8_3'!O185,"AAAAAC//90c=")</f>
        <v>#VALUE!</v>
      </c>
      <c r="BU13" t="e">
        <f>AND('Planilla_General_07-12-2012_8_3'!P185,"AAAAAC//90g=")</f>
        <v>#VALUE!</v>
      </c>
      <c r="BV13">
        <f>IF('Planilla_General_07-12-2012_8_3'!186:186,"AAAAAC//90k=",0)</f>
        <v>0</v>
      </c>
      <c r="BW13" t="e">
        <f>AND('Planilla_General_07-12-2012_8_3'!A186,"AAAAAC//90o=")</f>
        <v>#VALUE!</v>
      </c>
      <c r="BX13" t="e">
        <f>AND('Planilla_General_07-12-2012_8_3'!B186,"AAAAAC//90s=")</f>
        <v>#VALUE!</v>
      </c>
      <c r="BY13" t="e">
        <f>AND('Planilla_General_07-12-2012_8_3'!C186,"AAAAAC//90w=")</f>
        <v>#VALUE!</v>
      </c>
      <c r="BZ13" t="e">
        <f>AND('Planilla_General_07-12-2012_8_3'!D186,"AAAAAC//900=")</f>
        <v>#VALUE!</v>
      </c>
      <c r="CA13" t="e">
        <f>AND('Planilla_General_07-12-2012_8_3'!E186,"AAAAAC//904=")</f>
        <v>#VALUE!</v>
      </c>
      <c r="CB13" t="e">
        <f>AND('Planilla_General_07-12-2012_8_3'!F186,"AAAAAC//908=")</f>
        <v>#VALUE!</v>
      </c>
      <c r="CC13" t="e">
        <f>AND('Planilla_General_07-12-2012_8_3'!G186,"AAAAAC//91A=")</f>
        <v>#VALUE!</v>
      </c>
      <c r="CD13" t="e">
        <f>AND('Planilla_General_07-12-2012_8_3'!H186,"AAAAAC//91E=")</f>
        <v>#VALUE!</v>
      </c>
      <c r="CE13" t="e">
        <f>AND('Planilla_General_07-12-2012_8_3'!I186,"AAAAAC//91I=")</f>
        <v>#VALUE!</v>
      </c>
      <c r="CF13" t="e">
        <f>AND('Planilla_General_07-12-2012_8_3'!J186,"AAAAAC//91M=")</f>
        <v>#VALUE!</v>
      </c>
      <c r="CG13" t="e">
        <f>AND('Planilla_General_07-12-2012_8_3'!K186,"AAAAAC//91Q=")</f>
        <v>#VALUE!</v>
      </c>
      <c r="CH13" t="e">
        <f>AND('Planilla_General_07-12-2012_8_3'!L186,"AAAAAC//91U=")</f>
        <v>#VALUE!</v>
      </c>
      <c r="CI13" t="e">
        <f>AND('Planilla_General_07-12-2012_8_3'!M186,"AAAAAC//91Y=")</f>
        <v>#VALUE!</v>
      </c>
      <c r="CJ13" t="e">
        <f>AND('Planilla_General_07-12-2012_8_3'!N186,"AAAAAC//91c=")</f>
        <v>#VALUE!</v>
      </c>
      <c r="CK13" t="e">
        <f>AND('Planilla_General_07-12-2012_8_3'!O186,"AAAAAC//91g=")</f>
        <v>#VALUE!</v>
      </c>
      <c r="CL13" t="e">
        <f>AND('Planilla_General_07-12-2012_8_3'!P186,"AAAAAC//91k=")</f>
        <v>#VALUE!</v>
      </c>
      <c r="CM13">
        <f>IF('Planilla_General_07-12-2012_8_3'!187:187,"AAAAAC//91o=",0)</f>
        <v>0</v>
      </c>
      <c r="CN13" t="e">
        <f>AND('Planilla_General_07-12-2012_8_3'!A187,"AAAAAC//91s=")</f>
        <v>#VALUE!</v>
      </c>
      <c r="CO13" t="e">
        <f>AND('Planilla_General_07-12-2012_8_3'!B187,"AAAAAC//91w=")</f>
        <v>#VALUE!</v>
      </c>
      <c r="CP13" t="e">
        <f>AND('Planilla_General_07-12-2012_8_3'!C187,"AAAAAC//910=")</f>
        <v>#VALUE!</v>
      </c>
      <c r="CQ13" t="e">
        <f>AND('Planilla_General_07-12-2012_8_3'!D187,"AAAAAC//914=")</f>
        <v>#VALUE!</v>
      </c>
      <c r="CR13" t="e">
        <f>AND('Planilla_General_07-12-2012_8_3'!E187,"AAAAAC//918=")</f>
        <v>#VALUE!</v>
      </c>
      <c r="CS13" t="e">
        <f>AND('Planilla_General_07-12-2012_8_3'!F187,"AAAAAC//92A=")</f>
        <v>#VALUE!</v>
      </c>
      <c r="CT13" t="e">
        <f>AND('Planilla_General_07-12-2012_8_3'!G187,"AAAAAC//92E=")</f>
        <v>#VALUE!</v>
      </c>
      <c r="CU13" t="e">
        <f>AND('Planilla_General_07-12-2012_8_3'!H187,"AAAAAC//92I=")</f>
        <v>#VALUE!</v>
      </c>
      <c r="CV13" t="e">
        <f>AND('Planilla_General_07-12-2012_8_3'!I187,"AAAAAC//92M=")</f>
        <v>#VALUE!</v>
      </c>
      <c r="CW13" t="e">
        <f>AND('Planilla_General_07-12-2012_8_3'!J187,"AAAAAC//92Q=")</f>
        <v>#VALUE!</v>
      </c>
      <c r="CX13" t="e">
        <f>AND('Planilla_General_07-12-2012_8_3'!K187,"AAAAAC//92U=")</f>
        <v>#VALUE!</v>
      </c>
      <c r="CY13" t="e">
        <f>AND('Planilla_General_07-12-2012_8_3'!L187,"AAAAAC//92Y=")</f>
        <v>#VALUE!</v>
      </c>
      <c r="CZ13" t="e">
        <f>AND('Planilla_General_07-12-2012_8_3'!M187,"AAAAAC//92c=")</f>
        <v>#VALUE!</v>
      </c>
      <c r="DA13" t="e">
        <f>AND('Planilla_General_07-12-2012_8_3'!N187,"AAAAAC//92g=")</f>
        <v>#VALUE!</v>
      </c>
      <c r="DB13" t="e">
        <f>AND('Planilla_General_07-12-2012_8_3'!O187,"AAAAAC//92k=")</f>
        <v>#VALUE!</v>
      </c>
      <c r="DC13" t="e">
        <f>AND('Planilla_General_07-12-2012_8_3'!P187,"AAAAAC//92o=")</f>
        <v>#VALUE!</v>
      </c>
      <c r="DD13">
        <f>IF('Planilla_General_07-12-2012_8_3'!188:188,"AAAAAC//92s=",0)</f>
        <v>0</v>
      </c>
      <c r="DE13" t="e">
        <f>AND('Planilla_General_07-12-2012_8_3'!A188,"AAAAAC//92w=")</f>
        <v>#VALUE!</v>
      </c>
      <c r="DF13" t="e">
        <f>AND('Planilla_General_07-12-2012_8_3'!B188,"AAAAAC//920=")</f>
        <v>#VALUE!</v>
      </c>
      <c r="DG13" t="e">
        <f>AND('Planilla_General_07-12-2012_8_3'!C188,"AAAAAC//924=")</f>
        <v>#VALUE!</v>
      </c>
      <c r="DH13" t="e">
        <f>AND('Planilla_General_07-12-2012_8_3'!D188,"AAAAAC//928=")</f>
        <v>#VALUE!</v>
      </c>
      <c r="DI13" t="e">
        <f>AND('Planilla_General_07-12-2012_8_3'!E188,"AAAAAC//93A=")</f>
        <v>#VALUE!</v>
      </c>
      <c r="DJ13" t="e">
        <f>AND('Planilla_General_07-12-2012_8_3'!F188,"AAAAAC//93E=")</f>
        <v>#VALUE!</v>
      </c>
      <c r="DK13" t="e">
        <f>AND('Planilla_General_07-12-2012_8_3'!G188,"AAAAAC//93I=")</f>
        <v>#VALUE!</v>
      </c>
      <c r="DL13" t="e">
        <f>AND('Planilla_General_07-12-2012_8_3'!H188,"AAAAAC//93M=")</f>
        <v>#VALUE!</v>
      </c>
      <c r="DM13" t="e">
        <f>AND('Planilla_General_07-12-2012_8_3'!I188,"AAAAAC//93Q=")</f>
        <v>#VALUE!</v>
      </c>
      <c r="DN13" t="e">
        <f>AND('Planilla_General_07-12-2012_8_3'!J188,"AAAAAC//93U=")</f>
        <v>#VALUE!</v>
      </c>
      <c r="DO13" t="e">
        <f>AND('Planilla_General_07-12-2012_8_3'!K188,"AAAAAC//93Y=")</f>
        <v>#VALUE!</v>
      </c>
      <c r="DP13" t="e">
        <f>AND('Planilla_General_07-12-2012_8_3'!L188,"AAAAAC//93c=")</f>
        <v>#VALUE!</v>
      </c>
      <c r="DQ13" t="e">
        <f>AND('Planilla_General_07-12-2012_8_3'!M188,"AAAAAC//93g=")</f>
        <v>#VALUE!</v>
      </c>
      <c r="DR13" t="e">
        <f>AND('Planilla_General_07-12-2012_8_3'!N188,"AAAAAC//93k=")</f>
        <v>#VALUE!</v>
      </c>
      <c r="DS13" t="e">
        <f>AND('Planilla_General_07-12-2012_8_3'!O188,"AAAAAC//93o=")</f>
        <v>#VALUE!</v>
      </c>
      <c r="DT13" t="e">
        <f>AND('Planilla_General_07-12-2012_8_3'!P188,"AAAAAC//93s=")</f>
        <v>#VALUE!</v>
      </c>
      <c r="DU13">
        <f>IF('Planilla_General_07-12-2012_8_3'!189:189,"AAAAAC//93w=",0)</f>
        <v>0</v>
      </c>
      <c r="DV13" t="e">
        <f>AND('Planilla_General_07-12-2012_8_3'!A189,"AAAAAC//930=")</f>
        <v>#VALUE!</v>
      </c>
      <c r="DW13" t="e">
        <f>AND('Planilla_General_07-12-2012_8_3'!B189,"AAAAAC//934=")</f>
        <v>#VALUE!</v>
      </c>
      <c r="DX13" t="e">
        <f>AND('Planilla_General_07-12-2012_8_3'!C189,"AAAAAC//938=")</f>
        <v>#VALUE!</v>
      </c>
      <c r="DY13" t="e">
        <f>AND('Planilla_General_07-12-2012_8_3'!D189,"AAAAAC//94A=")</f>
        <v>#VALUE!</v>
      </c>
      <c r="DZ13" t="e">
        <f>AND('Planilla_General_07-12-2012_8_3'!E189,"AAAAAC//94E=")</f>
        <v>#VALUE!</v>
      </c>
      <c r="EA13" t="e">
        <f>AND('Planilla_General_07-12-2012_8_3'!F189,"AAAAAC//94I=")</f>
        <v>#VALUE!</v>
      </c>
      <c r="EB13" t="e">
        <f>AND('Planilla_General_07-12-2012_8_3'!G189,"AAAAAC//94M=")</f>
        <v>#VALUE!</v>
      </c>
      <c r="EC13" t="e">
        <f>AND('Planilla_General_07-12-2012_8_3'!H189,"AAAAAC//94Q=")</f>
        <v>#VALUE!</v>
      </c>
      <c r="ED13" t="e">
        <f>AND('Planilla_General_07-12-2012_8_3'!I189,"AAAAAC//94U=")</f>
        <v>#VALUE!</v>
      </c>
      <c r="EE13" t="e">
        <f>AND('Planilla_General_07-12-2012_8_3'!J189,"AAAAAC//94Y=")</f>
        <v>#VALUE!</v>
      </c>
      <c r="EF13" t="e">
        <f>AND('Planilla_General_07-12-2012_8_3'!K189,"AAAAAC//94c=")</f>
        <v>#VALUE!</v>
      </c>
      <c r="EG13" t="e">
        <f>AND('Planilla_General_07-12-2012_8_3'!L189,"AAAAAC//94g=")</f>
        <v>#VALUE!</v>
      </c>
      <c r="EH13" t="e">
        <f>AND('Planilla_General_07-12-2012_8_3'!M189,"AAAAAC//94k=")</f>
        <v>#VALUE!</v>
      </c>
      <c r="EI13" t="e">
        <f>AND('Planilla_General_07-12-2012_8_3'!N189,"AAAAAC//94o=")</f>
        <v>#VALUE!</v>
      </c>
      <c r="EJ13" t="e">
        <f>AND('Planilla_General_07-12-2012_8_3'!O189,"AAAAAC//94s=")</f>
        <v>#VALUE!</v>
      </c>
      <c r="EK13" t="e">
        <f>AND('Planilla_General_07-12-2012_8_3'!P189,"AAAAAC//94w=")</f>
        <v>#VALUE!</v>
      </c>
      <c r="EL13">
        <f>IF('Planilla_General_07-12-2012_8_3'!190:190,"AAAAAC//940=",0)</f>
        <v>0</v>
      </c>
      <c r="EM13" t="e">
        <f>AND('Planilla_General_07-12-2012_8_3'!A190,"AAAAAC//944=")</f>
        <v>#VALUE!</v>
      </c>
      <c r="EN13" t="e">
        <f>AND('Planilla_General_07-12-2012_8_3'!B190,"AAAAAC//948=")</f>
        <v>#VALUE!</v>
      </c>
      <c r="EO13" t="e">
        <f>AND('Planilla_General_07-12-2012_8_3'!C190,"AAAAAC//95A=")</f>
        <v>#VALUE!</v>
      </c>
      <c r="EP13" t="e">
        <f>AND('Planilla_General_07-12-2012_8_3'!D190,"AAAAAC//95E=")</f>
        <v>#VALUE!</v>
      </c>
      <c r="EQ13" t="e">
        <f>AND('Planilla_General_07-12-2012_8_3'!E190,"AAAAAC//95I=")</f>
        <v>#VALUE!</v>
      </c>
      <c r="ER13" t="e">
        <f>AND('Planilla_General_07-12-2012_8_3'!F190,"AAAAAC//95M=")</f>
        <v>#VALUE!</v>
      </c>
      <c r="ES13" t="e">
        <f>AND('Planilla_General_07-12-2012_8_3'!G190,"AAAAAC//95Q=")</f>
        <v>#VALUE!</v>
      </c>
      <c r="ET13" t="e">
        <f>AND('Planilla_General_07-12-2012_8_3'!H190,"AAAAAC//95U=")</f>
        <v>#VALUE!</v>
      </c>
      <c r="EU13" t="e">
        <f>AND('Planilla_General_07-12-2012_8_3'!I190,"AAAAAC//95Y=")</f>
        <v>#VALUE!</v>
      </c>
      <c r="EV13" t="e">
        <f>AND('Planilla_General_07-12-2012_8_3'!J190,"AAAAAC//95c=")</f>
        <v>#VALUE!</v>
      </c>
      <c r="EW13" t="e">
        <f>AND('Planilla_General_07-12-2012_8_3'!K190,"AAAAAC//95g=")</f>
        <v>#VALUE!</v>
      </c>
      <c r="EX13" t="e">
        <f>AND('Planilla_General_07-12-2012_8_3'!L190,"AAAAAC//95k=")</f>
        <v>#VALUE!</v>
      </c>
      <c r="EY13" t="e">
        <f>AND('Planilla_General_07-12-2012_8_3'!M190,"AAAAAC//95o=")</f>
        <v>#VALUE!</v>
      </c>
      <c r="EZ13" t="e">
        <f>AND('Planilla_General_07-12-2012_8_3'!N190,"AAAAAC//95s=")</f>
        <v>#VALUE!</v>
      </c>
      <c r="FA13" t="e">
        <f>AND('Planilla_General_07-12-2012_8_3'!O190,"AAAAAC//95w=")</f>
        <v>#VALUE!</v>
      </c>
      <c r="FB13" t="e">
        <f>AND('Planilla_General_07-12-2012_8_3'!P190,"AAAAAC//950=")</f>
        <v>#VALUE!</v>
      </c>
      <c r="FC13">
        <f>IF('Planilla_General_07-12-2012_8_3'!191:191,"AAAAAC//954=",0)</f>
        <v>0</v>
      </c>
      <c r="FD13" t="e">
        <f>AND('Planilla_General_07-12-2012_8_3'!A191,"AAAAAC//958=")</f>
        <v>#VALUE!</v>
      </c>
      <c r="FE13" t="e">
        <f>AND('Planilla_General_07-12-2012_8_3'!B191,"AAAAAC//96A=")</f>
        <v>#VALUE!</v>
      </c>
      <c r="FF13" t="e">
        <f>AND('Planilla_General_07-12-2012_8_3'!C191,"AAAAAC//96E=")</f>
        <v>#VALUE!</v>
      </c>
      <c r="FG13" t="e">
        <f>AND('Planilla_General_07-12-2012_8_3'!D191,"AAAAAC//96I=")</f>
        <v>#VALUE!</v>
      </c>
      <c r="FH13" t="e">
        <f>AND('Planilla_General_07-12-2012_8_3'!E191,"AAAAAC//96M=")</f>
        <v>#VALUE!</v>
      </c>
      <c r="FI13" t="e">
        <f>AND('Planilla_General_07-12-2012_8_3'!F191,"AAAAAC//96Q=")</f>
        <v>#VALUE!</v>
      </c>
      <c r="FJ13" t="e">
        <f>AND('Planilla_General_07-12-2012_8_3'!G191,"AAAAAC//96U=")</f>
        <v>#VALUE!</v>
      </c>
      <c r="FK13" t="e">
        <f>AND('Planilla_General_07-12-2012_8_3'!H191,"AAAAAC//96Y=")</f>
        <v>#VALUE!</v>
      </c>
      <c r="FL13" t="e">
        <f>AND('Planilla_General_07-12-2012_8_3'!I191,"AAAAAC//96c=")</f>
        <v>#VALUE!</v>
      </c>
      <c r="FM13" t="e">
        <f>AND('Planilla_General_07-12-2012_8_3'!J191,"AAAAAC//96g=")</f>
        <v>#VALUE!</v>
      </c>
      <c r="FN13" t="e">
        <f>AND('Planilla_General_07-12-2012_8_3'!K191,"AAAAAC//96k=")</f>
        <v>#VALUE!</v>
      </c>
      <c r="FO13" t="e">
        <f>AND('Planilla_General_07-12-2012_8_3'!L191,"AAAAAC//96o=")</f>
        <v>#VALUE!</v>
      </c>
      <c r="FP13" t="e">
        <f>AND('Planilla_General_07-12-2012_8_3'!M191,"AAAAAC//96s=")</f>
        <v>#VALUE!</v>
      </c>
      <c r="FQ13" t="e">
        <f>AND('Planilla_General_07-12-2012_8_3'!N191,"AAAAAC//96w=")</f>
        <v>#VALUE!</v>
      </c>
      <c r="FR13" t="e">
        <f>AND('Planilla_General_07-12-2012_8_3'!O191,"AAAAAC//960=")</f>
        <v>#VALUE!</v>
      </c>
      <c r="FS13" t="e">
        <f>AND('Planilla_General_07-12-2012_8_3'!P191,"AAAAAC//964=")</f>
        <v>#VALUE!</v>
      </c>
      <c r="FT13">
        <f>IF('Planilla_General_07-12-2012_8_3'!192:192,"AAAAAC//968=",0)</f>
        <v>0</v>
      </c>
      <c r="FU13" t="e">
        <f>AND('Planilla_General_07-12-2012_8_3'!A192,"AAAAAC//97A=")</f>
        <v>#VALUE!</v>
      </c>
      <c r="FV13" t="e">
        <f>AND('Planilla_General_07-12-2012_8_3'!B192,"AAAAAC//97E=")</f>
        <v>#VALUE!</v>
      </c>
      <c r="FW13" t="e">
        <f>AND('Planilla_General_07-12-2012_8_3'!C192,"AAAAAC//97I=")</f>
        <v>#VALUE!</v>
      </c>
      <c r="FX13" t="e">
        <f>AND('Planilla_General_07-12-2012_8_3'!D192,"AAAAAC//97M=")</f>
        <v>#VALUE!</v>
      </c>
      <c r="FY13" t="e">
        <f>AND('Planilla_General_07-12-2012_8_3'!E192,"AAAAAC//97Q=")</f>
        <v>#VALUE!</v>
      </c>
      <c r="FZ13" t="e">
        <f>AND('Planilla_General_07-12-2012_8_3'!F192,"AAAAAC//97U=")</f>
        <v>#VALUE!</v>
      </c>
      <c r="GA13" t="e">
        <f>AND('Planilla_General_07-12-2012_8_3'!G192,"AAAAAC//97Y=")</f>
        <v>#VALUE!</v>
      </c>
      <c r="GB13" t="e">
        <f>AND('Planilla_General_07-12-2012_8_3'!H192,"AAAAAC//97c=")</f>
        <v>#VALUE!</v>
      </c>
      <c r="GC13" t="e">
        <f>AND('Planilla_General_07-12-2012_8_3'!I192,"AAAAAC//97g=")</f>
        <v>#VALUE!</v>
      </c>
      <c r="GD13" t="e">
        <f>AND('Planilla_General_07-12-2012_8_3'!J192,"AAAAAC//97k=")</f>
        <v>#VALUE!</v>
      </c>
      <c r="GE13" t="e">
        <f>AND('Planilla_General_07-12-2012_8_3'!K192,"AAAAAC//97o=")</f>
        <v>#VALUE!</v>
      </c>
      <c r="GF13" t="e">
        <f>AND('Planilla_General_07-12-2012_8_3'!L192,"AAAAAC//97s=")</f>
        <v>#VALUE!</v>
      </c>
      <c r="GG13" t="e">
        <f>AND('Planilla_General_07-12-2012_8_3'!M192,"AAAAAC//97w=")</f>
        <v>#VALUE!</v>
      </c>
      <c r="GH13" t="e">
        <f>AND('Planilla_General_07-12-2012_8_3'!N192,"AAAAAC//970=")</f>
        <v>#VALUE!</v>
      </c>
      <c r="GI13" t="e">
        <f>AND('Planilla_General_07-12-2012_8_3'!O192,"AAAAAC//974=")</f>
        <v>#VALUE!</v>
      </c>
      <c r="GJ13" t="e">
        <f>AND('Planilla_General_07-12-2012_8_3'!P192,"AAAAAC//978=")</f>
        <v>#VALUE!</v>
      </c>
      <c r="GK13">
        <f>IF('Planilla_General_07-12-2012_8_3'!193:193,"AAAAAC//98A=",0)</f>
        <v>0</v>
      </c>
      <c r="GL13" t="e">
        <f>AND('Planilla_General_07-12-2012_8_3'!A193,"AAAAAC//98E=")</f>
        <v>#VALUE!</v>
      </c>
      <c r="GM13" t="e">
        <f>AND('Planilla_General_07-12-2012_8_3'!B193,"AAAAAC//98I=")</f>
        <v>#VALUE!</v>
      </c>
      <c r="GN13" t="e">
        <f>AND('Planilla_General_07-12-2012_8_3'!C193,"AAAAAC//98M=")</f>
        <v>#VALUE!</v>
      </c>
      <c r="GO13" t="e">
        <f>AND('Planilla_General_07-12-2012_8_3'!D193,"AAAAAC//98Q=")</f>
        <v>#VALUE!</v>
      </c>
      <c r="GP13" t="e">
        <f>AND('Planilla_General_07-12-2012_8_3'!E193,"AAAAAC//98U=")</f>
        <v>#VALUE!</v>
      </c>
      <c r="GQ13" t="e">
        <f>AND('Planilla_General_07-12-2012_8_3'!F193,"AAAAAC//98Y=")</f>
        <v>#VALUE!</v>
      </c>
      <c r="GR13" t="e">
        <f>AND('Planilla_General_07-12-2012_8_3'!G193,"AAAAAC//98c=")</f>
        <v>#VALUE!</v>
      </c>
      <c r="GS13" t="e">
        <f>AND('Planilla_General_07-12-2012_8_3'!H193,"AAAAAC//98g=")</f>
        <v>#VALUE!</v>
      </c>
      <c r="GT13" t="e">
        <f>AND('Planilla_General_07-12-2012_8_3'!I193,"AAAAAC//98k=")</f>
        <v>#VALUE!</v>
      </c>
      <c r="GU13" t="e">
        <f>AND('Planilla_General_07-12-2012_8_3'!J193,"AAAAAC//98o=")</f>
        <v>#VALUE!</v>
      </c>
      <c r="GV13" t="e">
        <f>AND('Planilla_General_07-12-2012_8_3'!K193,"AAAAAC//98s=")</f>
        <v>#VALUE!</v>
      </c>
      <c r="GW13" t="e">
        <f>AND('Planilla_General_07-12-2012_8_3'!L193,"AAAAAC//98w=")</f>
        <v>#VALUE!</v>
      </c>
      <c r="GX13" t="e">
        <f>AND('Planilla_General_07-12-2012_8_3'!M193,"AAAAAC//980=")</f>
        <v>#VALUE!</v>
      </c>
      <c r="GY13" t="e">
        <f>AND('Planilla_General_07-12-2012_8_3'!N193,"AAAAAC//984=")</f>
        <v>#VALUE!</v>
      </c>
      <c r="GZ13" t="e">
        <f>AND('Planilla_General_07-12-2012_8_3'!O193,"AAAAAC//988=")</f>
        <v>#VALUE!</v>
      </c>
      <c r="HA13" t="e">
        <f>AND('Planilla_General_07-12-2012_8_3'!P193,"AAAAAC//99A=")</f>
        <v>#VALUE!</v>
      </c>
      <c r="HB13">
        <f>IF('Planilla_General_07-12-2012_8_3'!194:194,"AAAAAC//99E=",0)</f>
        <v>0</v>
      </c>
      <c r="HC13" t="e">
        <f>AND('Planilla_General_07-12-2012_8_3'!A194,"AAAAAC//99I=")</f>
        <v>#VALUE!</v>
      </c>
      <c r="HD13" t="e">
        <f>AND('Planilla_General_07-12-2012_8_3'!B194,"AAAAAC//99M=")</f>
        <v>#VALUE!</v>
      </c>
      <c r="HE13" t="e">
        <f>AND('Planilla_General_07-12-2012_8_3'!C194,"AAAAAC//99Q=")</f>
        <v>#VALUE!</v>
      </c>
      <c r="HF13" t="e">
        <f>AND('Planilla_General_07-12-2012_8_3'!D194,"AAAAAC//99U=")</f>
        <v>#VALUE!</v>
      </c>
      <c r="HG13" t="e">
        <f>AND('Planilla_General_07-12-2012_8_3'!E194,"AAAAAC//99Y=")</f>
        <v>#VALUE!</v>
      </c>
      <c r="HH13" t="e">
        <f>AND('Planilla_General_07-12-2012_8_3'!F194,"AAAAAC//99c=")</f>
        <v>#VALUE!</v>
      </c>
      <c r="HI13" t="e">
        <f>AND('Planilla_General_07-12-2012_8_3'!G194,"AAAAAC//99g=")</f>
        <v>#VALUE!</v>
      </c>
      <c r="HJ13" t="e">
        <f>AND('Planilla_General_07-12-2012_8_3'!H194,"AAAAAC//99k=")</f>
        <v>#VALUE!</v>
      </c>
      <c r="HK13" t="e">
        <f>AND('Planilla_General_07-12-2012_8_3'!I194,"AAAAAC//99o=")</f>
        <v>#VALUE!</v>
      </c>
      <c r="HL13" t="e">
        <f>AND('Planilla_General_07-12-2012_8_3'!J194,"AAAAAC//99s=")</f>
        <v>#VALUE!</v>
      </c>
      <c r="HM13" t="e">
        <f>AND('Planilla_General_07-12-2012_8_3'!K194,"AAAAAC//99w=")</f>
        <v>#VALUE!</v>
      </c>
      <c r="HN13" t="e">
        <f>AND('Planilla_General_07-12-2012_8_3'!L194,"AAAAAC//990=")</f>
        <v>#VALUE!</v>
      </c>
      <c r="HO13" t="e">
        <f>AND('Planilla_General_07-12-2012_8_3'!M194,"AAAAAC//994=")</f>
        <v>#VALUE!</v>
      </c>
      <c r="HP13" t="e">
        <f>AND('Planilla_General_07-12-2012_8_3'!N194,"AAAAAC//998=")</f>
        <v>#VALUE!</v>
      </c>
      <c r="HQ13" t="e">
        <f>AND('Planilla_General_07-12-2012_8_3'!O194,"AAAAAC//9+A=")</f>
        <v>#VALUE!</v>
      </c>
      <c r="HR13" t="e">
        <f>AND('Planilla_General_07-12-2012_8_3'!P194,"AAAAAC//9+E=")</f>
        <v>#VALUE!</v>
      </c>
      <c r="HS13">
        <f>IF('Planilla_General_07-12-2012_8_3'!195:195,"AAAAAC//9+I=",0)</f>
        <v>0</v>
      </c>
      <c r="HT13" t="e">
        <f>AND('Planilla_General_07-12-2012_8_3'!A195,"AAAAAC//9+M=")</f>
        <v>#VALUE!</v>
      </c>
      <c r="HU13" t="e">
        <f>AND('Planilla_General_07-12-2012_8_3'!B195,"AAAAAC//9+Q=")</f>
        <v>#VALUE!</v>
      </c>
      <c r="HV13" t="e">
        <f>AND('Planilla_General_07-12-2012_8_3'!C195,"AAAAAC//9+U=")</f>
        <v>#VALUE!</v>
      </c>
      <c r="HW13" t="e">
        <f>AND('Planilla_General_07-12-2012_8_3'!D195,"AAAAAC//9+Y=")</f>
        <v>#VALUE!</v>
      </c>
      <c r="HX13" t="e">
        <f>AND('Planilla_General_07-12-2012_8_3'!E195,"AAAAAC//9+c=")</f>
        <v>#VALUE!</v>
      </c>
      <c r="HY13" t="e">
        <f>AND('Planilla_General_07-12-2012_8_3'!F195,"AAAAAC//9+g=")</f>
        <v>#VALUE!</v>
      </c>
      <c r="HZ13" t="e">
        <f>AND('Planilla_General_07-12-2012_8_3'!G195,"AAAAAC//9+k=")</f>
        <v>#VALUE!</v>
      </c>
      <c r="IA13" t="e">
        <f>AND('Planilla_General_07-12-2012_8_3'!H195,"AAAAAC//9+o=")</f>
        <v>#VALUE!</v>
      </c>
      <c r="IB13" t="e">
        <f>AND('Planilla_General_07-12-2012_8_3'!I195,"AAAAAC//9+s=")</f>
        <v>#VALUE!</v>
      </c>
      <c r="IC13" t="e">
        <f>AND('Planilla_General_07-12-2012_8_3'!J195,"AAAAAC//9+w=")</f>
        <v>#VALUE!</v>
      </c>
      <c r="ID13" t="e">
        <f>AND('Planilla_General_07-12-2012_8_3'!K195,"AAAAAC//9+0=")</f>
        <v>#VALUE!</v>
      </c>
      <c r="IE13" t="e">
        <f>AND('Planilla_General_07-12-2012_8_3'!L195,"AAAAAC//9+4=")</f>
        <v>#VALUE!</v>
      </c>
      <c r="IF13" t="e">
        <f>AND('Planilla_General_07-12-2012_8_3'!M195,"AAAAAC//9+8=")</f>
        <v>#VALUE!</v>
      </c>
      <c r="IG13" t="e">
        <f>AND('Planilla_General_07-12-2012_8_3'!N195,"AAAAAC//9/A=")</f>
        <v>#VALUE!</v>
      </c>
      <c r="IH13" t="e">
        <f>AND('Planilla_General_07-12-2012_8_3'!O195,"AAAAAC//9/E=")</f>
        <v>#VALUE!</v>
      </c>
      <c r="II13" t="e">
        <f>AND('Planilla_General_07-12-2012_8_3'!P195,"AAAAAC//9/I=")</f>
        <v>#VALUE!</v>
      </c>
      <c r="IJ13">
        <f>IF('Planilla_General_07-12-2012_8_3'!196:196,"AAAAAC//9/M=",0)</f>
        <v>0</v>
      </c>
      <c r="IK13" t="e">
        <f>AND('Planilla_General_07-12-2012_8_3'!A196,"AAAAAC//9/Q=")</f>
        <v>#VALUE!</v>
      </c>
      <c r="IL13" t="e">
        <f>AND('Planilla_General_07-12-2012_8_3'!B196,"AAAAAC//9/U=")</f>
        <v>#VALUE!</v>
      </c>
      <c r="IM13" t="e">
        <f>AND('Planilla_General_07-12-2012_8_3'!C196,"AAAAAC//9/Y=")</f>
        <v>#VALUE!</v>
      </c>
      <c r="IN13" t="e">
        <f>AND('Planilla_General_07-12-2012_8_3'!D196,"AAAAAC//9/c=")</f>
        <v>#VALUE!</v>
      </c>
      <c r="IO13" t="e">
        <f>AND('Planilla_General_07-12-2012_8_3'!E196,"AAAAAC//9/g=")</f>
        <v>#VALUE!</v>
      </c>
      <c r="IP13" t="e">
        <f>AND('Planilla_General_07-12-2012_8_3'!F196,"AAAAAC//9/k=")</f>
        <v>#VALUE!</v>
      </c>
      <c r="IQ13" t="e">
        <f>AND('Planilla_General_07-12-2012_8_3'!G196,"AAAAAC//9/o=")</f>
        <v>#VALUE!</v>
      </c>
      <c r="IR13" t="e">
        <f>AND('Planilla_General_07-12-2012_8_3'!H196,"AAAAAC//9/s=")</f>
        <v>#VALUE!</v>
      </c>
      <c r="IS13" t="e">
        <f>AND('Planilla_General_07-12-2012_8_3'!I196,"AAAAAC//9/w=")</f>
        <v>#VALUE!</v>
      </c>
      <c r="IT13" t="e">
        <f>AND('Planilla_General_07-12-2012_8_3'!J196,"AAAAAC//9/0=")</f>
        <v>#VALUE!</v>
      </c>
      <c r="IU13" t="e">
        <f>AND('Planilla_General_07-12-2012_8_3'!K196,"AAAAAC//9/4=")</f>
        <v>#VALUE!</v>
      </c>
      <c r="IV13" t="e">
        <f>AND('Planilla_General_07-12-2012_8_3'!L196,"AAAAAC//9/8=")</f>
        <v>#VALUE!</v>
      </c>
    </row>
    <row r="14" spans="1:256" x14ac:dyDescent="0.25">
      <c r="A14" t="e">
        <f>AND('Planilla_General_07-12-2012_8_3'!M196,"AAAAAH66iwA=")</f>
        <v>#VALUE!</v>
      </c>
      <c r="B14" t="e">
        <f>AND('Planilla_General_07-12-2012_8_3'!N196,"AAAAAH66iwE=")</f>
        <v>#VALUE!</v>
      </c>
      <c r="C14" t="e">
        <f>AND('Planilla_General_07-12-2012_8_3'!O196,"AAAAAH66iwI=")</f>
        <v>#VALUE!</v>
      </c>
      <c r="D14" t="e">
        <f>AND('Planilla_General_07-12-2012_8_3'!P196,"AAAAAH66iwM=")</f>
        <v>#VALUE!</v>
      </c>
      <c r="E14" t="e">
        <f>IF('Planilla_General_07-12-2012_8_3'!197:197,"AAAAAH66iwQ=",0)</f>
        <v>#VALUE!</v>
      </c>
      <c r="F14" t="e">
        <f>AND('Planilla_General_07-12-2012_8_3'!A197,"AAAAAH66iwU=")</f>
        <v>#VALUE!</v>
      </c>
      <c r="G14" t="e">
        <f>AND('Planilla_General_07-12-2012_8_3'!B197,"AAAAAH66iwY=")</f>
        <v>#VALUE!</v>
      </c>
      <c r="H14" t="e">
        <f>AND('Planilla_General_07-12-2012_8_3'!C197,"AAAAAH66iwc=")</f>
        <v>#VALUE!</v>
      </c>
      <c r="I14" t="e">
        <f>AND('Planilla_General_07-12-2012_8_3'!D197,"AAAAAH66iwg=")</f>
        <v>#VALUE!</v>
      </c>
      <c r="J14" t="e">
        <f>AND('Planilla_General_07-12-2012_8_3'!E197,"AAAAAH66iwk=")</f>
        <v>#VALUE!</v>
      </c>
      <c r="K14" t="e">
        <f>AND('Planilla_General_07-12-2012_8_3'!F197,"AAAAAH66iwo=")</f>
        <v>#VALUE!</v>
      </c>
      <c r="L14" t="e">
        <f>AND('Planilla_General_07-12-2012_8_3'!G197,"AAAAAH66iws=")</f>
        <v>#VALUE!</v>
      </c>
      <c r="M14" t="e">
        <f>AND('Planilla_General_07-12-2012_8_3'!H197,"AAAAAH66iww=")</f>
        <v>#VALUE!</v>
      </c>
      <c r="N14" t="e">
        <f>AND('Planilla_General_07-12-2012_8_3'!I197,"AAAAAH66iw0=")</f>
        <v>#VALUE!</v>
      </c>
      <c r="O14" t="e">
        <f>AND('Planilla_General_07-12-2012_8_3'!J197,"AAAAAH66iw4=")</f>
        <v>#VALUE!</v>
      </c>
      <c r="P14" t="e">
        <f>AND('Planilla_General_07-12-2012_8_3'!K197,"AAAAAH66iw8=")</f>
        <v>#VALUE!</v>
      </c>
      <c r="Q14" t="e">
        <f>AND('Planilla_General_07-12-2012_8_3'!L197,"AAAAAH66ixA=")</f>
        <v>#VALUE!</v>
      </c>
      <c r="R14" t="e">
        <f>AND('Planilla_General_07-12-2012_8_3'!M197,"AAAAAH66ixE=")</f>
        <v>#VALUE!</v>
      </c>
      <c r="S14" t="e">
        <f>AND('Planilla_General_07-12-2012_8_3'!N197,"AAAAAH66ixI=")</f>
        <v>#VALUE!</v>
      </c>
      <c r="T14" t="e">
        <f>AND('Planilla_General_07-12-2012_8_3'!O197,"AAAAAH66ixM=")</f>
        <v>#VALUE!</v>
      </c>
      <c r="U14" t="e">
        <f>AND('Planilla_General_07-12-2012_8_3'!P197,"AAAAAH66ixQ=")</f>
        <v>#VALUE!</v>
      </c>
      <c r="V14">
        <f>IF('Planilla_General_07-12-2012_8_3'!198:198,"AAAAAH66ixU=",0)</f>
        <v>0</v>
      </c>
      <c r="W14" t="e">
        <f>AND('Planilla_General_07-12-2012_8_3'!A198,"AAAAAH66ixY=")</f>
        <v>#VALUE!</v>
      </c>
      <c r="X14" t="e">
        <f>AND('Planilla_General_07-12-2012_8_3'!B198,"AAAAAH66ixc=")</f>
        <v>#VALUE!</v>
      </c>
      <c r="Y14" t="e">
        <f>AND('Planilla_General_07-12-2012_8_3'!C198,"AAAAAH66ixg=")</f>
        <v>#VALUE!</v>
      </c>
      <c r="Z14" t="e">
        <f>AND('Planilla_General_07-12-2012_8_3'!D198,"AAAAAH66ixk=")</f>
        <v>#VALUE!</v>
      </c>
      <c r="AA14" t="e">
        <f>AND('Planilla_General_07-12-2012_8_3'!E198,"AAAAAH66ixo=")</f>
        <v>#VALUE!</v>
      </c>
      <c r="AB14" t="e">
        <f>AND('Planilla_General_07-12-2012_8_3'!F198,"AAAAAH66ixs=")</f>
        <v>#VALUE!</v>
      </c>
      <c r="AC14" t="e">
        <f>AND('Planilla_General_07-12-2012_8_3'!G198,"AAAAAH66ixw=")</f>
        <v>#VALUE!</v>
      </c>
      <c r="AD14" t="e">
        <f>AND('Planilla_General_07-12-2012_8_3'!H198,"AAAAAH66ix0=")</f>
        <v>#VALUE!</v>
      </c>
      <c r="AE14" t="e">
        <f>AND('Planilla_General_07-12-2012_8_3'!I198,"AAAAAH66ix4=")</f>
        <v>#VALUE!</v>
      </c>
      <c r="AF14" t="e">
        <f>AND('Planilla_General_07-12-2012_8_3'!J198,"AAAAAH66ix8=")</f>
        <v>#VALUE!</v>
      </c>
      <c r="AG14" t="e">
        <f>AND('Planilla_General_07-12-2012_8_3'!K198,"AAAAAH66iyA=")</f>
        <v>#VALUE!</v>
      </c>
      <c r="AH14" t="e">
        <f>AND('Planilla_General_07-12-2012_8_3'!L198,"AAAAAH66iyE=")</f>
        <v>#VALUE!</v>
      </c>
      <c r="AI14" t="e">
        <f>AND('Planilla_General_07-12-2012_8_3'!M198,"AAAAAH66iyI=")</f>
        <v>#VALUE!</v>
      </c>
      <c r="AJ14" t="e">
        <f>AND('Planilla_General_07-12-2012_8_3'!N198,"AAAAAH66iyM=")</f>
        <v>#VALUE!</v>
      </c>
      <c r="AK14" t="e">
        <f>AND('Planilla_General_07-12-2012_8_3'!O198,"AAAAAH66iyQ=")</f>
        <v>#VALUE!</v>
      </c>
      <c r="AL14" t="e">
        <f>AND('Planilla_General_07-12-2012_8_3'!P198,"AAAAAH66iyU=")</f>
        <v>#VALUE!</v>
      </c>
      <c r="AM14">
        <f>IF('Planilla_General_07-12-2012_8_3'!199:199,"AAAAAH66iyY=",0)</f>
        <v>0</v>
      </c>
      <c r="AN14" t="e">
        <f>AND('Planilla_General_07-12-2012_8_3'!A199,"AAAAAH66iyc=")</f>
        <v>#VALUE!</v>
      </c>
      <c r="AO14" t="e">
        <f>AND('Planilla_General_07-12-2012_8_3'!B199,"AAAAAH66iyg=")</f>
        <v>#VALUE!</v>
      </c>
      <c r="AP14" t="e">
        <f>AND('Planilla_General_07-12-2012_8_3'!C199,"AAAAAH66iyk=")</f>
        <v>#VALUE!</v>
      </c>
      <c r="AQ14" t="e">
        <f>AND('Planilla_General_07-12-2012_8_3'!D199,"AAAAAH66iyo=")</f>
        <v>#VALUE!</v>
      </c>
      <c r="AR14" t="e">
        <f>AND('Planilla_General_07-12-2012_8_3'!E199,"AAAAAH66iys=")</f>
        <v>#VALUE!</v>
      </c>
      <c r="AS14" t="e">
        <f>AND('Planilla_General_07-12-2012_8_3'!F199,"AAAAAH66iyw=")</f>
        <v>#VALUE!</v>
      </c>
      <c r="AT14" t="e">
        <f>AND('Planilla_General_07-12-2012_8_3'!G199,"AAAAAH66iy0=")</f>
        <v>#VALUE!</v>
      </c>
      <c r="AU14" t="e">
        <f>AND('Planilla_General_07-12-2012_8_3'!H199,"AAAAAH66iy4=")</f>
        <v>#VALUE!</v>
      </c>
      <c r="AV14" t="e">
        <f>AND('Planilla_General_07-12-2012_8_3'!I199,"AAAAAH66iy8=")</f>
        <v>#VALUE!</v>
      </c>
      <c r="AW14" t="e">
        <f>AND('Planilla_General_07-12-2012_8_3'!J199,"AAAAAH66izA=")</f>
        <v>#VALUE!</v>
      </c>
      <c r="AX14" t="e">
        <f>AND('Planilla_General_07-12-2012_8_3'!K199,"AAAAAH66izE=")</f>
        <v>#VALUE!</v>
      </c>
      <c r="AY14" t="e">
        <f>AND('Planilla_General_07-12-2012_8_3'!L199,"AAAAAH66izI=")</f>
        <v>#VALUE!</v>
      </c>
      <c r="AZ14" t="e">
        <f>AND('Planilla_General_07-12-2012_8_3'!M199,"AAAAAH66izM=")</f>
        <v>#VALUE!</v>
      </c>
      <c r="BA14" t="e">
        <f>AND('Planilla_General_07-12-2012_8_3'!N199,"AAAAAH66izQ=")</f>
        <v>#VALUE!</v>
      </c>
      <c r="BB14" t="e">
        <f>AND('Planilla_General_07-12-2012_8_3'!O199,"AAAAAH66izU=")</f>
        <v>#VALUE!</v>
      </c>
      <c r="BC14" t="e">
        <f>AND('Planilla_General_07-12-2012_8_3'!P199,"AAAAAH66izY=")</f>
        <v>#VALUE!</v>
      </c>
      <c r="BD14">
        <f>IF('Planilla_General_07-12-2012_8_3'!200:200,"AAAAAH66izc=",0)</f>
        <v>0</v>
      </c>
      <c r="BE14" t="e">
        <f>AND('Planilla_General_07-12-2012_8_3'!A200,"AAAAAH66izg=")</f>
        <v>#VALUE!</v>
      </c>
      <c r="BF14" t="e">
        <f>AND('Planilla_General_07-12-2012_8_3'!B200,"AAAAAH66izk=")</f>
        <v>#VALUE!</v>
      </c>
      <c r="BG14" t="e">
        <f>AND('Planilla_General_07-12-2012_8_3'!C200,"AAAAAH66izo=")</f>
        <v>#VALUE!</v>
      </c>
      <c r="BH14" t="e">
        <f>AND('Planilla_General_07-12-2012_8_3'!D200,"AAAAAH66izs=")</f>
        <v>#VALUE!</v>
      </c>
      <c r="BI14" t="e">
        <f>AND('Planilla_General_07-12-2012_8_3'!E200,"AAAAAH66izw=")</f>
        <v>#VALUE!</v>
      </c>
      <c r="BJ14" t="e">
        <f>AND('Planilla_General_07-12-2012_8_3'!F200,"AAAAAH66iz0=")</f>
        <v>#VALUE!</v>
      </c>
      <c r="BK14" t="e">
        <f>AND('Planilla_General_07-12-2012_8_3'!G200,"AAAAAH66iz4=")</f>
        <v>#VALUE!</v>
      </c>
      <c r="BL14" t="e">
        <f>AND('Planilla_General_07-12-2012_8_3'!H200,"AAAAAH66iz8=")</f>
        <v>#VALUE!</v>
      </c>
      <c r="BM14" t="e">
        <f>AND('Planilla_General_07-12-2012_8_3'!I200,"AAAAAH66i0A=")</f>
        <v>#VALUE!</v>
      </c>
      <c r="BN14" t="e">
        <f>AND('Planilla_General_07-12-2012_8_3'!J200,"AAAAAH66i0E=")</f>
        <v>#VALUE!</v>
      </c>
      <c r="BO14" t="e">
        <f>AND('Planilla_General_07-12-2012_8_3'!K200,"AAAAAH66i0I=")</f>
        <v>#VALUE!</v>
      </c>
      <c r="BP14" t="e">
        <f>AND('Planilla_General_07-12-2012_8_3'!L200,"AAAAAH66i0M=")</f>
        <v>#VALUE!</v>
      </c>
      <c r="BQ14" t="e">
        <f>AND('Planilla_General_07-12-2012_8_3'!M200,"AAAAAH66i0Q=")</f>
        <v>#VALUE!</v>
      </c>
      <c r="BR14" t="e">
        <f>AND('Planilla_General_07-12-2012_8_3'!N200,"AAAAAH66i0U=")</f>
        <v>#VALUE!</v>
      </c>
      <c r="BS14" t="e">
        <f>AND('Planilla_General_07-12-2012_8_3'!O200,"AAAAAH66i0Y=")</f>
        <v>#VALUE!</v>
      </c>
      <c r="BT14" t="e">
        <f>AND('Planilla_General_07-12-2012_8_3'!P200,"AAAAAH66i0c=")</f>
        <v>#VALUE!</v>
      </c>
      <c r="BU14">
        <f>IF('Planilla_General_07-12-2012_8_3'!201:201,"AAAAAH66i0g=",0)</f>
        <v>0</v>
      </c>
      <c r="BV14" t="e">
        <f>AND('Planilla_General_07-12-2012_8_3'!A201,"AAAAAH66i0k=")</f>
        <v>#VALUE!</v>
      </c>
      <c r="BW14" t="e">
        <f>AND('Planilla_General_07-12-2012_8_3'!B201,"AAAAAH66i0o=")</f>
        <v>#VALUE!</v>
      </c>
      <c r="BX14" t="e">
        <f>AND('Planilla_General_07-12-2012_8_3'!C201,"AAAAAH66i0s=")</f>
        <v>#VALUE!</v>
      </c>
      <c r="BY14" t="e">
        <f>AND('Planilla_General_07-12-2012_8_3'!D201,"AAAAAH66i0w=")</f>
        <v>#VALUE!</v>
      </c>
      <c r="BZ14" t="e">
        <f>AND('Planilla_General_07-12-2012_8_3'!E201,"AAAAAH66i00=")</f>
        <v>#VALUE!</v>
      </c>
      <c r="CA14" t="e">
        <f>AND('Planilla_General_07-12-2012_8_3'!F201,"AAAAAH66i04=")</f>
        <v>#VALUE!</v>
      </c>
      <c r="CB14" t="e">
        <f>AND('Planilla_General_07-12-2012_8_3'!G201,"AAAAAH66i08=")</f>
        <v>#VALUE!</v>
      </c>
      <c r="CC14" t="e">
        <f>AND('Planilla_General_07-12-2012_8_3'!H201,"AAAAAH66i1A=")</f>
        <v>#VALUE!</v>
      </c>
      <c r="CD14" t="e">
        <f>AND('Planilla_General_07-12-2012_8_3'!I201,"AAAAAH66i1E=")</f>
        <v>#VALUE!</v>
      </c>
      <c r="CE14" t="e">
        <f>AND('Planilla_General_07-12-2012_8_3'!J201,"AAAAAH66i1I=")</f>
        <v>#VALUE!</v>
      </c>
      <c r="CF14" t="e">
        <f>AND('Planilla_General_07-12-2012_8_3'!K201,"AAAAAH66i1M=")</f>
        <v>#VALUE!</v>
      </c>
      <c r="CG14" t="e">
        <f>AND('Planilla_General_07-12-2012_8_3'!L201,"AAAAAH66i1Q=")</f>
        <v>#VALUE!</v>
      </c>
      <c r="CH14" t="e">
        <f>AND('Planilla_General_07-12-2012_8_3'!M201,"AAAAAH66i1U=")</f>
        <v>#VALUE!</v>
      </c>
      <c r="CI14" t="e">
        <f>AND('Planilla_General_07-12-2012_8_3'!N201,"AAAAAH66i1Y=")</f>
        <v>#VALUE!</v>
      </c>
      <c r="CJ14" t="e">
        <f>AND('Planilla_General_07-12-2012_8_3'!O201,"AAAAAH66i1c=")</f>
        <v>#VALUE!</v>
      </c>
      <c r="CK14" t="e">
        <f>AND('Planilla_General_07-12-2012_8_3'!P201,"AAAAAH66i1g=")</f>
        <v>#VALUE!</v>
      </c>
      <c r="CL14">
        <f>IF('Planilla_General_07-12-2012_8_3'!202:202,"AAAAAH66i1k=",0)</f>
        <v>0</v>
      </c>
      <c r="CM14" t="e">
        <f>AND('Planilla_General_07-12-2012_8_3'!A202,"AAAAAH66i1o=")</f>
        <v>#VALUE!</v>
      </c>
      <c r="CN14" t="e">
        <f>AND('Planilla_General_07-12-2012_8_3'!B202,"AAAAAH66i1s=")</f>
        <v>#VALUE!</v>
      </c>
      <c r="CO14" t="e">
        <f>AND('Planilla_General_07-12-2012_8_3'!C202,"AAAAAH66i1w=")</f>
        <v>#VALUE!</v>
      </c>
      <c r="CP14" t="e">
        <f>AND('Planilla_General_07-12-2012_8_3'!D202,"AAAAAH66i10=")</f>
        <v>#VALUE!</v>
      </c>
      <c r="CQ14" t="e">
        <f>AND('Planilla_General_07-12-2012_8_3'!E202,"AAAAAH66i14=")</f>
        <v>#VALUE!</v>
      </c>
      <c r="CR14" t="e">
        <f>AND('Planilla_General_07-12-2012_8_3'!F202,"AAAAAH66i18=")</f>
        <v>#VALUE!</v>
      </c>
      <c r="CS14" t="e">
        <f>AND('Planilla_General_07-12-2012_8_3'!G202,"AAAAAH66i2A=")</f>
        <v>#VALUE!</v>
      </c>
      <c r="CT14" t="e">
        <f>AND('Planilla_General_07-12-2012_8_3'!H202,"AAAAAH66i2E=")</f>
        <v>#VALUE!</v>
      </c>
      <c r="CU14" t="e">
        <f>AND('Planilla_General_07-12-2012_8_3'!I202,"AAAAAH66i2I=")</f>
        <v>#VALUE!</v>
      </c>
      <c r="CV14" t="e">
        <f>AND('Planilla_General_07-12-2012_8_3'!J202,"AAAAAH66i2M=")</f>
        <v>#VALUE!</v>
      </c>
      <c r="CW14" t="e">
        <f>AND('Planilla_General_07-12-2012_8_3'!K202,"AAAAAH66i2Q=")</f>
        <v>#VALUE!</v>
      </c>
      <c r="CX14" t="e">
        <f>AND('Planilla_General_07-12-2012_8_3'!L202,"AAAAAH66i2U=")</f>
        <v>#VALUE!</v>
      </c>
      <c r="CY14" t="e">
        <f>AND('Planilla_General_07-12-2012_8_3'!M202,"AAAAAH66i2Y=")</f>
        <v>#VALUE!</v>
      </c>
      <c r="CZ14" t="e">
        <f>AND('Planilla_General_07-12-2012_8_3'!N202,"AAAAAH66i2c=")</f>
        <v>#VALUE!</v>
      </c>
      <c r="DA14" t="e">
        <f>AND('Planilla_General_07-12-2012_8_3'!O202,"AAAAAH66i2g=")</f>
        <v>#VALUE!</v>
      </c>
      <c r="DB14" t="e">
        <f>AND('Planilla_General_07-12-2012_8_3'!P202,"AAAAAH66i2k=")</f>
        <v>#VALUE!</v>
      </c>
      <c r="DC14">
        <f>IF('Planilla_General_07-12-2012_8_3'!203:203,"AAAAAH66i2o=",0)</f>
        <v>0</v>
      </c>
      <c r="DD14" t="e">
        <f>AND('Planilla_General_07-12-2012_8_3'!A203,"AAAAAH66i2s=")</f>
        <v>#VALUE!</v>
      </c>
      <c r="DE14" t="e">
        <f>AND('Planilla_General_07-12-2012_8_3'!B203,"AAAAAH66i2w=")</f>
        <v>#VALUE!</v>
      </c>
      <c r="DF14" t="e">
        <f>AND('Planilla_General_07-12-2012_8_3'!C203,"AAAAAH66i20=")</f>
        <v>#VALUE!</v>
      </c>
      <c r="DG14" t="e">
        <f>AND('Planilla_General_07-12-2012_8_3'!D203,"AAAAAH66i24=")</f>
        <v>#VALUE!</v>
      </c>
      <c r="DH14" t="e">
        <f>AND('Planilla_General_07-12-2012_8_3'!E203,"AAAAAH66i28=")</f>
        <v>#VALUE!</v>
      </c>
      <c r="DI14" t="e">
        <f>AND('Planilla_General_07-12-2012_8_3'!F203,"AAAAAH66i3A=")</f>
        <v>#VALUE!</v>
      </c>
      <c r="DJ14" t="e">
        <f>AND('Planilla_General_07-12-2012_8_3'!G203,"AAAAAH66i3E=")</f>
        <v>#VALUE!</v>
      </c>
      <c r="DK14" t="e">
        <f>AND('Planilla_General_07-12-2012_8_3'!H203,"AAAAAH66i3I=")</f>
        <v>#VALUE!</v>
      </c>
      <c r="DL14" t="e">
        <f>AND('Planilla_General_07-12-2012_8_3'!I203,"AAAAAH66i3M=")</f>
        <v>#VALUE!</v>
      </c>
      <c r="DM14" t="e">
        <f>AND('Planilla_General_07-12-2012_8_3'!J203,"AAAAAH66i3Q=")</f>
        <v>#VALUE!</v>
      </c>
      <c r="DN14" t="e">
        <f>AND('Planilla_General_07-12-2012_8_3'!K203,"AAAAAH66i3U=")</f>
        <v>#VALUE!</v>
      </c>
      <c r="DO14" t="e">
        <f>AND('Planilla_General_07-12-2012_8_3'!L203,"AAAAAH66i3Y=")</f>
        <v>#VALUE!</v>
      </c>
      <c r="DP14" t="e">
        <f>AND('Planilla_General_07-12-2012_8_3'!M203,"AAAAAH66i3c=")</f>
        <v>#VALUE!</v>
      </c>
      <c r="DQ14" t="e">
        <f>AND('Planilla_General_07-12-2012_8_3'!N203,"AAAAAH66i3g=")</f>
        <v>#VALUE!</v>
      </c>
      <c r="DR14" t="e">
        <f>AND('Planilla_General_07-12-2012_8_3'!O203,"AAAAAH66i3k=")</f>
        <v>#VALUE!</v>
      </c>
      <c r="DS14" t="e">
        <f>AND('Planilla_General_07-12-2012_8_3'!P203,"AAAAAH66i3o=")</f>
        <v>#VALUE!</v>
      </c>
      <c r="DT14">
        <f>IF('Planilla_General_07-12-2012_8_3'!204:204,"AAAAAH66i3s=",0)</f>
        <v>0</v>
      </c>
      <c r="DU14" t="e">
        <f>AND('Planilla_General_07-12-2012_8_3'!A204,"AAAAAH66i3w=")</f>
        <v>#VALUE!</v>
      </c>
      <c r="DV14" t="e">
        <f>AND('Planilla_General_07-12-2012_8_3'!B204,"AAAAAH66i30=")</f>
        <v>#VALUE!</v>
      </c>
      <c r="DW14" t="e">
        <f>AND('Planilla_General_07-12-2012_8_3'!C204,"AAAAAH66i34=")</f>
        <v>#VALUE!</v>
      </c>
      <c r="DX14" t="e">
        <f>AND('Planilla_General_07-12-2012_8_3'!D204,"AAAAAH66i38=")</f>
        <v>#VALUE!</v>
      </c>
      <c r="DY14" t="e">
        <f>AND('Planilla_General_07-12-2012_8_3'!E204,"AAAAAH66i4A=")</f>
        <v>#VALUE!</v>
      </c>
      <c r="DZ14" t="e">
        <f>AND('Planilla_General_07-12-2012_8_3'!F204,"AAAAAH66i4E=")</f>
        <v>#VALUE!</v>
      </c>
      <c r="EA14" t="e">
        <f>AND('Planilla_General_07-12-2012_8_3'!G204,"AAAAAH66i4I=")</f>
        <v>#VALUE!</v>
      </c>
      <c r="EB14" t="e">
        <f>AND('Planilla_General_07-12-2012_8_3'!H204,"AAAAAH66i4M=")</f>
        <v>#VALUE!</v>
      </c>
      <c r="EC14" t="e">
        <f>AND('Planilla_General_07-12-2012_8_3'!I204,"AAAAAH66i4Q=")</f>
        <v>#VALUE!</v>
      </c>
      <c r="ED14" t="e">
        <f>AND('Planilla_General_07-12-2012_8_3'!J204,"AAAAAH66i4U=")</f>
        <v>#VALUE!</v>
      </c>
      <c r="EE14" t="e">
        <f>AND('Planilla_General_07-12-2012_8_3'!K204,"AAAAAH66i4Y=")</f>
        <v>#VALUE!</v>
      </c>
      <c r="EF14" t="e">
        <f>AND('Planilla_General_07-12-2012_8_3'!L204,"AAAAAH66i4c=")</f>
        <v>#VALUE!</v>
      </c>
      <c r="EG14" t="e">
        <f>AND('Planilla_General_07-12-2012_8_3'!M204,"AAAAAH66i4g=")</f>
        <v>#VALUE!</v>
      </c>
      <c r="EH14" t="e">
        <f>AND('Planilla_General_07-12-2012_8_3'!N204,"AAAAAH66i4k=")</f>
        <v>#VALUE!</v>
      </c>
      <c r="EI14" t="e">
        <f>AND('Planilla_General_07-12-2012_8_3'!O204,"AAAAAH66i4o=")</f>
        <v>#VALUE!</v>
      </c>
      <c r="EJ14" t="e">
        <f>AND('Planilla_General_07-12-2012_8_3'!P204,"AAAAAH66i4s=")</f>
        <v>#VALUE!</v>
      </c>
      <c r="EK14">
        <f>IF('Planilla_General_07-12-2012_8_3'!205:205,"AAAAAH66i4w=",0)</f>
        <v>0</v>
      </c>
      <c r="EL14" t="e">
        <f>AND('Planilla_General_07-12-2012_8_3'!A205,"AAAAAH66i40=")</f>
        <v>#VALUE!</v>
      </c>
      <c r="EM14" t="e">
        <f>AND('Planilla_General_07-12-2012_8_3'!B205,"AAAAAH66i44=")</f>
        <v>#VALUE!</v>
      </c>
      <c r="EN14" t="e">
        <f>AND('Planilla_General_07-12-2012_8_3'!C205,"AAAAAH66i48=")</f>
        <v>#VALUE!</v>
      </c>
      <c r="EO14" t="e">
        <f>AND('Planilla_General_07-12-2012_8_3'!D205,"AAAAAH66i5A=")</f>
        <v>#VALUE!</v>
      </c>
      <c r="EP14" t="e">
        <f>AND('Planilla_General_07-12-2012_8_3'!E205,"AAAAAH66i5E=")</f>
        <v>#VALUE!</v>
      </c>
      <c r="EQ14" t="e">
        <f>AND('Planilla_General_07-12-2012_8_3'!F205,"AAAAAH66i5I=")</f>
        <v>#VALUE!</v>
      </c>
      <c r="ER14" t="e">
        <f>AND('Planilla_General_07-12-2012_8_3'!G205,"AAAAAH66i5M=")</f>
        <v>#VALUE!</v>
      </c>
      <c r="ES14" t="e">
        <f>AND('Planilla_General_07-12-2012_8_3'!H205,"AAAAAH66i5Q=")</f>
        <v>#VALUE!</v>
      </c>
      <c r="ET14" t="e">
        <f>AND('Planilla_General_07-12-2012_8_3'!I205,"AAAAAH66i5U=")</f>
        <v>#VALUE!</v>
      </c>
      <c r="EU14" t="e">
        <f>AND('Planilla_General_07-12-2012_8_3'!J205,"AAAAAH66i5Y=")</f>
        <v>#VALUE!</v>
      </c>
      <c r="EV14" t="e">
        <f>AND('Planilla_General_07-12-2012_8_3'!K205,"AAAAAH66i5c=")</f>
        <v>#VALUE!</v>
      </c>
      <c r="EW14" t="e">
        <f>AND('Planilla_General_07-12-2012_8_3'!L205,"AAAAAH66i5g=")</f>
        <v>#VALUE!</v>
      </c>
      <c r="EX14" t="e">
        <f>AND('Planilla_General_07-12-2012_8_3'!M205,"AAAAAH66i5k=")</f>
        <v>#VALUE!</v>
      </c>
      <c r="EY14" t="e">
        <f>AND('Planilla_General_07-12-2012_8_3'!N205,"AAAAAH66i5o=")</f>
        <v>#VALUE!</v>
      </c>
      <c r="EZ14" t="e">
        <f>AND('Planilla_General_07-12-2012_8_3'!O205,"AAAAAH66i5s=")</f>
        <v>#VALUE!</v>
      </c>
      <c r="FA14" t="e">
        <f>AND('Planilla_General_07-12-2012_8_3'!P205,"AAAAAH66i5w=")</f>
        <v>#VALUE!</v>
      </c>
      <c r="FB14">
        <f>IF('Planilla_General_07-12-2012_8_3'!206:206,"AAAAAH66i50=",0)</f>
        <v>0</v>
      </c>
      <c r="FC14" t="e">
        <f>AND('Planilla_General_07-12-2012_8_3'!A206,"AAAAAH66i54=")</f>
        <v>#VALUE!</v>
      </c>
      <c r="FD14" t="e">
        <f>AND('Planilla_General_07-12-2012_8_3'!B206,"AAAAAH66i58=")</f>
        <v>#VALUE!</v>
      </c>
      <c r="FE14" t="e">
        <f>AND('Planilla_General_07-12-2012_8_3'!C206,"AAAAAH66i6A=")</f>
        <v>#VALUE!</v>
      </c>
      <c r="FF14" t="e">
        <f>AND('Planilla_General_07-12-2012_8_3'!D206,"AAAAAH66i6E=")</f>
        <v>#VALUE!</v>
      </c>
      <c r="FG14" t="e">
        <f>AND('Planilla_General_07-12-2012_8_3'!E206,"AAAAAH66i6I=")</f>
        <v>#VALUE!</v>
      </c>
      <c r="FH14" t="e">
        <f>AND('Planilla_General_07-12-2012_8_3'!F206,"AAAAAH66i6M=")</f>
        <v>#VALUE!</v>
      </c>
      <c r="FI14" t="e">
        <f>AND('Planilla_General_07-12-2012_8_3'!G206,"AAAAAH66i6Q=")</f>
        <v>#VALUE!</v>
      </c>
      <c r="FJ14" t="e">
        <f>AND('Planilla_General_07-12-2012_8_3'!H206,"AAAAAH66i6U=")</f>
        <v>#VALUE!</v>
      </c>
      <c r="FK14" t="e">
        <f>AND('Planilla_General_07-12-2012_8_3'!I206,"AAAAAH66i6Y=")</f>
        <v>#VALUE!</v>
      </c>
      <c r="FL14" t="e">
        <f>AND('Planilla_General_07-12-2012_8_3'!J206,"AAAAAH66i6c=")</f>
        <v>#VALUE!</v>
      </c>
      <c r="FM14" t="e">
        <f>AND('Planilla_General_07-12-2012_8_3'!K206,"AAAAAH66i6g=")</f>
        <v>#VALUE!</v>
      </c>
      <c r="FN14" t="e">
        <f>AND('Planilla_General_07-12-2012_8_3'!L206,"AAAAAH66i6k=")</f>
        <v>#VALUE!</v>
      </c>
      <c r="FO14" t="e">
        <f>AND('Planilla_General_07-12-2012_8_3'!M206,"AAAAAH66i6o=")</f>
        <v>#VALUE!</v>
      </c>
      <c r="FP14" t="e">
        <f>AND('Planilla_General_07-12-2012_8_3'!N206,"AAAAAH66i6s=")</f>
        <v>#VALUE!</v>
      </c>
      <c r="FQ14" t="e">
        <f>AND('Planilla_General_07-12-2012_8_3'!O206,"AAAAAH66i6w=")</f>
        <v>#VALUE!</v>
      </c>
      <c r="FR14" t="e">
        <f>AND('Planilla_General_07-12-2012_8_3'!P206,"AAAAAH66i60=")</f>
        <v>#VALUE!</v>
      </c>
      <c r="FS14">
        <f>IF('Planilla_General_07-12-2012_8_3'!207:207,"AAAAAH66i64=",0)</f>
        <v>0</v>
      </c>
      <c r="FT14" t="e">
        <f>AND('Planilla_General_07-12-2012_8_3'!A207,"AAAAAH66i68=")</f>
        <v>#VALUE!</v>
      </c>
      <c r="FU14" t="e">
        <f>AND('Planilla_General_07-12-2012_8_3'!B207,"AAAAAH66i7A=")</f>
        <v>#VALUE!</v>
      </c>
      <c r="FV14" t="e">
        <f>AND('Planilla_General_07-12-2012_8_3'!C207,"AAAAAH66i7E=")</f>
        <v>#VALUE!</v>
      </c>
      <c r="FW14" t="e">
        <f>AND('Planilla_General_07-12-2012_8_3'!D207,"AAAAAH66i7I=")</f>
        <v>#VALUE!</v>
      </c>
      <c r="FX14" t="e">
        <f>AND('Planilla_General_07-12-2012_8_3'!E207,"AAAAAH66i7M=")</f>
        <v>#VALUE!</v>
      </c>
      <c r="FY14" t="e">
        <f>AND('Planilla_General_07-12-2012_8_3'!F207,"AAAAAH66i7Q=")</f>
        <v>#VALUE!</v>
      </c>
      <c r="FZ14" t="e">
        <f>AND('Planilla_General_07-12-2012_8_3'!G207,"AAAAAH66i7U=")</f>
        <v>#VALUE!</v>
      </c>
      <c r="GA14" t="e">
        <f>AND('Planilla_General_07-12-2012_8_3'!H207,"AAAAAH66i7Y=")</f>
        <v>#VALUE!</v>
      </c>
      <c r="GB14" t="e">
        <f>AND('Planilla_General_07-12-2012_8_3'!I207,"AAAAAH66i7c=")</f>
        <v>#VALUE!</v>
      </c>
      <c r="GC14" t="e">
        <f>AND('Planilla_General_07-12-2012_8_3'!J207,"AAAAAH66i7g=")</f>
        <v>#VALUE!</v>
      </c>
      <c r="GD14" t="e">
        <f>AND('Planilla_General_07-12-2012_8_3'!K207,"AAAAAH66i7k=")</f>
        <v>#VALUE!</v>
      </c>
      <c r="GE14" t="e">
        <f>AND('Planilla_General_07-12-2012_8_3'!L207,"AAAAAH66i7o=")</f>
        <v>#VALUE!</v>
      </c>
      <c r="GF14" t="e">
        <f>AND('Planilla_General_07-12-2012_8_3'!M207,"AAAAAH66i7s=")</f>
        <v>#VALUE!</v>
      </c>
      <c r="GG14" t="e">
        <f>AND('Planilla_General_07-12-2012_8_3'!N207,"AAAAAH66i7w=")</f>
        <v>#VALUE!</v>
      </c>
      <c r="GH14" t="e">
        <f>AND('Planilla_General_07-12-2012_8_3'!O207,"AAAAAH66i70=")</f>
        <v>#VALUE!</v>
      </c>
      <c r="GI14" t="e">
        <f>AND('Planilla_General_07-12-2012_8_3'!P207,"AAAAAH66i74=")</f>
        <v>#VALUE!</v>
      </c>
      <c r="GJ14">
        <f>IF('Planilla_General_07-12-2012_8_3'!208:208,"AAAAAH66i78=",0)</f>
        <v>0</v>
      </c>
      <c r="GK14" t="e">
        <f>AND('Planilla_General_07-12-2012_8_3'!A208,"AAAAAH66i8A=")</f>
        <v>#VALUE!</v>
      </c>
      <c r="GL14" t="e">
        <f>AND('Planilla_General_07-12-2012_8_3'!B208,"AAAAAH66i8E=")</f>
        <v>#VALUE!</v>
      </c>
      <c r="GM14" t="e">
        <f>AND('Planilla_General_07-12-2012_8_3'!C208,"AAAAAH66i8I=")</f>
        <v>#VALUE!</v>
      </c>
      <c r="GN14" t="e">
        <f>AND('Planilla_General_07-12-2012_8_3'!D208,"AAAAAH66i8M=")</f>
        <v>#VALUE!</v>
      </c>
      <c r="GO14" t="e">
        <f>AND('Planilla_General_07-12-2012_8_3'!E208,"AAAAAH66i8Q=")</f>
        <v>#VALUE!</v>
      </c>
      <c r="GP14" t="e">
        <f>AND('Planilla_General_07-12-2012_8_3'!F208,"AAAAAH66i8U=")</f>
        <v>#VALUE!</v>
      </c>
      <c r="GQ14" t="e">
        <f>AND('Planilla_General_07-12-2012_8_3'!G208,"AAAAAH66i8Y=")</f>
        <v>#VALUE!</v>
      </c>
      <c r="GR14" t="e">
        <f>AND('Planilla_General_07-12-2012_8_3'!H208,"AAAAAH66i8c=")</f>
        <v>#VALUE!</v>
      </c>
      <c r="GS14" t="e">
        <f>AND('Planilla_General_07-12-2012_8_3'!I208,"AAAAAH66i8g=")</f>
        <v>#VALUE!</v>
      </c>
      <c r="GT14" t="e">
        <f>AND('Planilla_General_07-12-2012_8_3'!J208,"AAAAAH66i8k=")</f>
        <v>#VALUE!</v>
      </c>
      <c r="GU14" t="e">
        <f>AND('Planilla_General_07-12-2012_8_3'!K208,"AAAAAH66i8o=")</f>
        <v>#VALUE!</v>
      </c>
      <c r="GV14" t="e">
        <f>AND('Planilla_General_07-12-2012_8_3'!L208,"AAAAAH66i8s=")</f>
        <v>#VALUE!</v>
      </c>
      <c r="GW14" t="e">
        <f>AND('Planilla_General_07-12-2012_8_3'!M208,"AAAAAH66i8w=")</f>
        <v>#VALUE!</v>
      </c>
      <c r="GX14" t="e">
        <f>AND('Planilla_General_07-12-2012_8_3'!N208,"AAAAAH66i80=")</f>
        <v>#VALUE!</v>
      </c>
      <c r="GY14" t="e">
        <f>AND('Planilla_General_07-12-2012_8_3'!O208,"AAAAAH66i84=")</f>
        <v>#VALUE!</v>
      </c>
      <c r="GZ14" t="e">
        <f>AND('Planilla_General_07-12-2012_8_3'!P208,"AAAAAH66i88=")</f>
        <v>#VALUE!</v>
      </c>
      <c r="HA14">
        <f>IF('Planilla_General_07-12-2012_8_3'!209:209,"AAAAAH66i9A=",0)</f>
        <v>0</v>
      </c>
      <c r="HB14" t="e">
        <f>AND('Planilla_General_07-12-2012_8_3'!A209,"AAAAAH66i9E=")</f>
        <v>#VALUE!</v>
      </c>
      <c r="HC14" t="e">
        <f>AND('Planilla_General_07-12-2012_8_3'!B209,"AAAAAH66i9I=")</f>
        <v>#VALUE!</v>
      </c>
      <c r="HD14" t="e">
        <f>AND('Planilla_General_07-12-2012_8_3'!C209,"AAAAAH66i9M=")</f>
        <v>#VALUE!</v>
      </c>
      <c r="HE14" t="e">
        <f>AND('Planilla_General_07-12-2012_8_3'!D209,"AAAAAH66i9Q=")</f>
        <v>#VALUE!</v>
      </c>
      <c r="HF14" t="e">
        <f>AND('Planilla_General_07-12-2012_8_3'!E209,"AAAAAH66i9U=")</f>
        <v>#VALUE!</v>
      </c>
      <c r="HG14" t="e">
        <f>AND('Planilla_General_07-12-2012_8_3'!F209,"AAAAAH66i9Y=")</f>
        <v>#VALUE!</v>
      </c>
      <c r="HH14" t="e">
        <f>AND('Planilla_General_07-12-2012_8_3'!G209,"AAAAAH66i9c=")</f>
        <v>#VALUE!</v>
      </c>
      <c r="HI14" t="e">
        <f>AND('Planilla_General_07-12-2012_8_3'!H209,"AAAAAH66i9g=")</f>
        <v>#VALUE!</v>
      </c>
      <c r="HJ14" t="e">
        <f>AND('Planilla_General_07-12-2012_8_3'!I209,"AAAAAH66i9k=")</f>
        <v>#VALUE!</v>
      </c>
      <c r="HK14" t="e">
        <f>AND('Planilla_General_07-12-2012_8_3'!J209,"AAAAAH66i9o=")</f>
        <v>#VALUE!</v>
      </c>
      <c r="HL14" t="e">
        <f>AND('Planilla_General_07-12-2012_8_3'!K209,"AAAAAH66i9s=")</f>
        <v>#VALUE!</v>
      </c>
      <c r="HM14" t="e">
        <f>AND('Planilla_General_07-12-2012_8_3'!L209,"AAAAAH66i9w=")</f>
        <v>#VALUE!</v>
      </c>
      <c r="HN14" t="e">
        <f>AND('Planilla_General_07-12-2012_8_3'!M209,"AAAAAH66i90=")</f>
        <v>#VALUE!</v>
      </c>
      <c r="HO14" t="e">
        <f>AND('Planilla_General_07-12-2012_8_3'!N209,"AAAAAH66i94=")</f>
        <v>#VALUE!</v>
      </c>
      <c r="HP14" t="e">
        <f>AND('Planilla_General_07-12-2012_8_3'!O209,"AAAAAH66i98=")</f>
        <v>#VALUE!</v>
      </c>
      <c r="HQ14" t="e">
        <f>AND('Planilla_General_07-12-2012_8_3'!P209,"AAAAAH66i+A=")</f>
        <v>#VALUE!</v>
      </c>
      <c r="HR14">
        <f>IF('Planilla_General_07-12-2012_8_3'!210:210,"AAAAAH66i+E=",0)</f>
        <v>0</v>
      </c>
      <c r="HS14" t="e">
        <f>AND('Planilla_General_07-12-2012_8_3'!A210,"AAAAAH66i+I=")</f>
        <v>#VALUE!</v>
      </c>
      <c r="HT14" t="e">
        <f>AND('Planilla_General_07-12-2012_8_3'!B210,"AAAAAH66i+M=")</f>
        <v>#VALUE!</v>
      </c>
      <c r="HU14" t="e">
        <f>AND('Planilla_General_07-12-2012_8_3'!C210,"AAAAAH66i+Q=")</f>
        <v>#VALUE!</v>
      </c>
      <c r="HV14" t="e">
        <f>AND('Planilla_General_07-12-2012_8_3'!D210,"AAAAAH66i+U=")</f>
        <v>#VALUE!</v>
      </c>
      <c r="HW14" t="e">
        <f>AND('Planilla_General_07-12-2012_8_3'!E210,"AAAAAH66i+Y=")</f>
        <v>#VALUE!</v>
      </c>
      <c r="HX14" t="e">
        <f>AND('Planilla_General_07-12-2012_8_3'!F210,"AAAAAH66i+c=")</f>
        <v>#VALUE!</v>
      </c>
      <c r="HY14" t="e">
        <f>AND('Planilla_General_07-12-2012_8_3'!G210,"AAAAAH66i+g=")</f>
        <v>#VALUE!</v>
      </c>
      <c r="HZ14" t="e">
        <f>AND('Planilla_General_07-12-2012_8_3'!H210,"AAAAAH66i+k=")</f>
        <v>#VALUE!</v>
      </c>
      <c r="IA14" t="e">
        <f>AND('Planilla_General_07-12-2012_8_3'!I210,"AAAAAH66i+o=")</f>
        <v>#VALUE!</v>
      </c>
      <c r="IB14" t="e">
        <f>AND('Planilla_General_07-12-2012_8_3'!J210,"AAAAAH66i+s=")</f>
        <v>#VALUE!</v>
      </c>
      <c r="IC14" t="e">
        <f>AND('Planilla_General_07-12-2012_8_3'!K210,"AAAAAH66i+w=")</f>
        <v>#VALUE!</v>
      </c>
      <c r="ID14" t="e">
        <f>AND('Planilla_General_07-12-2012_8_3'!L210,"AAAAAH66i+0=")</f>
        <v>#VALUE!</v>
      </c>
      <c r="IE14" t="e">
        <f>AND('Planilla_General_07-12-2012_8_3'!M210,"AAAAAH66i+4=")</f>
        <v>#VALUE!</v>
      </c>
      <c r="IF14" t="e">
        <f>AND('Planilla_General_07-12-2012_8_3'!N210,"AAAAAH66i+8=")</f>
        <v>#VALUE!</v>
      </c>
      <c r="IG14" t="e">
        <f>AND('Planilla_General_07-12-2012_8_3'!O210,"AAAAAH66i/A=")</f>
        <v>#VALUE!</v>
      </c>
      <c r="IH14" t="e">
        <f>AND('Planilla_General_07-12-2012_8_3'!P210,"AAAAAH66i/E=")</f>
        <v>#VALUE!</v>
      </c>
      <c r="II14">
        <f>IF('Planilla_General_07-12-2012_8_3'!211:211,"AAAAAH66i/I=",0)</f>
        <v>0</v>
      </c>
      <c r="IJ14" t="e">
        <f>AND('Planilla_General_07-12-2012_8_3'!A211,"AAAAAH66i/M=")</f>
        <v>#VALUE!</v>
      </c>
      <c r="IK14" t="e">
        <f>AND('Planilla_General_07-12-2012_8_3'!B211,"AAAAAH66i/Q=")</f>
        <v>#VALUE!</v>
      </c>
      <c r="IL14" t="e">
        <f>AND('Planilla_General_07-12-2012_8_3'!C211,"AAAAAH66i/U=")</f>
        <v>#VALUE!</v>
      </c>
      <c r="IM14" t="e">
        <f>AND('Planilla_General_07-12-2012_8_3'!D211,"AAAAAH66i/Y=")</f>
        <v>#VALUE!</v>
      </c>
      <c r="IN14" t="e">
        <f>AND('Planilla_General_07-12-2012_8_3'!E211,"AAAAAH66i/c=")</f>
        <v>#VALUE!</v>
      </c>
      <c r="IO14" t="e">
        <f>AND('Planilla_General_07-12-2012_8_3'!F211,"AAAAAH66i/g=")</f>
        <v>#VALUE!</v>
      </c>
      <c r="IP14" t="e">
        <f>AND('Planilla_General_07-12-2012_8_3'!G211,"AAAAAH66i/k=")</f>
        <v>#VALUE!</v>
      </c>
      <c r="IQ14" t="e">
        <f>AND('Planilla_General_07-12-2012_8_3'!H211,"AAAAAH66i/o=")</f>
        <v>#VALUE!</v>
      </c>
      <c r="IR14" t="e">
        <f>AND('Planilla_General_07-12-2012_8_3'!I211,"AAAAAH66i/s=")</f>
        <v>#VALUE!</v>
      </c>
      <c r="IS14" t="e">
        <f>AND('Planilla_General_07-12-2012_8_3'!J211,"AAAAAH66i/w=")</f>
        <v>#VALUE!</v>
      </c>
      <c r="IT14" t="e">
        <f>AND('Planilla_General_07-12-2012_8_3'!K211,"AAAAAH66i/0=")</f>
        <v>#VALUE!</v>
      </c>
      <c r="IU14" t="e">
        <f>AND('Planilla_General_07-12-2012_8_3'!L211,"AAAAAH66i/4=")</f>
        <v>#VALUE!</v>
      </c>
      <c r="IV14" t="e">
        <f>AND('Planilla_General_07-12-2012_8_3'!M211,"AAAAAH66i/8=")</f>
        <v>#VALUE!</v>
      </c>
    </row>
    <row r="15" spans="1:256" x14ac:dyDescent="0.25">
      <c r="A15" t="e">
        <f>AND('Planilla_General_07-12-2012_8_3'!N211,"AAAAAF5+/wA=")</f>
        <v>#VALUE!</v>
      </c>
      <c r="B15" t="e">
        <f>AND('Planilla_General_07-12-2012_8_3'!O211,"AAAAAF5+/wE=")</f>
        <v>#VALUE!</v>
      </c>
      <c r="C15" t="e">
        <f>AND('Planilla_General_07-12-2012_8_3'!P211,"AAAAAF5+/wI=")</f>
        <v>#VALUE!</v>
      </c>
      <c r="D15" t="e">
        <f>IF('Planilla_General_07-12-2012_8_3'!212:212,"AAAAAF5+/wM=",0)</f>
        <v>#VALUE!</v>
      </c>
      <c r="E15" t="e">
        <f>AND('Planilla_General_07-12-2012_8_3'!A212,"AAAAAF5+/wQ=")</f>
        <v>#VALUE!</v>
      </c>
      <c r="F15" t="e">
        <f>AND('Planilla_General_07-12-2012_8_3'!B212,"AAAAAF5+/wU=")</f>
        <v>#VALUE!</v>
      </c>
      <c r="G15" t="e">
        <f>AND('Planilla_General_07-12-2012_8_3'!C212,"AAAAAF5+/wY=")</f>
        <v>#VALUE!</v>
      </c>
      <c r="H15" t="e">
        <f>AND('Planilla_General_07-12-2012_8_3'!D212,"AAAAAF5+/wc=")</f>
        <v>#VALUE!</v>
      </c>
      <c r="I15" t="e">
        <f>AND('Planilla_General_07-12-2012_8_3'!E212,"AAAAAF5+/wg=")</f>
        <v>#VALUE!</v>
      </c>
      <c r="J15" t="e">
        <f>AND('Planilla_General_07-12-2012_8_3'!F212,"AAAAAF5+/wk=")</f>
        <v>#VALUE!</v>
      </c>
      <c r="K15" t="e">
        <f>AND('Planilla_General_07-12-2012_8_3'!G212,"AAAAAF5+/wo=")</f>
        <v>#VALUE!</v>
      </c>
      <c r="L15" t="e">
        <f>AND('Planilla_General_07-12-2012_8_3'!H212,"AAAAAF5+/ws=")</f>
        <v>#VALUE!</v>
      </c>
      <c r="M15" t="e">
        <f>AND('Planilla_General_07-12-2012_8_3'!I212,"AAAAAF5+/ww=")</f>
        <v>#VALUE!</v>
      </c>
      <c r="N15" t="e">
        <f>AND('Planilla_General_07-12-2012_8_3'!J212,"AAAAAF5+/w0=")</f>
        <v>#VALUE!</v>
      </c>
      <c r="O15" t="e">
        <f>AND('Planilla_General_07-12-2012_8_3'!K212,"AAAAAF5+/w4=")</f>
        <v>#VALUE!</v>
      </c>
      <c r="P15" t="e">
        <f>AND('Planilla_General_07-12-2012_8_3'!L212,"AAAAAF5+/w8=")</f>
        <v>#VALUE!</v>
      </c>
      <c r="Q15" t="e">
        <f>AND('Planilla_General_07-12-2012_8_3'!M212,"AAAAAF5+/xA=")</f>
        <v>#VALUE!</v>
      </c>
      <c r="R15" t="e">
        <f>AND('Planilla_General_07-12-2012_8_3'!N212,"AAAAAF5+/xE=")</f>
        <v>#VALUE!</v>
      </c>
      <c r="S15" t="e">
        <f>AND('Planilla_General_07-12-2012_8_3'!O212,"AAAAAF5+/xI=")</f>
        <v>#VALUE!</v>
      </c>
      <c r="T15" t="e">
        <f>AND('Planilla_General_07-12-2012_8_3'!P212,"AAAAAF5+/xM=")</f>
        <v>#VALUE!</v>
      </c>
      <c r="U15">
        <f>IF('Planilla_General_07-12-2012_8_3'!213:213,"AAAAAF5+/xQ=",0)</f>
        <v>0</v>
      </c>
      <c r="V15" t="e">
        <f>AND('Planilla_General_07-12-2012_8_3'!A213,"AAAAAF5+/xU=")</f>
        <v>#VALUE!</v>
      </c>
      <c r="W15" t="e">
        <f>AND('Planilla_General_07-12-2012_8_3'!B213,"AAAAAF5+/xY=")</f>
        <v>#VALUE!</v>
      </c>
      <c r="X15" t="e">
        <f>AND('Planilla_General_07-12-2012_8_3'!C213,"AAAAAF5+/xc=")</f>
        <v>#VALUE!</v>
      </c>
      <c r="Y15" t="e">
        <f>AND('Planilla_General_07-12-2012_8_3'!D213,"AAAAAF5+/xg=")</f>
        <v>#VALUE!</v>
      </c>
      <c r="Z15" t="e">
        <f>AND('Planilla_General_07-12-2012_8_3'!E213,"AAAAAF5+/xk=")</f>
        <v>#VALUE!</v>
      </c>
      <c r="AA15" t="e">
        <f>AND('Planilla_General_07-12-2012_8_3'!F213,"AAAAAF5+/xo=")</f>
        <v>#VALUE!</v>
      </c>
      <c r="AB15" t="e">
        <f>AND('Planilla_General_07-12-2012_8_3'!G213,"AAAAAF5+/xs=")</f>
        <v>#VALUE!</v>
      </c>
      <c r="AC15" t="e">
        <f>AND('Planilla_General_07-12-2012_8_3'!H213,"AAAAAF5+/xw=")</f>
        <v>#VALUE!</v>
      </c>
      <c r="AD15" t="e">
        <f>AND('Planilla_General_07-12-2012_8_3'!I213,"AAAAAF5+/x0=")</f>
        <v>#VALUE!</v>
      </c>
      <c r="AE15" t="e">
        <f>AND('Planilla_General_07-12-2012_8_3'!J213,"AAAAAF5+/x4=")</f>
        <v>#VALUE!</v>
      </c>
      <c r="AF15" t="e">
        <f>AND('Planilla_General_07-12-2012_8_3'!K213,"AAAAAF5+/x8=")</f>
        <v>#VALUE!</v>
      </c>
      <c r="AG15" t="e">
        <f>AND('Planilla_General_07-12-2012_8_3'!L213,"AAAAAF5+/yA=")</f>
        <v>#VALUE!</v>
      </c>
      <c r="AH15" t="e">
        <f>AND('Planilla_General_07-12-2012_8_3'!M213,"AAAAAF5+/yE=")</f>
        <v>#VALUE!</v>
      </c>
      <c r="AI15" t="e">
        <f>AND('Planilla_General_07-12-2012_8_3'!N213,"AAAAAF5+/yI=")</f>
        <v>#VALUE!</v>
      </c>
      <c r="AJ15" t="e">
        <f>AND('Planilla_General_07-12-2012_8_3'!O213,"AAAAAF5+/yM=")</f>
        <v>#VALUE!</v>
      </c>
      <c r="AK15" t="e">
        <f>AND('Planilla_General_07-12-2012_8_3'!P213,"AAAAAF5+/yQ=")</f>
        <v>#VALUE!</v>
      </c>
      <c r="AL15">
        <f>IF('Planilla_General_07-12-2012_8_3'!214:214,"AAAAAF5+/yU=",0)</f>
        <v>0</v>
      </c>
      <c r="AM15" t="e">
        <f>AND('Planilla_General_07-12-2012_8_3'!A214,"AAAAAF5+/yY=")</f>
        <v>#VALUE!</v>
      </c>
      <c r="AN15" t="e">
        <f>AND('Planilla_General_07-12-2012_8_3'!B214,"AAAAAF5+/yc=")</f>
        <v>#VALUE!</v>
      </c>
      <c r="AO15" t="e">
        <f>AND('Planilla_General_07-12-2012_8_3'!C214,"AAAAAF5+/yg=")</f>
        <v>#VALUE!</v>
      </c>
      <c r="AP15" t="e">
        <f>AND('Planilla_General_07-12-2012_8_3'!D214,"AAAAAF5+/yk=")</f>
        <v>#VALUE!</v>
      </c>
      <c r="AQ15" t="e">
        <f>AND('Planilla_General_07-12-2012_8_3'!E214,"AAAAAF5+/yo=")</f>
        <v>#VALUE!</v>
      </c>
      <c r="AR15" t="e">
        <f>AND('Planilla_General_07-12-2012_8_3'!F214,"AAAAAF5+/ys=")</f>
        <v>#VALUE!</v>
      </c>
      <c r="AS15" t="e">
        <f>AND('Planilla_General_07-12-2012_8_3'!G214,"AAAAAF5+/yw=")</f>
        <v>#VALUE!</v>
      </c>
      <c r="AT15" t="e">
        <f>AND('Planilla_General_07-12-2012_8_3'!H214,"AAAAAF5+/y0=")</f>
        <v>#VALUE!</v>
      </c>
      <c r="AU15" t="e">
        <f>AND('Planilla_General_07-12-2012_8_3'!I214,"AAAAAF5+/y4=")</f>
        <v>#VALUE!</v>
      </c>
      <c r="AV15" t="e">
        <f>AND('Planilla_General_07-12-2012_8_3'!J214,"AAAAAF5+/y8=")</f>
        <v>#VALUE!</v>
      </c>
      <c r="AW15" t="e">
        <f>AND('Planilla_General_07-12-2012_8_3'!K214,"AAAAAF5+/zA=")</f>
        <v>#VALUE!</v>
      </c>
      <c r="AX15" t="e">
        <f>AND('Planilla_General_07-12-2012_8_3'!L214,"AAAAAF5+/zE=")</f>
        <v>#VALUE!</v>
      </c>
      <c r="AY15" t="e">
        <f>AND('Planilla_General_07-12-2012_8_3'!M214,"AAAAAF5+/zI=")</f>
        <v>#VALUE!</v>
      </c>
      <c r="AZ15" t="e">
        <f>AND('Planilla_General_07-12-2012_8_3'!N214,"AAAAAF5+/zM=")</f>
        <v>#VALUE!</v>
      </c>
      <c r="BA15" t="e">
        <f>AND('Planilla_General_07-12-2012_8_3'!O214,"AAAAAF5+/zQ=")</f>
        <v>#VALUE!</v>
      </c>
      <c r="BB15" t="e">
        <f>AND('Planilla_General_07-12-2012_8_3'!P214,"AAAAAF5+/zU=")</f>
        <v>#VALUE!</v>
      </c>
      <c r="BC15">
        <f>IF('Planilla_General_07-12-2012_8_3'!215:215,"AAAAAF5+/zY=",0)</f>
        <v>0</v>
      </c>
      <c r="BD15" t="e">
        <f>AND('Planilla_General_07-12-2012_8_3'!A215,"AAAAAF5+/zc=")</f>
        <v>#VALUE!</v>
      </c>
      <c r="BE15" t="e">
        <f>AND('Planilla_General_07-12-2012_8_3'!B215,"AAAAAF5+/zg=")</f>
        <v>#VALUE!</v>
      </c>
      <c r="BF15" t="e">
        <f>AND('Planilla_General_07-12-2012_8_3'!C215,"AAAAAF5+/zk=")</f>
        <v>#VALUE!</v>
      </c>
      <c r="BG15" t="e">
        <f>AND('Planilla_General_07-12-2012_8_3'!D215,"AAAAAF5+/zo=")</f>
        <v>#VALUE!</v>
      </c>
      <c r="BH15" t="e">
        <f>AND('Planilla_General_07-12-2012_8_3'!E215,"AAAAAF5+/zs=")</f>
        <v>#VALUE!</v>
      </c>
      <c r="BI15" t="e">
        <f>AND('Planilla_General_07-12-2012_8_3'!F215,"AAAAAF5+/zw=")</f>
        <v>#VALUE!</v>
      </c>
      <c r="BJ15" t="e">
        <f>AND('Planilla_General_07-12-2012_8_3'!G215,"AAAAAF5+/z0=")</f>
        <v>#VALUE!</v>
      </c>
      <c r="BK15" t="e">
        <f>AND('Planilla_General_07-12-2012_8_3'!H215,"AAAAAF5+/z4=")</f>
        <v>#VALUE!</v>
      </c>
      <c r="BL15" t="e">
        <f>AND('Planilla_General_07-12-2012_8_3'!I215,"AAAAAF5+/z8=")</f>
        <v>#VALUE!</v>
      </c>
      <c r="BM15" t="e">
        <f>AND('Planilla_General_07-12-2012_8_3'!J215,"AAAAAF5+/0A=")</f>
        <v>#VALUE!</v>
      </c>
      <c r="BN15" t="e">
        <f>AND('Planilla_General_07-12-2012_8_3'!K215,"AAAAAF5+/0E=")</f>
        <v>#VALUE!</v>
      </c>
      <c r="BO15" t="e">
        <f>AND('Planilla_General_07-12-2012_8_3'!L215,"AAAAAF5+/0I=")</f>
        <v>#VALUE!</v>
      </c>
      <c r="BP15" t="e">
        <f>AND('Planilla_General_07-12-2012_8_3'!M215,"AAAAAF5+/0M=")</f>
        <v>#VALUE!</v>
      </c>
      <c r="BQ15" t="e">
        <f>AND('Planilla_General_07-12-2012_8_3'!N215,"AAAAAF5+/0Q=")</f>
        <v>#VALUE!</v>
      </c>
      <c r="BR15" t="e">
        <f>AND('Planilla_General_07-12-2012_8_3'!O215,"AAAAAF5+/0U=")</f>
        <v>#VALUE!</v>
      </c>
      <c r="BS15" t="e">
        <f>AND('Planilla_General_07-12-2012_8_3'!P215,"AAAAAF5+/0Y=")</f>
        <v>#VALUE!</v>
      </c>
      <c r="BT15">
        <f>IF('Planilla_General_07-12-2012_8_3'!216:216,"AAAAAF5+/0c=",0)</f>
        <v>0</v>
      </c>
      <c r="BU15" t="e">
        <f>AND('Planilla_General_07-12-2012_8_3'!A216,"AAAAAF5+/0g=")</f>
        <v>#VALUE!</v>
      </c>
      <c r="BV15" t="e">
        <f>AND('Planilla_General_07-12-2012_8_3'!B216,"AAAAAF5+/0k=")</f>
        <v>#VALUE!</v>
      </c>
      <c r="BW15" t="e">
        <f>AND('Planilla_General_07-12-2012_8_3'!C216,"AAAAAF5+/0o=")</f>
        <v>#VALUE!</v>
      </c>
      <c r="BX15" t="e">
        <f>AND('Planilla_General_07-12-2012_8_3'!D216,"AAAAAF5+/0s=")</f>
        <v>#VALUE!</v>
      </c>
      <c r="BY15" t="e">
        <f>AND('Planilla_General_07-12-2012_8_3'!E216,"AAAAAF5+/0w=")</f>
        <v>#VALUE!</v>
      </c>
      <c r="BZ15" t="e">
        <f>AND('Planilla_General_07-12-2012_8_3'!F216,"AAAAAF5+/00=")</f>
        <v>#VALUE!</v>
      </c>
      <c r="CA15" t="e">
        <f>AND('Planilla_General_07-12-2012_8_3'!G216,"AAAAAF5+/04=")</f>
        <v>#VALUE!</v>
      </c>
      <c r="CB15" t="e">
        <f>AND('Planilla_General_07-12-2012_8_3'!H216,"AAAAAF5+/08=")</f>
        <v>#VALUE!</v>
      </c>
      <c r="CC15" t="e">
        <f>AND('Planilla_General_07-12-2012_8_3'!I216,"AAAAAF5+/1A=")</f>
        <v>#VALUE!</v>
      </c>
      <c r="CD15" t="e">
        <f>AND('Planilla_General_07-12-2012_8_3'!J216,"AAAAAF5+/1E=")</f>
        <v>#VALUE!</v>
      </c>
      <c r="CE15" t="e">
        <f>AND('Planilla_General_07-12-2012_8_3'!K216,"AAAAAF5+/1I=")</f>
        <v>#VALUE!</v>
      </c>
      <c r="CF15" t="e">
        <f>AND('Planilla_General_07-12-2012_8_3'!L216,"AAAAAF5+/1M=")</f>
        <v>#VALUE!</v>
      </c>
      <c r="CG15" t="e">
        <f>AND('Planilla_General_07-12-2012_8_3'!M216,"AAAAAF5+/1Q=")</f>
        <v>#VALUE!</v>
      </c>
      <c r="CH15" t="e">
        <f>AND('Planilla_General_07-12-2012_8_3'!N216,"AAAAAF5+/1U=")</f>
        <v>#VALUE!</v>
      </c>
      <c r="CI15" t="e">
        <f>AND('Planilla_General_07-12-2012_8_3'!O216,"AAAAAF5+/1Y=")</f>
        <v>#VALUE!</v>
      </c>
      <c r="CJ15" t="e">
        <f>AND('Planilla_General_07-12-2012_8_3'!P216,"AAAAAF5+/1c=")</f>
        <v>#VALUE!</v>
      </c>
      <c r="CK15">
        <f>IF('Planilla_General_07-12-2012_8_3'!217:217,"AAAAAF5+/1g=",0)</f>
        <v>0</v>
      </c>
      <c r="CL15" t="e">
        <f>AND('Planilla_General_07-12-2012_8_3'!A217,"AAAAAF5+/1k=")</f>
        <v>#VALUE!</v>
      </c>
      <c r="CM15" t="e">
        <f>AND('Planilla_General_07-12-2012_8_3'!B217,"AAAAAF5+/1o=")</f>
        <v>#VALUE!</v>
      </c>
      <c r="CN15" t="e">
        <f>AND('Planilla_General_07-12-2012_8_3'!C217,"AAAAAF5+/1s=")</f>
        <v>#VALUE!</v>
      </c>
      <c r="CO15" t="e">
        <f>AND('Planilla_General_07-12-2012_8_3'!D217,"AAAAAF5+/1w=")</f>
        <v>#VALUE!</v>
      </c>
      <c r="CP15" t="e">
        <f>AND('Planilla_General_07-12-2012_8_3'!E217,"AAAAAF5+/10=")</f>
        <v>#VALUE!</v>
      </c>
      <c r="CQ15" t="e">
        <f>AND('Planilla_General_07-12-2012_8_3'!F217,"AAAAAF5+/14=")</f>
        <v>#VALUE!</v>
      </c>
      <c r="CR15" t="e">
        <f>AND('Planilla_General_07-12-2012_8_3'!G217,"AAAAAF5+/18=")</f>
        <v>#VALUE!</v>
      </c>
      <c r="CS15" t="e">
        <f>AND('Planilla_General_07-12-2012_8_3'!H217,"AAAAAF5+/2A=")</f>
        <v>#VALUE!</v>
      </c>
      <c r="CT15" t="e">
        <f>AND('Planilla_General_07-12-2012_8_3'!I217,"AAAAAF5+/2E=")</f>
        <v>#VALUE!</v>
      </c>
      <c r="CU15" t="e">
        <f>AND('Planilla_General_07-12-2012_8_3'!J217,"AAAAAF5+/2I=")</f>
        <v>#VALUE!</v>
      </c>
      <c r="CV15" t="e">
        <f>AND('Planilla_General_07-12-2012_8_3'!K217,"AAAAAF5+/2M=")</f>
        <v>#VALUE!</v>
      </c>
      <c r="CW15" t="e">
        <f>AND('Planilla_General_07-12-2012_8_3'!L217,"AAAAAF5+/2Q=")</f>
        <v>#VALUE!</v>
      </c>
      <c r="CX15" t="e">
        <f>AND('Planilla_General_07-12-2012_8_3'!M217,"AAAAAF5+/2U=")</f>
        <v>#VALUE!</v>
      </c>
      <c r="CY15" t="e">
        <f>AND('Planilla_General_07-12-2012_8_3'!N217,"AAAAAF5+/2Y=")</f>
        <v>#VALUE!</v>
      </c>
      <c r="CZ15" t="e">
        <f>AND('Planilla_General_07-12-2012_8_3'!O217,"AAAAAF5+/2c=")</f>
        <v>#VALUE!</v>
      </c>
      <c r="DA15" t="e">
        <f>AND('Planilla_General_07-12-2012_8_3'!P217,"AAAAAF5+/2g=")</f>
        <v>#VALUE!</v>
      </c>
      <c r="DB15">
        <f>IF('Planilla_General_07-12-2012_8_3'!218:218,"AAAAAF5+/2k=",0)</f>
        <v>0</v>
      </c>
      <c r="DC15" t="e">
        <f>AND('Planilla_General_07-12-2012_8_3'!A218,"AAAAAF5+/2o=")</f>
        <v>#VALUE!</v>
      </c>
      <c r="DD15" t="e">
        <f>AND('Planilla_General_07-12-2012_8_3'!B218,"AAAAAF5+/2s=")</f>
        <v>#VALUE!</v>
      </c>
      <c r="DE15" t="e">
        <f>AND('Planilla_General_07-12-2012_8_3'!C218,"AAAAAF5+/2w=")</f>
        <v>#VALUE!</v>
      </c>
      <c r="DF15" t="e">
        <f>AND('Planilla_General_07-12-2012_8_3'!D218,"AAAAAF5+/20=")</f>
        <v>#VALUE!</v>
      </c>
      <c r="DG15" t="e">
        <f>AND('Planilla_General_07-12-2012_8_3'!E218,"AAAAAF5+/24=")</f>
        <v>#VALUE!</v>
      </c>
      <c r="DH15" t="e">
        <f>AND('Planilla_General_07-12-2012_8_3'!F218,"AAAAAF5+/28=")</f>
        <v>#VALUE!</v>
      </c>
      <c r="DI15" t="e">
        <f>AND('Planilla_General_07-12-2012_8_3'!G218,"AAAAAF5+/3A=")</f>
        <v>#VALUE!</v>
      </c>
      <c r="DJ15" t="e">
        <f>AND('Planilla_General_07-12-2012_8_3'!H218,"AAAAAF5+/3E=")</f>
        <v>#VALUE!</v>
      </c>
      <c r="DK15" t="e">
        <f>AND('Planilla_General_07-12-2012_8_3'!I218,"AAAAAF5+/3I=")</f>
        <v>#VALUE!</v>
      </c>
      <c r="DL15" t="e">
        <f>AND('Planilla_General_07-12-2012_8_3'!J218,"AAAAAF5+/3M=")</f>
        <v>#VALUE!</v>
      </c>
      <c r="DM15" t="e">
        <f>AND('Planilla_General_07-12-2012_8_3'!K218,"AAAAAF5+/3Q=")</f>
        <v>#VALUE!</v>
      </c>
      <c r="DN15" t="e">
        <f>AND('Planilla_General_07-12-2012_8_3'!L218,"AAAAAF5+/3U=")</f>
        <v>#VALUE!</v>
      </c>
      <c r="DO15" t="e">
        <f>AND('Planilla_General_07-12-2012_8_3'!M218,"AAAAAF5+/3Y=")</f>
        <v>#VALUE!</v>
      </c>
      <c r="DP15" t="e">
        <f>AND('Planilla_General_07-12-2012_8_3'!N218,"AAAAAF5+/3c=")</f>
        <v>#VALUE!</v>
      </c>
      <c r="DQ15" t="e">
        <f>AND('Planilla_General_07-12-2012_8_3'!O218,"AAAAAF5+/3g=")</f>
        <v>#VALUE!</v>
      </c>
      <c r="DR15" t="e">
        <f>AND('Planilla_General_07-12-2012_8_3'!P218,"AAAAAF5+/3k=")</f>
        <v>#VALUE!</v>
      </c>
      <c r="DS15">
        <f>IF('Planilla_General_07-12-2012_8_3'!219:219,"AAAAAF5+/3o=",0)</f>
        <v>0</v>
      </c>
      <c r="DT15" t="e">
        <f>AND('Planilla_General_07-12-2012_8_3'!A219,"AAAAAF5+/3s=")</f>
        <v>#VALUE!</v>
      </c>
      <c r="DU15" t="e">
        <f>AND('Planilla_General_07-12-2012_8_3'!B219,"AAAAAF5+/3w=")</f>
        <v>#VALUE!</v>
      </c>
      <c r="DV15" t="e">
        <f>AND('Planilla_General_07-12-2012_8_3'!C219,"AAAAAF5+/30=")</f>
        <v>#VALUE!</v>
      </c>
      <c r="DW15" t="e">
        <f>AND('Planilla_General_07-12-2012_8_3'!D219,"AAAAAF5+/34=")</f>
        <v>#VALUE!</v>
      </c>
      <c r="DX15" t="e">
        <f>AND('Planilla_General_07-12-2012_8_3'!E219,"AAAAAF5+/38=")</f>
        <v>#VALUE!</v>
      </c>
      <c r="DY15" t="e">
        <f>AND('Planilla_General_07-12-2012_8_3'!F219,"AAAAAF5+/4A=")</f>
        <v>#VALUE!</v>
      </c>
      <c r="DZ15" t="e">
        <f>AND('Planilla_General_07-12-2012_8_3'!G219,"AAAAAF5+/4E=")</f>
        <v>#VALUE!</v>
      </c>
      <c r="EA15" t="e">
        <f>AND('Planilla_General_07-12-2012_8_3'!H219,"AAAAAF5+/4I=")</f>
        <v>#VALUE!</v>
      </c>
      <c r="EB15" t="e">
        <f>AND('Planilla_General_07-12-2012_8_3'!I219,"AAAAAF5+/4M=")</f>
        <v>#VALUE!</v>
      </c>
      <c r="EC15" t="e">
        <f>AND('Planilla_General_07-12-2012_8_3'!J219,"AAAAAF5+/4Q=")</f>
        <v>#VALUE!</v>
      </c>
      <c r="ED15" t="e">
        <f>AND('Planilla_General_07-12-2012_8_3'!K219,"AAAAAF5+/4U=")</f>
        <v>#VALUE!</v>
      </c>
      <c r="EE15" t="e">
        <f>AND('Planilla_General_07-12-2012_8_3'!L219,"AAAAAF5+/4Y=")</f>
        <v>#VALUE!</v>
      </c>
      <c r="EF15" t="e">
        <f>AND('Planilla_General_07-12-2012_8_3'!M219,"AAAAAF5+/4c=")</f>
        <v>#VALUE!</v>
      </c>
      <c r="EG15" t="e">
        <f>AND('Planilla_General_07-12-2012_8_3'!N219,"AAAAAF5+/4g=")</f>
        <v>#VALUE!</v>
      </c>
      <c r="EH15" t="e">
        <f>AND('Planilla_General_07-12-2012_8_3'!O219,"AAAAAF5+/4k=")</f>
        <v>#VALUE!</v>
      </c>
      <c r="EI15" t="e">
        <f>AND('Planilla_General_07-12-2012_8_3'!P219,"AAAAAF5+/4o=")</f>
        <v>#VALUE!</v>
      </c>
      <c r="EJ15">
        <f>IF('Planilla_General_07-12-2012_8_3'!220:220,"AAAAAF5+/4s=",0)</f>
        <v>0</v>
      </c>
      <c r="EK15" t="e">
        <f>AND('Planilla_General_07-12-2012_8_3'!A220,"AAAAAF5+/4w=")</f>
        <v>#VALUE!</v>
      </c>
      <c r="EL15" t="e">
        <f>AND('Planilla_General_07-12-2012_8_3'!B220,"AAAAAF5+/40=")</f>
        <v>#VALUE!</v>
      </c>
      <c r="EM15" t="e">
        <f>AND('Planilla_General_07-12-2012_8_3'!C220,"AAAAAF5+/44=")</f>
        <v>#VALUE!</v>
      </c>
      <c r="EN15" t="e">
        <f>AND('Planilla_General_07-12-2012_8_3'!D220,"AAAAAF5+/48=")</f>
        <v>#VALUE!</v>
      </c>
      <c r="EO15" t="e">
        <f>AND('Planilla_General_07-12-2012_8_3'!E220,"AAAAAF5+/5A=")</f>
        <v>#VALUE!</v>
      </c>
      <c r="EP15" t="e">
        <f>AND('Planilla_General_07-12-2012_8_3'!F220,"AAAAAF5+/5E=")</f>
        <v>#VALUE!</v>
      </c>
      <c r="EQ15" t="e">
        <f>AND('Planilla_General_07-12-2012_8_3'!G220,"AAAAAF5+/5I=")</f>
        <v>#VALUE!</v>
      </c>
      <c r="ER15" t="e">
        <f>AND('Planilla_General_07-12-2012_8_3'!H220,"AAAAAF5+/5M=")</f>
        <v>#VALUE!</v>
      </c>
      <c r="ES15" t="e">
        <f>AND('Planilla_General_07-12-2012_8_3'!I220,"AAAAAF5+/5Q=")</f>
        <v>#VALUE!</v>
      </c>
      <c r="ET15" t="e">
        <f>AND('Planilla_General_07-12-2012_8_3'!J220,"AAAAAF5+/5U=")</f>
        <v>#VALUE!</v>
      </c>
      <c r="EU15" t="e">
        <f>AND('Planilla_General_07-12-2012_8_3'!K220,"AAAAAF5+/5Y=")</f>
        <v>#VALUE!</v>
      </c>
      <c r="EV15" t="e">
        <f>AND('Planilla_General_07-12-2012_8_3'!L220,"AAAAAF5+/5c=")</f>
        <v>#VALUE!</v>
      </c>
      <c r="EW15" t="e">
        <f>AND('Planilla_General_07-12-2012_8_3'!M220,"AAAAAF5+/5g=")</f>
        <v>#VALUE!</v>
      </c>
      <c r="EX15" t="e">
        <f>AND('Planilla_General_07-12-2012_8_3'!N220,"AAAAAF5+/5k=")</f>
        <v>#VALUE!</v>
      </c>
      <c r="EY15" t="e">
        <f>AND('Planilla_General_07-12-2012_8_3'!O220,"AAAAAF5+/5o=")</f>
        <v>#VALUE!</v>
      </c>
      <c r="EZ15" t="e">
        <f>AND('Planilla_General_07-12-2012_8_3'!P220,"AAAAAF5+/5s=")</f>
        <v>#VALUE!</v>
      </c>
      <c r="FA15">
        <f>IF('Planilla_General_07-12-2012_8_3'!221:221,"AAAAAF5+/5w=",0)</f>
        <v>0</v>
      </c>
      <c r="FB15" t="e">
        <f>AND('Planilla_General_07-12-2012_8_3'!A221,"AAAAAF5+/50=")</f>
        <v>#VALUE!</v>
      </c>
      <c r="FC15" t="e">
        <f>AND('Planilla_General_07-12-2012_8_3'!B221,"AAAAAF5+/54=")</f>
        <v>#VALUE!</v>
      </c>
      <c r="FD15" t="e">
        <f>AND('Planilla_General_07-12-2012_8_3'!C221,"AAAAAF5+/58=")</f>
        <v>#VALUE!</v>
      </c>
      <c r="FE15" t="e">
        <f>AND('Planilla_General_07-12-2012_8_3'!D221,"AAAAAF5+/6A=")</f>
        <v>#VALUE!</v>
      </c>
      <c r="FF15" t="e">
        <f>AND('Planilla_General_07-12-2012_8_3'!E221,"AAAAAF5+/6E=")</f>
        <v>#VALUE!</v>
      </c>
      <c r="FG15" t="e">
        <f>AND('Planilla_General_07-12-2012_8_3'!F221,"AAAAAF5+/6I=")</f>
        <v>#VALUE!</v>
      </c>
      <c r="FH15" t="e">
        <f>AND('Planilla_General_07-12-2012_8_3'!G221,"AAAAAF5+/6M=")</f>
        <v>#VALUE!</v>
      </c>
      <c r="FI15" t="e">
        <f>AND('Planilla_General_07-12-2012_8_3'!H221,"AAAAAF5+/6Q=")</f>
        <v>#VALUE!</v>
      </c>
      <c r="FJ15" t="e">
        <f>AND('Planilla_General_07-12-2012_8_3'!I221,"AAAAAF5+/6U=")</f>
        <v>#VALUE!</v>
      </c>
      <c r="FK15" t="e">
        <f>AND('Planilla_General_07-12-2012_8_3'!J221,"AAAAAF5+/6Y=")</f>
        <v>#VALUE!</v>
      </c>
      <c r="FL15" t="e">
        <f>AND('Planilla_General_07-12-2012_8_3'!K221,"AAAAAF5+/6c=")</f>
        <v>#VALUE!</v>
      </c>
      <c r="FM15" t="e">
        <f>AND('Planilla_General_07-12-2012_8_3'!L221,"AAAAAF5+/6g=")</f>
        <v>#VALUE!</v>
      </c>
      <c r="FN15" t="e">
        <f>AND('Planilla_General_07-12-2012_8_3'!M221,"AAAAAF5+/6k=")</f>
        <v>#VALUE!</v>
      </c>
      <c r="FO15" t="e">
        <f>AND('Planilla_General_07-12-2012_8_3'!N221,"AAAAAF5+/6o=")</f>
        <v>#VALUE!</v>
      </c>
      <c r="FP15" t="e">
        <f>AND('Planilla_General_07-12-2012_8_3'!O221,"AAAAAF5+/6s=")</f>
        <v>#VALUE!</v>
      </c>
      <c r="FQ15" t="e">
        <f>AND('Planilla_General_07-12-2012_8_3'!P221,"AAAAAF5+/6w=")</f>
        <v>#VALUE!</v>
      </c>
      <c r="FR15">
        <f>IF('Planilla_General_07-12-2012_8_3'!222:222,"AAAAAF5+/60=",0)</f>
        <v>0</v>
      </c>
      <c r="FS15" t="e">
        <f>AND('Planilla_General_07-12-2012_8_3'!A222,"AAAAAF5+/64=")</f>
        <v>#VALUE!</v>
      </c>
      <c r="FT15" t="e">
        <f>AND('Planilla_General_07-12-2012_8_3'!B222,"AAAAAF5+/68=")</f>
        <v>#VALUE!</v>
      </c>
      <c r="FU15" t="e">
        <f>AND('Planilla_General_07-12-2012_8_3'!C222,"AAAAAF5+/7A=")</f>
        <v>#VALUE!</v>
      </c>
      <c r="FV15" t="e">
        <f>AND('Planilla_General_07-12-2012_8_3'!D222,"AAAAAF5+/7E=")</f>
        <v>#VALUE!</v>
      </c>
      <c r="FW15" t="e">
        <f>AND('Planilla_General_07-12-2012_8_3'!E222,"AAAAAF5+/7I=")</f>
        <v>#VALUE!</v>
      </c>
      <c r="FX15" t="e">
        <f>AND('Planilla_General_07-12-2012_8_3'!F222,"AAAAAF5+/7M=")</f>
        <v>#VALUE!</v>
      </c>
      <c r="FY15" t="e">
        <f>AND('Planilla_General_07-12-2012_8_3'!G222,"AAAAAF5+/7Q=")</f>
        <v>#VALUE!</v>
      </c>
      <c r="FZ15" t="e">
        <f>AND('Planilla_General_07-12-2012_8_3'!H222,"AAAAAF5+/7U=")</f>
        <v>#VALUE!</v>
      </c>
      <c r="GA15" t="e">
        <f>AND('Planilla_General_07-12-2012_8_3'!I222,"AAAAAF5+/7Y=")</f>
        <v>#VALUE!</v>
      </c>
      <c r="GB15" t="e">
        <f>AND('Planilla_General_07-12-2012_8_3'!J222,"AAAAAF5+/7c=")</f>
        <v>#VALUE!</v>
      </c>
      <c r="GC15" t="e">
        <f>AND('Planilla_General_07-12-2012_8_3'!K222,"AAAAAF5+/7g=")</f>
        <v>#VALUE!</v>
      </c>
      <c r="GD15" t="e">
        <f>AND('Planilla_General_07-12-2012_8_3'!L222,"AAAAAF5+/7k=")</f>
        <v>#VALUE!</v>
      </c>
      <c r="GE15" t="e">
        <f>AND('Planilla_General_07-12-2012_8_3'!M222,"AAAAAF5+/7o=")</f>
        <v>#VALUE!</v>
      </c>
      <c r="GF15" t="e">
        <f>AND('Planilla_General_07-12-2012_8_3'!N222,"AAAAAF5+/7s=")</f>
        <v>#VALUE!</v>
      </c>
      <c r="GG15" t="e">
        <f>AND('Planilla_General_07-12-2012_8_3'!O222,"AAAAAF5+/7w=")</f>
        <v>#VALUE!</v>
      </c>
      <c r="GH15" t="e">
        <f>AND('Planilla_General_07-12-2012_8_3'!P222,"AAAAAF5+/70=")</f>
        <v>#VALUE!</v>
      </c>
      <c r="GI15">
        <f>IF('Planilla_General_07-12-2012_8_3'!223:223,"AAAAAF5+/74=",0)</f>
        <v>0</v>
      </c>
      <c r="GJ15" t="e">
        <f>AND('Planilla_General_07-12-2012_8_3'!A223,"AAAAAF5+/78=")</f>
        <v>#VALUE!</v>
      </c>
      <c r="GK15" t="e">
        <f>AND('Planilla_General_07-12-2012_8_3'!B223,"AAAAAF5+/8A=")</f>
        <v>#VALUE!</v>
      </c>
      <c r="GL15" t="e">
        <f>AND('Planilla_General_07-12-2012_8_3'!C223,"AAAAAF5+/8E=")</f>
        <v>#VALUE!</v>
      </c>
      <c r="GM15" t="e">
        <f>AND('Planilla_General_07-12-2012_8_3'!D223,"AAAAAF5+/8I=")</f>
        <v>#VALUE!</v>
      </c>
      <c r="GN15" t="e">
        <f>AND('Planilla_General_07-12-2012_8_3'!E223,"AAAAAF5+/8M=")</f>
        <v>#VALUE!</v>
      </c>
      <c r="GO15" t="e">
        <f>AND('Planilla_General_07-12-2012_8_3'!F223,"AAAAAF5+/8Q=")</f>
        <v>#VALUE!</v>
      </c>
      <c r="GP15" t="e">
        <f>AND('Planilla_General_07-12-2012_8_3'!G223,"AAAAAF5+/8U=")</f>
        <v>#VALUE!</v>
      </c>
      <c r="GQ15" t="e">
        <f>AND('Planilla_General_07-12-2012_8_3'!H223,"AAAAAF5+/8Y=")</f>
        <v>#VALUE!</v>
      </c>
      <c r="GR15" t="e">
        <f>AND('Planilla_General_07-12-2012_8_3'!I223,"AAAAAF5+/8c=")</f>
        <v>#VALUE!</v>
      </c>
      <c r="GS15" t="e">
        <f>AND('Planilla_General_07-12-2012_8_3'!J223,"AAAAAF5+/8g=")</f>
        <v>#VALUE!</v>
      </c>
      <c r="GT15" t="e">
        <f>AND('Planilla_General_07-12-2012_8_3'!K223,"AAAAAF5+/8k=")</f>
        <v>#VALUE!</v>
      </c>
      <c r="GU15" t="e">
        <f>AND('Planilla_General_07-12-2012_8_3'!L223,"AAAAAF5+/8o=")</f>
        <v>#VALUE!</v>
      </c>
      <c r="GV15" t="e">
        <f>AND('Planilla_General_07-12-2012_8_3'!M223,"AAAAAF5+/8s=")</f>
        <v>#VALUE!</v>
      </c>
      <c r="GW15" t="e">
        <f>AND('Planilla_General_07-12-2012_8_3'!N223,"AAAAAF5+/8w=")</f>
        <v>#VALUE!</v>
      </c>
      <c r="GX15" t="e">
        <f>AND('Planilla_General_07-12-2012_8_3'!O223,"AAAAAF5+/80=")</f>
        <v>#VALUE!</v>
      </c>
      <c r="GY15" t="e">
        <f>AND('Planilla_General_07-12-2012_8_3'!P223,"AAAAAF5+/84=")</f>
        <v>#VALUE!</v>
      </c>
      <c r="GZ15">
        <f>IF('Planilla_General_07-12-2012_8_3'!224:224,"AAAAAF5+/88=",0)</f>
        <v>0</v>
      </c>
      <c r="HA15" t="e">
        <f>AND('Planilla_General_07-12-2012_8_3'!A224,"AAAAAF5+/9A=")</f>
        <v>#VALUE!</v>
      </c>
      <c r="HB15" t="e">
        <f>AND('Planilla_General_07-12-2012_8_3'!B224,"AAAAAF5+/9E=")</f>
        <v>#VALUE!</v>
      </c>
      <c r="HC15" t="e">
        <f>AND('Planilla_General_07-12-2012_8_3'!C224,"AAAAAF5+/9I=")</f>
        <v>#VALUE!</v>
      </c>
      <c r="HD15" t="e">
        <f>AND('Planilla_General_07-12-2012_8_3'!D224,"AAAAAF5+/9M=")</f>
        <v>#VALUE!</v>
      </c>
      <c r="HE15" t="e">
        <f>AND('Planilla_General_07-12-2012_8_3'!E224,"AAAAAF5+/9Q=")</f>
        <v>#VALUE!</v>
      </c>
      <c r="HF15" t="e">
        <f>AND('Planilla_General_07-12-2012_8_3'!F224,"AAAAAF5+/9U=")</f>
        <v>#VALUE!</v>
      </c>
      <c r="HG15" t="e">
        <f>AND('Planilla_General_07-12-2012_8_3'!G224,"AAAAAF5+/9Y=")</f>
        <v>#VALUE!</v>
      </c>
      <c r="HH15" t="e">
        <f>AND('Planilla_General_07-12-2012_8_3'!H224,"AAAAAF5+/9c=")</f>
        <v>#VALUE!</v>
      </c>
      <c r="HI15" t="e">
        <f>AND('Planilla_General_07-12-2012_8_3'!I224,"AAAAAF5+/9g=")</f>
        <v>#VALUE!</v>
      </c>
      <c r="HJ15" t="e">
        <f>AND('Planilla_General_07-12-2012_8_3'!J224,"AAAAAF5+/9k=")</f>
        <v>#VALUE!</v>
      </c>
      <c r="HK15" t="e">
        <f>AND('Planilla_General_07-12-2012_8_3'!K224,"AAAAAF5+/9o=")</f>
        <v>#VALUE!</v>
      </c>
      <c r="HL15" t="e">
        <f>AND('Planilla_General_07-12-2012_8_3'!L224,"AAAAAF5+/9s=")</f>
        <v>#VALUE!</v>
      </c>
      <c r="HM15" t="e">
        <f>AND('Planilla_General_07-12-2012_8_3'!M224,"AAAAAF5+/9w=")</f>
        <v>#VALUE!</v>
      </c>
      <c r="HN15" t="e">
        <f>AND('Planilla_General_07-12-2012_8_3'!N224,"AAAAAF5+/90=")</f>
        <v>#VALUE!</v>
      </c>
      <c r="HO15" t="e">
        <f>AND('Planilla_General_07-12-2012_8_3'!O224,"AAAAAF5+/94=")</f>
        <v>#VALUE!</v>
      </c>
      <c r="HP15" t="e">
        <f>AND('Planilla_General_07-12-2012_8_3'!P224,"AAAAAF5+/98=")</f>
        <v>#VALUE!</v>
      </c>
      <c r="HQ15">
        <f>IF('Planilla_General_07-12-2012_8_3'!225:225,"AAAAAF5+/+A=",0)</f>
        <v>0</v>
      </c>
      <c r="HR15" t="e">
        <f>AND('Planilla_General_07-12-2012_8_3'!A225,"AAAAAF5+/+E=")</f>
        <v>#VALUE!</v>
      </c>
      <c r="HS15" t="e">
        <f>AND('Planilla_General_07-12-2012_8_3'!B225,"AAAAAF5+/+I=")</f>
        <v>#VALUE!</v>
      </c>
      <c r="HT15" t="e">
        <f>AND('Planilla_General_07-12-2012_8_3'!C225,"AAAAAF5+/+M=")</f>
        <v>#VALUE!</v>
      </c>
      <c r="HU15" t="e">
        <f>AND('Planilla_General_07-12-2012_8_3'!D225,"AAAAAF5+/+Q=")</f>
        <v>#VALUE!</v>
      </c>
      <c r="HV15" t="e">
        <f>AND('Planilla_General_07-12-2012_8_3'!E225,"AAAAAF5+/+U=")</f>
        <v>#VALUE!</v>
      </c>
      <c r="HW15" t="e">
        <f>AND('Planilla_General_07-12-2012_8_3'!F225,"AAAAAF5+/+Y=")</f>
        <v>#VALUE!</v>
      </c>
      <c r="HX15" t="e">
        <f>AND('Planilla_General_07-12-2012_8_3'!G225,"AAAAAF5+/+c=")</f>
        <v>#VALUE!</v>
      </c>
      <c r="HY15" t="e">
        <f>AND('Planilla_General_07-12-2012_8_3'!H225,"AAAAAF5+/+g=")</f>
        <v>#VALUE!</v>
      </c>
      <c r="HZ15" t="e">
        <f>AND('Planilla_General_07-12-2012_8_3'!I225,"AAAAAF5+/+k=")</f>
        <v>#VALUE!</v>
      </c>
      <c r="IA15" t="e">
        <f>AND('Planilla_General_07-12-2012_8_3'!J225,"AAAAAF5+/+o=")</f>
        <v>#VALUE!</v>
      </c>
      <c r="IB15" t="e">
        <f>AND('Planilla_General_07-12-2012_8_3'!K225,"AAAAAF5+/+s=")</f>
        <v>#VALUE!</v>
      </c>
      <c r="IC15" t="e">
        <f>AND('Planilla_General_07-12-2012_8_3'!L225,"AAAAAF5+/+w=")</f>
        <v>#VALUE!</v>
      </c>
      <c r="ID15" t="e">
        <f>AND('Planilla_General_07-12-2012_8_3'!M225,"AAAAAF5+/+0=")</f>
        <v>#VALUE!</v>
      </c>
      <c r="IE15" t="e">
        <f>AND('Planilla_General_07-12-2012_8_3'!N225,"AAAAAF5+/+4=")</f>
        <v>#VALUE!</v>
      </c>
      <c r="IF15" t="e">
        <f>AND('Planilla_General_07-12-2012_8_3'!O225,"AAAAAF5+/+8=")</f>
        <v>#VALUE!</v>
      </c>
      <c r="IG15" t="e">
        <f>AND('Planilla_General_07-12-2012_8_3'!P225,"AAAAAF5+//A=")</f>
        <v>#VALUE!</v>
      </c>
      <c r="IH15">
        <f>IF('Planilla_General_07-12-2012_8_3'!226:226,"AAAAAF5+//E=",0)</f>
        <v>0</v>
      </c>
      <c r="II15" t="e">
        <f>AND('Planilla_General_07-12-2012_8_3'!A226,"AAAAAF5+//I=")</f>
        <v>#VALUE!</v>
      </c>
      <c r="IJ15" t="e">
        <f>AND('Planilla_General_07-12-2012_8_3'!B226,"AAAAAF5+//M=")</f>
        <v>#VALUE!</v>
      </c>
      <c r="IK15" t="e">
        <f>AND('Planilla_General_07-12-2012_8_3'!C226,"AAAAAF5+//Q=")</f>
        <v>#VALUE!</v>
      </c>
      <c r="IL15" t="e">
        <f>AND('Planilla_General_07-12-2012_8_3'!D226,"AAAAAF5+//U=")</f>
        <v>#VALUE!</v>
      </c>
      <c r="IM15" t="e">
        <f>AND('Planilla_General_07-12-2012_8_3'!E226,"AAAAAF5+//Y=")</f>
        <v>#VALUE!</v>
      </c>
      <c r="IN15" t="e">
        <f>AND('Planilla_General_07-12-2012_8_3'!F226,"AAAAAF5+//c=")</f>
        <v>#VALUE!</v>
      </c>
      <c r="IO15" t="e">
        <f>AND('Planilla_General_07-12-2012_8_3'!G226,"AAAAAF5+//g=")</f>
        <v>#VALUE!</v>
      </c>
      <c r="IP15" t="e">
        <f>AND('Planilla_General_07-12-2012_8_3'!H226,"AAAAAF5+//k=")</f>
        <v>#VALUE!</v>
      </c>
      <c r="IQ15" t="e">
        <f>AND('Planilla_General_07-12-2012_8_3'!I226,"AAAAAF5+//o=")</f>
        <v>#VALUE!</v>
      </c>
      <c r="IR15" t="e">
        <f>AND('Planilla_General_07-12-2012_8_3'!J226,"AAAAAF5+//s=")</f>
        <v>#VALUE!</v>
      </c>
      <c r="IS15" t="e">
        <f>AND('Planilla_General_07-12-2012_8_3'!K226,"AAAAAF5+//w=")</f>
        <v>#VALUE!</v>
      </c>
      <c r="IT15" t="e">
        <f>AND('Planilla_General_07-12-2012_8_3'!L226,"AAAAAF5+//0=")</f>
        <v>#VALUE!</v>
      </c>
      <c r="IU15" t="e">
        <f>AND('Planilla_General_07-12-2012_8_3'!M226,"AAAAAF5+//4=")</f>
        <v>#VALUE!</v>
      </c>
      <c r="IV15" t="e">
        <f>AND('Planilla_General_07-12-2012_8_3'!N226,"AAAAAF5+//8=")</f>
        <v>#VALUE!</v>
      </c>
    </row>
    <row r="16" spans="1:256" x14ac:dyDescent="0.25">
      <c r="A16" t="e">
        <f>AND('Planilla_General_07-12-2012_8_3'!O226,"AAAAAHs/2QA=")</f>
        <v>#VALUE!</v>
      </c>
      <c r="B16" t="e">
        <f>AND('Planilla_General_07-12-2012_8_3'!P226,"AAAAAHs/2QE=")</f>
        <v>#VALUE!</v>
      </c>
      <c r="C16" t="str">
        <f>IF('Planilla_General_07-12-2012_8_3'!227:227,"AAAAAHs/2QI=",0)</f>
        <v>AAAAAHs/2QI=</v>
      </c>
      <c r="D16" t="e">
        <f>AND('Planilla_General_07-12-2012_8_3'!A227,"AAAAAHs/2QM=")</f>
        <v>#VALUE!</v>
      </c>
      <c r="E16" t="e">
        <f>AND('Planilla_General_07-12-2012_8_3'!B227,"AAAAAHs/2QQ=")</f>
        <v>#VALUE!</v>
      </c>
      <c r="F16" t="e">
        <f>AND('Planilla_General_07-12-2012_8_3'!C227,"AAAAAHs/2QU=")</f>
        <v>#VALUE!</v>
      </c>
      <c r="G16" t="e">
        <f>AND('Planilla_General_07-12-2012_8_3'!D227,"AAAAAHs/2QY=")</f>
        <v>#VALUE!</v>
      </c>
      <c r="H16" t="e">
        <f>AND('Planilla_General_07-12-2012_8_3'!E227,"AAAAAHs/2Qc=")</f>
        <v>#VALUE!</v>
      </c>
      <c r="I16" t="e">
        <f>AND('Planilla_General_07-12-2012_8_3'!F227,"AAAAAHs/2Qg=")</f>
        <v>#VALUE!</v>
      </c>
      <c r="J16" t="e">
        <f>AND('Planilla_General_07-12-2012_8_3'!G227,"AAAAAHs/2Qk=")</f>
        <v>#VALUE!</v>
      </c>
      <c r="K16" t="e">
        <f>AND('Planilla_General_07-12-2012_8_3'!H227,"AAAAAHs/2Qo=")</f>
        <v>#VALUE!</v>
      </c>
      <c r="L16" t="e">
        <f>AND('Planilla_General_07-12-2012_8_3'!I227,"AAAAAHs/2Qs=")</f>
        <v>#VALUE!</v>
      </c>
      <c r="M16" t="e">
        <f>AND('Planilla_General_07-12-2012_8_3'!J227,"AAAAAHs/2Qw=")</f>
        <v>#VALUE!</v>
      </c>
      <c r="N16" t="e">
        <f>AND('Planilla_General_07-12-2012_8_3'!K227,"AAAAAHs/2Q0=")</f>
        <v>#VALUE!</v>
      </c>
      <c r="O16" t="e">
        <f>AND('Planilla_General_07-12-2012_8_3'!L227,"AAAAAHs/2Q4=")</f>
        <v>#VALUE!</v>
      </c>
      <c r="P16" t="e">
        <f>AND('Planilla_General_07-12-2012_8_3'!M227,"AAAAAHs/2Q8=")</f>
        <v>#VALUE!</v>
      </c>
      <c r="Q16" t="e">
        <f>AND('Planilla_General_07-12-2012_8_3'!N227,"AAAAAHs/2RA=")</f>
        <v>#VALUE!</v>
      </c>
      <c r="R16" t="e">
        <f>AND('Planilla_General_07-12-2012_8_3'!O227,"AAAAAHs/2RE=")</f>
        <v>#VALUE!</v>
      </c>
      <c r="S16" t="e">
        <f>AND('Planilla_General_07-12-2012_8_3'!P227,"AAAAAHs/2RI=")</f>
        <v>#VALUE!</v>
      </c>
      <c r="T16">
        <f>IF('Planilla_General_07-12-2012_8_3'!228:228,"AAAAAHs/2RM=",0)</f>
        <v>0</v>
      </c>
      <c r="U16" t="e">
        <f>AND('Planilla_General_07-12-2012_8_3'!A228,"AAAAAHs/2RQ=")</f>
        <v>#VALUE!</v>
      </c>
      <c r="V16" t="e">
        <f>AND('Planilla_General_07-12-2012_8_3'!B228,"AAAAAHs/2RU=")</f>
        <v>#VALUE!</v>
      </c>
      <c r="W16" t="e">
        <f>AND('Planilla_General_07-12-2012_8_3'!C228,"AAAAAHs/2RY=")</f>
        <v>#VALUE!</v>
      </c>
      <c r="X16" t="e">
        <f>AND('Planilla_General_07-12-2012_8_3'!D228,"AAAAAHs/2Rc=")</f>
        <v>#VALUE!</v>
      </c>
      <c r="Y16" t="e">
        <f>AND('Planilla_General_07-12-2012_8_3'!E228,"AAAAAHs/2Rg=")</f>
        <v>#VALUE!</v>
      </c>
      <c r="Z16" t="e">
        <f>AND('Planilla_General_07-12-2012_8_3'!F228,"AAAAAHs/2Rk=")</f>
        <v>#VALUE!</v>
      </c>
      <c r="AA16" t="e">
        <f>AND('Planilla_General_07-12-2012_8_3'!G228,"AAAAAHs/2Ro=")</f>
        <v>#VALUE!</v>
      </c>
      <c r="AB16" t="e">
        <f>AND('Planilla_General_07-12-2012_8_3'!H228,"AAAAAHs/2Rs=")</f>
        <v>#VALUE!</v>
      </c>
      <c r="AC16" t="e">
        <f>AND('Planilla_General_07-12-2012_8_3'!I228,"AAAAAHs/2Rw=")</f>
        <v>#VALUE!</v>
      </c>
      <c r="AD16" t="e">
        <f>AND('Planilla_General_07-12-2012_8_3'!J228,"AAAAAHs/2R0=")</f>
        <v>#VALUE!</v>
      </c>
      <c r="AE16" t="e">
        <f>AND('Planilla_General_07-12-2012_8_3'!K228,"AAAAAHs/2R4=")</f>
        <v>#VALUE!</v>
      </c>
      <c r="AF16" t="e">
        <f>AND('Planilla_General_07-12-2012_8_3'!L228,"AAAAAHs/2R8=")</f>
        <v>#VALUE!</v>
      </c>
      <c r="AG16" t="e">
        <f>AND('Planilla_General_07-12-2012_8_3'!M228,"AAAAAHs/2SA=")</f>
        <v>#VALUE!</v>
      </c>
      <c r="AH16" t="e">
        <f>AND('Planilla_General_07-12-2012_8_3'!N228,"AAAAAHs/2SE=")</f>
        <v>#VALUE!</v>
      </c>
      <c r="AI16" t="e">
        <f>AND('Planilla_General_07-12-2012_8_3'!O228,"AAAAAHs/2SI=")</f>
        <v>#VALUE!</v>
      </c>
      <c r="AJ16" t="e">
        <f>AND('Planilla_General_07-12-2012_8_3'!P228,"AAAAAHs/2SM=")</f>
        <v>#VALUE!</v>
      </c>
      <c r="AK16">
        <f>IF('Planilla_General_07-12-2012_8_3'!229:229,"AAAAAHs/2SQ=",0)</f>
        <v>0</v>
      </c>
      <c r="AL16" t="e">
        <f>AND('Planilla_General_07-12-2012_8_3'!A229,"AAAAAHs/2SU=")</f>
        <v>#VALUE!</v>
      </c>
      <c r="AM16" t="e">
        <f>AND('Planilla_General_07-12-2012_8_3'!B229,"AAAAAHs/2SY=")</f>
        <v>#VALUE!</v>
      </c>
      <c r="AN16" t="e">
        <f>AND('Planilla_General_07-12-2012_8_3'!C229,"AAAAAHs/2Sc=")</f>
        <v>#VALUE!</v>
      </c>
      <c r="AO16" t="e">
        <f>AND('Planilla_General_07-12-2012_8_3'!D229,"AAAAAHs/2Sg=")</f>
        <v>#VALUE!</v>
      </c>
      <c r="AP16" t="e">
        <f>AND('Planilla_General_07-12-2012_8_3'!E229,"AAAAAHs/2Sk=")</f>
        <v>#VALUE!</v>
      </c>
      <c r="AQ16" t="e">
        <f>AND('Planilla_General_07-12-2012_8_3'!F229,"AAAAAHs/2So=")</f>
        <v>#VALUE!</v>
      </c>
      <c r="AR16" t="e">
        <f>AND('Planilla_General_07-12-2012_8_3'!G229,"AAAAAHs/2Ss=")</f>
        <v>#VALUE!</v>
      </c>
      <c r="AS16" t="e">
        <f>AND('Planilla_General_07-12-2012_8_3'!H229,"AAAAAHs/2Sw=")</f>
        <v>#VALUE!</v>
      </c>
      <c r="AT16" t="e">
        <f>AND('Planilla_General_07-12-2012_8_3'!I229,"AAAAAHs/2S0=")</f>
        <v>#VALUE!</v>
      </c>
      <c r="AU16" t="e">
        <f>AND('Planilla_General_07-12-2012_8_3'!J229,"AAAAAHs/2S4=")</f>
        <v>#VALUE!</v>
      </c>
      <c r="AV16" t="e">
        <f>AND('Planilla_General_07-12-2012_8_3'!K229,"AAAAAHs/2S8=")</f>
        <v>#VALUE!</v>
      </c>
      <c r="AW16" t="e">
        <f>AND('Planilla_General_07-12-2012_8_3'!L229,"AAAAAHs/2TA=")</f>
        <v>#VALUE!</v>
      </c>
      <c r="AX16" t="e">
        <f>AND('Planilla_General_07-12-2012_8_3'!M229,"AAAAAHs/2TE=")</f>
        <v>#VALUE!</v>
      </c>
      <c r="AY16" t="e">
        <f>AND('Planilla_General_07-12-2012_8_3'!N229,"AAAAAHs/2TI=")</f>
        <v>#VALUE!</v>
      </c>
      <c r="AZ16" t="e">
        <f>AND('Planilla_General_07-12-2012_8_3'!O229,"AAAAAHs/2TM=")</f>
        <v>#VALUE!</v>
      </c>
      <c r="BA16" t="e">
        <f>AND('Planilla_General_07-12-2012_8_3'!P229,"AAAAAHs/2TQ=")</f>
        <v>#VALUE!</v>
      </c>
      <c r="BB16">
        <f>IF('Planilla_General_07-12-2012_8_3'!230:230,"AAAAAHs/2TU=",0)</f>
        <v>0</v>
      </c>
      <c r="BC16" t="e">
        <f>AND('Planilla_General_07-12-2012_8_3'!A230,"AAAAAHs/2TY=")</f>
        <v>#VALUE!</v>
      </c>
      <c r="BD16" t="e">
        <f>AND('Planilla_General_07-12-2012_8_3'!B230,"AAAAAHs/2Tc=")</f>
        <v>#VALUE!</v>
      </c>
      <c r="BE16" t="e">
        <f>AND('Planilla_General_07-12-2012_8_3'!C230,"AAAAAHs/2Tg=")</f>
        <v>#VALUE!</v>
      </c>
      <c r="BF16" t="e">
        <f>AND('Planilla_General_07-12-2012_8_3'!D230,"AAAAAHs/2Tk=")</f>
        <v>#VALUE!</v>
      </c>
      <c r="BG16" t="e">
        <f>AND('Planilla_General_07-12-2012_8_3'!E230,"AAAAAHs/2To=")</f>
        <v>#VALUE!</v>
      </c>
      <c r="BH16" t="e">
        <f>AND('Planilla_General_07-12-2012_8_3'!F230,"AAAAAHs/2Ts=")</f>
        <v>#VALUE!</v>
      </c>
      <c r="BI16" t="e">
        <f>AND('Planilla_General_07-12-2012_8_3'!G230,"AAAAAHs/2Tw=")</f>
        <v>#VALUE!</v>
      </c>
      <c r="BJ16" t="e">
        <f>AND('Planilla_General_07-12-2012_8_3'!H230,"AAAAAHs/2T0=")</f>
        <v>#VALUE!</v>
      </c>
      <c r="BK16" t="e">
        <f>AND('Planilla_General_07-12-2012_8_3'!I230,"AAAAAHs/2T4=")</f>
        <v>#VALUE!</v>
      </c>
      <c r="BL16" t="e">
        <f>AND('Planilla_General_07-12-2012_8_3'!J230,"AAAAAHs/2T8=")</f>
        <v>#VALUE!</v>
      </c>
      <c r="BM16" t="e">
        <f>AND('Planilla_General_07-12-2012_8_3'!K230,"AAAAAHs/2UA=")</f>
        <v>#VALUE!</v>
      </c>
      <c r="BN16" t="e">
        <f>AND('Planilla_General_07-12-2012_8_3'!L230,"AAAAAHs/2UE=")</f>
        <v>#VALUE!</v>
      </c>
      <c r="BO16" t="e">
        <f>AND('Planilla_General_07-12-2012_8_3'!M230,"AAAAAHs/2UI=")</f>
        <v>#VALUE!</v>
      </c>
      <c r="BP16" t="e">
        <f>AND('Planilla_General_07-12-2012_8_3'!N230,"AAAAAHs/2UM=")</f>
        <v>#VALUE!</v>
      </c>
      <c r="BQ16" t="e">
        <f>AND('Planilla_General_07-12-2012_8_3'!O230,"AAAAAHs/2UQ=")</f>
        <v>#VALUE!</v>
      </c>
      <c r="BR16" t="e">
        <f>AND('Planilla_General_07-12-2012_8_3'!P230,"AAAAAHs/2UU=")</f>
        <v>#VALUE!</v>
      </c>
      <c r="BS16">
        <f>IF('Planilla_General_07-12-2012_8_3'!231:231,"AAAAAHs/2UY=",0)</f>
        <v>0</v>
      </c>
      <c r="BT16" t="e">
        <f>AND('Planilla_General_07-12-2012_8_3'!A231,"AAAAAHs/2Uc=")</f>
        <v>#VALUE!</v>
      </c>
      <c r="BU16" t="e">
        <f>AND('Planilla_General_07-12-2012_8_3'!B231,"AAAAAHs/2Ug=")</f>
        <v>#VALUE!</v>
      </c>
      <c r="BV16" t="e">
        <f>AND('Planilla_General_07-12-2012_8_3'!C231,"AAAAAHs/2Uk=")</f>
        <v>#VALUE!</v>
      </c>
      <c r="BW16" t="e">
        <f>AND('Planilla_General_07-12-2012_8_3'!D231,"AAAAAHs/2Uo=")</f>
        <v>#VALUE!</v>
      </c>
      <c r="BX16" t="e">
        <f>AND('Planilla_General_07-12-2012_8_3'!E231,"AAAAAHs/2Us=")</f>
        <v>#VALUE!</v>
      </c>
      <c r="BY16" t="e">
        <f>AND('Planilla_General_07-12-2012_8_3'!F231,"AAAAAHs/2Uw=")</f>
        <v>#VALUE!</v>
      </c>
      <c r="BZ16" t="e">
        <f>AND('Planilla_General_07-12-2012_8_3'!G231,"AAAAAHs/2U0=")</f>
        <v>#VALUE!</v>
      </c>
      <c r="CA16" t="e">
        <f>AND('Planilla_General_07-12-2012_8_3'!H231,"AAAAAHs/2U4=")</f>
        <v>#VALUE!</v>
      </c>
      <c r="CB16" t="e">
        <f>AND('Planilla_General_07-12-2012_8_3'!I231,"AAAAAHs/2U8=")</f>
        <v>#VALUE!</v>
      </c>
      <c r="CC16" t="e">
        <f>AND('Planilla_General_07-12-2012_8_3'!J231,"AAAAAHs/2VA=")</f>
        <v>#VALUE!</v>
      </c>
      <c r="CD16" t="e">
        <f>AND('Planilla_General_07-12-2012_8_3'!K231,"AAAAAHs/2VE=")</f>
        <v>#VALUE!</v>
      </c>
      <c r="CE16" t="e">
        <f>AND('Planilla_General_07-12-2012_8_3'!L231,"AAAAAHs/2VI=")</f>
        <v>#VALUE!</v>
      </c>
      <c r="CF16" t="e">
        <f>AND('Planilla_General_07-12-2012_8_3'!M231,"AAAAAHs/2VM=")</f>
        <v>#VALUE!</v>
      </c>
      <c r="CG16" t="e">
        <f>AND('Planilla_General_07-12-2012_8_3'!N231,"AAAAAHs/2VQ=")</f>
        <v>#VALUE!</v>
      </c>
      <c r="CH16" t="e">
        <f>AND('Planilla_General_07-12-2012_8_3'!O231,"AAAAAHs/2VU=")</f>
        <v>#VALUE!</v>
      </c>
      <c r="CI16" t="e">
        <f>AND('Planilla_General_07-12-2012_8_3'!P231,"AAAAAHs/2VY=")</f>
        <v>#VALUE!</v>
      </c>
      <c r="CJ16">
        <f>IF('Planilla_General_07-12-2012_8_3'!232:232,"AAAAAHs/2Vc=",0)</f>
        <v>0</v>
      </c>
      <c r="CK16" t="e">
        <f>AND('Planilla_General_07-12-2012_8_3'!A232,"AAAAAHs/2Vg=")</f>
        <v>#VALUE!</v>
      </c>
      <c r="CL16" t="e">
        <f>AND('Planilla_General_07-12-2012_8_3'!B232,"AAAAAHs/2Vk=")</f>
        <v>#VALUE!</v>
      </c>
      <c r="CM16" t="e">
        <f>AND('Planilla_General_07-12-2012_8_3'!C232,"AAAAAHs/2Vo=")</f>
        <v>#VALUE!</v>
      </c>
      <c r="CN16" t="e">
        <f>AND('Planilla_General_07-12-2012_8_3'!D232,"AAAAAHs/2Vs=")</f>
        <v>#VALUE!</v>
      </c>
      <c r="CO16" t="e">
        <f>AND('Planilla_General_07-12-2012_8_3'!E232,"AAAAAHs/2Vw=")</f>
        <v>#VALUE!</v>
      </c>
      <c r="CP16" t="e">
        <f>AND('Planilla_General_07-12-2012_8_3'!F232,"AAAAAHs/2V0=")</f>
        <v>#VALUE!</v>
      </c>
      <c r="CQ16" t="e">
        <f>AND('Planilla_General_07-12-2012_8_3'!G232,"AAAAAHs/2V4=")</f>
        <v>#VALUE!</v>
      </c>
      <c r="CR16" t="e">
        <f>AND('Planilla_General_07-12-2012_8_3'!H232,"AAAAAHs/2V8=")</f>
        <v>#VALUE!</v>
      </c>
      <c r="CS16" t="e">
        <f>AND('Planilla_General_07-12-2012_8_3'!I232,"AAAAAHs/2WA=")</f>
        <v>#VALUE!</v>
      </c>
      <c r="CT16" t="e">
        <f>AND('Planilla_General_07-12-2012_8_3'!J232,"AAAAAHs/2WE=")</f>
        <v>#VALUE!</v>
      </c>
      <c r="CU16" t="e">
        <f>AND('Planilla_General_07-12-2012_8_3'!K232,"AAAAAHs/2WI=")</f>
        <v>#VALUE!</v>
      </c>
      <c r="CV16" t="e">
        <f>AND('Planilla_General_07-12-2012_8_3'!L232,"AAAAAHs/2WM=")</f>
        <v>#VALUE!</v>
      </c>
      <c r="CW16" t="e">
        <f>AND('Planilla_General_07-12-2012_8_3'!M232,"AAAAAHs/2WQ=")</f>
        <v>#VALUE!</v>
      </c>
      <c r="CX16" t="e">
        <f>AND('Planilla_General_07-12-2012_8_3'!N232,"AAAAAHs/2WU=")</f>
        <v>#VALUE!</v>
      </c>
      <c r="CY16" t="e">
        <f>AND('Planilla_General_07-12-2012_8_3'!O232,"AAAAAHs/2WY=")</f>
        <v>#VALUE!</v>
      </c>
      <c r="CZ16" t="e">
        <f>AND('Planilla_General_07-12-2012_8_3'!P232,"AAAAAHs/2Wc=")</f>
        <v>#VALUE!</v>
      </c>
      <c r="DA16">
        <f>IF('Planilla_General_07-12-2012_8_3'!233:233,"AAAAAHs/2Wg=",0)</f>
        <v>0</v>
      </c>
      <c r="DB16" t="e">
        <f>AND('Planilla_General_07-12-2012_8_3'!A233,"AAAAAHs/2Wk=")</f>
        <v>#VALUE!</v>
      </c>
      <c r="DC16" t="e">
        <f>AND('Planilla_General_07-12-2012_8_3'!B233,"AAAAAHs/2Wo=")</f>
        <v>#VALUE!</v>
      </c>
      <c r="DD16" t="e">
        <f>AND('Planilla_General_07-12-2012_8_3'!C233,"AAAAAHs/2Ws=")</f>
        <v>#VALUE!</v>
      </c>
      <c r="DE16" t="e">
        <f>AND('Planilla_General_07-12-2012_8_3'!D233,"AAAAAHs/2Ww=")</f>
        <v>#VALUE!</v>
      </c>
      <c r="DF16" t="e">
        <f>AND('Planilla_General_07-12-2012_8_3'!E233,"AAAAAHs/2W0=")</f>
        <v>#VALUE!</v>
      </c>
      <c r="DG16" t="e">
        <f>AND('Planilla_General_07-12-2012_8_3'!F233,"AAAAAHs/2W4=")</f>
        <v>#VALUE!</v>
      </c>
      <c r="DH16" t="e">
        <f>AND('Planilla_General_07-12-2012_8_3'!G233,"AAAAAHs/2W8=")</f>
        <v>#VALUE!</v>
      </c>
      <c r="DI16" t="e">
        <f>AND('Planilla_General_07-12-2012_8_3'!H233,"AAAAAHs/2XA=")</f>
        <v>#VALUE!</v>
      </c>
      <c r="DJ16" t="e">
        <f>AND('Planilla_General_07-12-2012_8_3'!I233,"AAAAAHs/2XE=")</f>
        <v>#VALUE!</v>
      </c>
      <c r="DK16" t="e">
        <f>AND('Planilla_General_07-12-2012_8_3'!J233,"AAAAAHs/2XI=")</f>
        <v>#VALUE!</v>
      </c>
      <c r="DL16" t="e">
        <f>AND('Planilla_General_07-12-2012_8_3'!K233,"AAAAAHs/2XM=")</f>
        <v>#VALUE!</v>
      </c>
      <c r="DM16" t="e">
        <f>AND('Planilla_General_07-12-2012_8_3'!L233,"AAAAAHs/2XQ=")</f>
        <v>#VALUE!</v>
      </c>
      <c r="DN16" t="e">
        <f>AND('Planilla_General_07-12-2012_8_3'!M233,"AAAAAHs/2XU=")</f>
        <v>#VALUE!</v>
      </c>
      <c r="DO16" t="e">
        <f>AND('Planilla_General_07-12-2012_8_3'!N233,"AAAAAHs/2XY=")</f>
        <v>#VALUE!</v>
      </c>
      <c r="DP16" t="e">
        <f>AND('Planilla_General_07-12-2012_8_3'!O233,"AAAAAHs/2Xc=")</f>
        <v>#VALUE!</v>
      </c>
      <c r="DQ16" t="e">
        <f>AND('Planilla_General_07-12-2012_8_3'!P233,"AAAAAHs/2Xg=")</f>
        <v>#VALUE!</v>
      </c>
      <c r="DR16">
        <f>IF('Planilla_General_07-12-2012_8_3'!234:234,"AAAAAHs/2Xk=",0)</f>
        <v>0</v>
      </c>
      <c r="DS16" t="e">
        <f>AND('Planilla_General_07-12-2012_8_3'!A234,"AAAAAHs/2Xo=")</f>
        <v>#VALUE!</v>
      </c>
      <c r="DT16" t="e">
        <f>AND('Planilla_General_07-12-2012_8_3'!B234,"AAAAAHs/2Xs=")</f>
        <v>#VALUE!</v>
      </c>
      <c r="DU16" t="e">
        <f>AND('Planilla_General_07-12-2012_8_3'!C234,"AAAAAHs/2Xw=")</f>
        <v>#VALUE!</v>
      </c>
      <c r="DV16" t="e">
        <f>AND('Planilla_General_07-12-2012_8_3'!D234,"AAAAAHs/2X0=")</f>
        <v>#VALUE!</v>
      </c>
      <c r="DW16" t="e">
        <f>AND('Planilla_General_07-12-2012_8_3'!E234,"AAAAAHs/2X4=")</f>
        <v>#VALUE!</v>
      </c>
      <c r="DX16" t="e">
        <f>AND('Planilla_General_07-12-2012_8_3'!F234,"AAAAAHs/2X8=")</f>
        <v>#VALUE!</v>
      </c>
      <c r="DY16" t="e">
        <f>AND('Planilla_General_07-12-2012_8_3'!G234,"AAAAAHs/2YA=")</f>
        <v>#VALUE!</v>
      </c>
      <c r="DZ16" t="e">
        <f>AND('Planilla_General_07-12-2012_8_3'!H234,"AAAAAHs/2YE=")</f>
        <v>#VALUE!</v>
      </c>
      <c r="EA16" t="e">
        <f>AND('Planilla_General_07-12-2012_8_3'!I234,"AAAAAHs/2YI=")</f>
        <v>#VALUE!</v>
      </c>
      <c r="EB16" t="e">
        <f>AND('Planilla_General_07-12-2012_8_3'!J234,"AAAAAHs/2YM=")</f>
        <v>#VALUE!</v>
      </c>
      <c r="EC16" t="e">
        <f>AND('Planilla_General_07-12-2012_8_3'!K234,"AAAAAHs/2YQ=")</f>
        <v>#VALUE!</v>
      </c>
      <c r="ED16" t="e">
        <f>AND('Planilla_General_07-12-2012_8_3'!L234,"AAAAAHs/2YU=")</f>
        <v>#VALUE!</v>
      </c>
      <c r="EE16" t="e">
        <f>AND('Planilla_General_07-12-2012_8_3'!M234,"AAAAAHs/2YY=")</f>
        <v>#VALUE!</v>
      </c>
      <c r="EF16" t="e">
        <f>AND('Planilla_General_07-12-2012_8_3'!N234,"AAAAAHs/2Yc=")</f>
        <v>#VALUE!</v>
      </c>
      <c r="EG16" t="e">
        <f>AND('Planilla_General_07-12-2012_8_3'!O234,"AAAAAHs/2Yg=")</f>
        <v>#VALUE!</v>
      </c>
      <c r="EH16" t="e">
        <f>AND('Planilla_General_07-12-2012_8_3'!P234,"AAAAAHs/2Yk=")</f>
        <v>#VALUE!</v>
      </c>
      <c r="EI16">
        <f>IF('Planilla_General_07-12-2012_8_3'!235:235,"AAAAAHs/2Yo=",0)</f>
        <v>0</v>
      </c>
      <c r="EJ16" t="e">
        <f>AND('Planilla_General_07-12-2012_8_3'!A235,"AAAAAHs/2Ys=")</f>
        <v>#VALUE!</v>
      </c>
      <c r="EK16" t="e">
        <f>AND('Planilla_General_07-12-2012_8_3'!B235,"AAAAAHs/2Yw=")</f>
        <v>#VALUE!</v>
      </c>
      <c r="EL16" t="e">
        <f>AND('Planilla_General_07-12-2012_8_3'!C235,"AAAAAHs/2Y0=")</f>
        <v>#VALUE!</v>
      </c>
      <c r="EM16" t="e">
        <f>AND('Planilla_General_07-12-2012_8_3'!D235,"AAAAAHs/2Y4=")</f>
        <v>#VALUE!</v>
      </c>
      <c r="EN16" t="e">
        <f>AND('Planilla_General_07-12-2012_8_3'!E235,"AAAAAHs/2Y8=")</f>
        <v>#VALUE!</v>
      </c>
      <c r="EO16" t="e">
        <f>AND('Planilla_General_07-12-2012_8_3'!F235,"AAAAAHs/2ZA=")</f>
        <v>#VALUE!</v>
      </c>
      <c r="EP16" t="e">
        <f>AND('Planilla_General_07-12-2012_8_3'!G235,"AAAAAHs/2ZE=")</f>
        <v>#VALUE!</v>
      </c>
      <c r="EQ16" t="e">
        <f>AND('Planilla_General_07-12-2012_8_3'!H235,"AAAAAHs/2ZI=")</f>
        <v>#VALUE!</v>
      </c>
      <c r="ER16" t="e">
        <f>AND('Planilla_General_07-12-2012_8_3'!I235,"AAAAAHs/2ZM=")</f>
        <v>#VALUE!</v>
      </c>
      <c r="ES16" t="e">
        <f>AND('Planilla_General_07-12-2012_8_3'!J235,"AAAAAHs/2ZQ=")</f>
        <v>#VALUE!</v>
      </c>
      <c r="ET16" t="e">
        <f>AND('Planilla_General_07-12-2012_8_3'!K235,"AAAAAHs/2ZU=")</f>
        <v>#VALUE!</v>
      </c>
      <c r="EU16" t="e">
        <f>AND('Planilla_General_07-12-2012_8_3'!L235,"AAAAAHs/2ZY=")</f>
        <v>#VALUE!</v>
      </c>
      <c r="EV16" t="e">
        <f>AND('Planilla_General_07-12-2012_8_3'!M235,"AAAAAHs/2Zc=")</f>
        <v>#VALUE!</v>
      </c>
      <c r="EW16" t="e">
        <f>AND('Planilla_General_07-12-2012_8_3'!N235,"AAAAAHs/2Zg=")</f>
        <v>#VALUE!</v>
      </c>
      <c r="EX16" t="e">
        <f>AND('Planilla_General_07-12-2012_8_3'!O235,"AAAAAHs/2Zk=")</f>
        <v>#VALUE!</v>
      </c>
      <c r="EY16" t="e">
        <f>AND('Planilla_General_07-12-2012_8_3'!P235,"AAAAAHs/2Zo=")</f>
        <v>#VALUE!</v>
      </c>
      <c r="EZ16">
        <f>IF('Planilla_General_07-12-2012_8_3'!236:236,"AAAAAHs/2Zs=",0)</f>
        <v>0</v>
      </c>
      <c r="FA16" t="e">
        <f>AND('Planilla_General_07-12-2012_8_3'!A236,"AAAAAHs/2Zw=")</f>
        <v>#VALUE!</v>
      </c>
      <c r="FB16" t="e">
        <f>AND('Planilla_General_07-12-2012_8_3'!B236,"AAAAAHs/2Z0=")</f>
        <v>#VALUE!</v>
      </c>
      <c r="FC16" t="e">
        <f>AND('Planilla_General_07-12-2012_8_3'!C236,"AAAAAHs/2Z4=")</f>
        <v>#VALUE!</v>
      </c>
      <c r="FD16" t="e">
        <f>AND('Planilla_General_07-12-2012_8_3'!D236,"AAAAAHs/2Z8=")</f>
        <v>#VALUE!</v>
      </c>
      <c r="FE16" t="e">
        <f>AND('Planilla_General_07-12-2012_8_3'!E236,"AAAAAHs/2aA=")</f>
        <v>#VALUE!</v>
      </c>
      <c r="FF16" t="e">
        <f>AND('Planilla_General_07-12-2012_8_3'!F236,"AAAAAHs/2aE=")</f>
        <v>#VALUE!</v>
      </c>
      <c r="FG16" t="e">
        <f>AND('Planilla_General_07-12-2012_8_3'!G236,"AAAAAHs/2aI=")</f>
        <v>#VALUE!</v>
      </c>
      <c r="FH16" t="e">
        <f>AND('Planilla_General_07-12-2012_8_3'!H236,"AAAAAHs/2aM=")</f>
        <v>#VALUE!</v>
      </c>
      <c r="FI16" t="e">
        <f>AND('Planilla_General_07-12-2012_8_3'!I236,"AAAAAHs/2aQ=")</f>
        <v>#VALUE!</v>
      </c>
      <c r="FJ16" t="e">
        <f>AND('Planilla_General_07-12-2012_8_3'!J236,"AAAAAHs/2aU=")</f>
        <v>#VALUE!</v>
      </c>
      <c r="FK16" t="e">
        <f>AND('Planilla_General_07-12-2012_8_3'!K236,"AAAAAHs/2aY=")</f>
        <v>#VALUE!</v>
      </c>
      <c r="FL16" t="e">
        <f>AND('Planilla_General_07-12-2012_8_3'!L236,"AAAAAHs/2ac=")</f>
        <v>#VALUE!</v>
      </c>
      <c r="FM16" t="e">
        <f>AND('Planilla_General_07-12-2012_8_3'!M236,"AAAAAHs/2ag=")</f>
        <v>#VALUE!</v>
      </c>
      <c r="FN16" t="e">
        <f>AND('Planilla_General_07-12-2012_8_3'!N236,"AAAAAHs/2ak=")</f>
        <v>#VALUE!</v>
      </c>
      <c r="FO16" t="e">
        <f>AND('Planilla_General_07-12-2012_8_3'!O236,"AAAAAHs/2ao=")</f>
        <v>#VALUE!</v>
      </c>
      <c r="FP16" t="e">
        <f>AND('Planilla_General_07-12-2012_8_3'!P236,"AAAAAHs/2as=")</f>
        <v>#VALUE!</v>
      </c>
      <c r="FQ16">
        <f>IF('Planilla_General_07-12-2012_8_3'!237:237,"AAAAAHs/2aw=",0)</f>
        <v>0</v>
      </c>
      <c r="FR16" t="e">
        <f>AND('Planilla_General_07-12-2012_8_3'!A237,"AAAAAHs/2a0=")</f>
        <v>#VALUE!</v>
      </c>
      <c r="FS16" t="e">
        <f>AND('Planilla_General_07-12-2012_8_3'!B237,"AAAAAHs/2a4=")</f>
        <v>#VALUE!</v>
      </c>
      <c r="FT16" t="e">
        <f>AND('Planilla_General_07-12-2012_8_3'!C237,"AAAAAHs/2a8=")</f>
        <v>#VALUE!</v>
      </c>
      <c r="FU16" t="e">
        <f>AND('Planilla_General_07-12-2012_8_3'!D237,"AAAAAHs/2bA=")</f>
        <v>#VALUE!</v>
      </c>
      <c r="FV16" t="e">
        <f>AND('Planilla_General_07-12-2012_8_3'!E237,"AAAAAHs/2bE=")</f>
        <v>#VALUE!</v>
      </c>
      <c r="FW16" t="e">
        <f>AND('Planilla_General_07-12-2012_8_3'!F237,"AAAAAHs/2bI=")</f>
        <v>#VALUE!</v>
      </c>
      <c r="FX16" t="e">
        <f>AND('Planilla_General_07-12-2012_8_3'!G237,"AAAAAHs/2bM=")</f>
        <v>#VALUE!</v>
      </c>
      <c r="FY16" t="e">
        <f>AND('Planilla_General_07-12-2012_8_3'!H237,"AAAAAHs/2bQ=")</f>
        <v>#VALUE!</v>
      </c>
      <c r="FZ16" t="e">
        <f>AND('Planilla_General_07-12-2012_8_3'!I237,"AAAAAHs/2bU=")</f>
        <v>#VALUE!</v>
      </c>
      <c r="GA16" t="e">
        <f>AND('Planilla_General_07-12-2012_8_3'!J237,"AAAAAHs/2bY=")</f>
        <v>#VALUE!</v>
      </c>
      <c r="GB16" t="e">
        <f>AND('Planilla_General_07-12-2012_8_3'!K237,"AAAAAHs/2bc=")</f>
        <v>#VALUE!</v>
      </c>
      <c r="GC16" t="e">
        <f>AND('Planilla_General_07-12-2012_8_3'!L237,"AAAAAHs/2bg=")</f>
        <v>#VALUE!</v>
      </c>
      <c r="GD16" t="e">
        <f>AND('Planilla_General_07-12-2012_8_3'!M237,"AAAAAHs/2bk=")</f>
        <v>#VALUE!</v>
      </c>
      <c r="GE16" t="e">
        <f>AND('Planilla_General_07-12-2012_8_3'!N237,"AAAAAHs/2bo=")</f>
        <v>#VALUE!</v>
      </c>
      <c r="GF16" t="e">
        <f>AND('Planilla_General_07-12-2012_8_3'!O237,"AAAAAHs/2bs=")</f>
        <v>#VALUE!</v>
      </c>
      <c r="GG16" t="e">
        <f>AND('Planilla_General_07-12-2012_8_3'!P237,"AAAAAHs/2bw=")</f>
        <v>#VALUE!</v>
      </c>
      <c r="GH16">
        <f>IF('Planilla_General_07-12-2012_8_3'!238:238,"AAAAAHs/2b0=",0)</f>
        <v>0</v>
      </c>
      <c r="GI16" t="e">
        <f>AND('Planilla_General_07-12-2012_8_3'!A238,"AAAAAHs/2b4=")</f>
        <v>#VALUE!</v>
      </c>
      <c r="GJ16" t="e">
        <f>AND('Planilla_General_07-12-2012_8_3'!B238,"AAAAAHs/2b8=")</f>
        <v>#VALUE!</v>
      </c>
      <c r="GK16" t="e">
        <f>AND('Planilla_General_07-12-2012_8_3'!C238,"AAAAAHs/2cA=")</f>
        <v>#VALUE!</v>
      </c>
      <c r="GL16" t="e">
        <f>AND('Planilla_General_07-12-2012_8_3'!D238,"AAAAAHs/2cE=")</f>
        <v>#VALUE!</v>
      </c>
      <c r="GM16" t="e">
        <f>AND('Planilla_General_07-12-2012_8_3'!E238,"AAAAAHs/2cI=")</f>
        <v>#VALUE!</v>
      </c>
      <c r="GN16" t="e">
        <f>AND('Planilla_General_07-12-2012_8_3'!F238,"AAAAAHs/2cM=")</f>
        <v>#VALUE!</v>
      </c>
      <c r="GO16" t="e">
        <f>AND('Planilla_General_07-12-2012_8_3'!G238,"AAAAAHs/2cQ=")</f>
        <v>#VALUE!</v>
      </c>
      <c r="GP16" t="e">
        <f>AND('Planilla_General_07-12-2012_8_3'!H238,"AAAAAHs/2cU=")</f>
        <v>#VALUE!</v>
      </c>
      <c r="GQ16" t="e">
        <f>AND('Planilla_General_07-12-2012_8_3'!I238,"AAAAAHs/2cY=")</f>
        <v>#VALUE!</v>
      </c>
      <c r="GR16" t="e">
        <f>AND('Planilla_General_07-12-2012_8_3'!J238,"AAAAAHs/2cc=")</f>
        <v>#VALUE!</v>
      </c>
      <c r="GS16" t="e">
        <f>AND('Planilla_General_07-12-2012_8_3'!K238,"AAAAAHs/2cg=")</f>
        <v>#VALUE!</v>
      </c>
      <c r="GT16" t="e">
        <f>AND('Planilla_General_07-12-2012_8_3'!L238,"AAAAAHs/2ck=")</f>
        <v>#VALUE!</v>
      </c>
      <c r="GU16" t="e">
        <f>AND('Planilla_General_07-12-2012_8_3'!M238,"AAAAAHs/2co=")</f>
        <v>#VALUE!</v>
      </c>
      <c r="GV16" t="e">
        <f>AND('Planilla_General_07-12-2012_8_3'!N238,"AAAAAHs/2cs=")</f>
        <v>#VALUE!</v>
      </c>
      <c r="GW16" t="e">
        <f>AND('Planilla_General_07-12-2012_8_3'!O238,"AAAAAHs/2cw=")</f>
        <v>#VALUE!</v>
      </c>
      <c r="GX16" t="e">
        <f>AND('Planilla_General_07-12-2012_8_3'!P238,"AAAAAHs/2c0=")</f>
        <v>#VALUE!</v>
      </c>
      <c r="GY16">
        <f>IF('Planilla_General_07-12-2012_8_3'!239:239,"AAAAAHs/2c4=",0)</f>
        <v>0</v>
      </c>
      <c r="GZ16" t="e">
        <f>AND('Planilla_General_07-12-2012_8_3'!A239,"AAAAAHs/2c8=")</f>
        <v>#VALUE!</v>
      </c>
      <c r="HA16" t="e">
        <f>AND('Planilla_General_07-12-2012_8_3'!B239,"AAAAAHs/2dA=")</f>
        <v>#VALUE!</v>
      </c>
      <c r="HB16" t="e">
        <f>AND('Planilla_General_07-12-2012_8_3'!C239,"AAAAAHs/2dE=")</f>
        <v>#VALUE!</v>
      </c>
      <c r="HC16" t="e">
        <f>AND('Planilla_General_07-12-2012_8_3'!D239,"AAAAAHs/2dI=")</f>
        <v>#VALUE!</v>
      </c>
      <c r="HD16" t="e">
        <f>AND('Planilla_General_07-12-2012_8_3'!E239,"AAAAAHs/2dM=")</f>
        <v>#VALUE!</v>
      </c>
      <c r="HE16" t="e">
        <f>AND('Planilla_General_07-12-2012_8_3'!F239,"AAAAAHs/2dQ=")</f>
        <v>#VALUE!</v>
      </c>
      <c r="HF16" t="e">
        <f>AND('Planilla_General_07-12-2012_8_3'!G239,"AAAAAHs/2dU=")</f>
        <v>#VALUE!</v>
      </c>
      <c r="HG16" t="e">
        <f>AND('Planilla_General_07-12-2012_8_3'!H239,"AAAAAHs/2dY=")</f>
        <v>#VALUE!</v>
      </c>
      <c r="HH16" t="e">
        <f>AND('Planilla_General_07-12-2012_8_3'!I239,"AAAAAHs/2dc=")</f>
        <v>#VALUE!</v>
      </c>
      <c r="HI16" t="e">
        <f>AND('Planilla_General_07-12-2012_8_3'!J239,"AAAAAHs/2dg=")</f>
        <v>#VALUE!</v>
      </c>
      <c r="HJ16" t="e">
        <f>AND('Planilla_General_07-12-2012_8_3'!K239,"AAAAAHs/2dk=")</f>
        <v>#VALUE!</v>
      </c>
      <c r="HK16" t="e">
        <f>AND('Planilla_General_07-12-2012_8_3'!L239,"AAAAAHs/2do=")</f>
        <v>#VALUE!</v>
      </c>
      <c r="HL16" t="e">
        <f>AND('Planilla_General_07-12-2012_8_3'!M239,"AAAAAHs/2ds=")</f>
        <v>#VALUE!</v>
      </c>
      <c r="HM16" t="e">
        <f>AND('Planilla_General_07-12-2012_8_3'!N239,"AAAAAHs/2dw=")</f>
        <v>#VALUE!</v>
      </c>
      <c r="HN16" t="e">
        <f>AND('Planilla_General_07-12-2012_8_3'!O239,"AAAAAHs/2d0=")</f>
        <v>#VALUE!</v>
      </c>
      <c r="HO16" t="e">
        <f>AND('Planilla_General_07-12-2012_8_3'!P239,"AAAAAHs/2d4=")</f>
        <v>#VALUE!</v>
      </c>
      <c r="HP16">
        <f>IF('Planilla_General_07-12-2012_8_3'!240:240,"AAAAAHs/2d8=",0)</f>
        <v>0</v>
      </c>
      <c r="HQ16" t="e">
        <f>AND('Planilla_General_07-12-2012_8_3'!A240,"AAAAAHs/2eA=")</f>
        <v>#VALUE!</v>
      </c>
      <c r="HR16" t="e">
        <f>AND('Planilla_General_07-12-2012_8_3'!B240,"AAAAAHs/2eE=")</f>
        <v>#VALUE!</v>
      </c>
      <c r="HS16" t="e">
        <f>AND('Planilla_General_07-12-2012_8_3'!C240,"AAAAAHs/2eI=")</f>
        <v>#VALUE!</v>
      </c>
      <c r="HT16" t="e">
        <f>AND('Planilla_General_07-12-2012_8_3'!D240,"AAAAAHs/2eM=")</f>
        <v>#VALUE!</v>
      </c>
      <c r="HU16" t="e">
        <f>AND('Planilla_General_07-12-2012_8_3'!E240,"AAAAAHs/2eQ=")</f>
        <v>#VALUE!</v>
      </c>
      <c r="HV16" t="e">
        <f>AND('Planilla_General_07-12-2012_8_3'!F240,"AAAAAHs/2eU=")</f>
        <v>#VALUE!</v>
      </c>
      <c r="HW16" t="e">
        <f>AND('Planilla_General_07-12-2012_8_3'!G240,"AAAAAHs/2eY=")</f>
        <v>#VALUE!</v>
      </c>
      <c r="HX16" t="e">
        <f>AND('Planilla_General_07-12-2012_8_3'!H240,"AAAAAHs/2ec=")</f>
        <v>#VALUE!</v>
      </c>
      <c r="HY16" t="e">
        <f>AND('Planilla_General_07-12-2012_8_3'!I240,"AAAAAHs/2eg=")</f>
        <v>#VALUE!</v>
      </c>
      <c r="HZ16" t="e">
        <f>AND('Planilla_General_07-12-2012_8_3'!J240,"AAAAAHs/2ek=")</f>
        <v>#VALUE!</v>
      </c>
      <c r="IA16" t="e">
        <f>AND('Planilla_General_07-12-2012_8_3'!K240,"AAAAAHs/2eo=")</f>
        <v>#VALUE!</v>
      </c>
      <c r="IB16" t="e">
        <f>AND('Planilla_General_07-12-2012_8_3'!L240,"AAAAAHs/2es=")</f>
        <v>#VALUE!</v>
      </c>
      <c r="IC16" t="e">
        <f>AND('Planilla_General_07-12-2012_8_3'!M240,"AAAAAHs/2ew=")</f>
        <v>#VALUE!</v>
      </c>
      <c r="ID16" t="e">
        <f>AND('Planilla_General_07-12-2012_8_3'!N240,"AAAAAHs/2e0=")</f>
        <v>#VALUE!</v>
      </c>
      <c r="IE16" t="e">
        <f>AND('Planilla_General_07-12-2012_8_3'!O240,"AAAAAHs/2e4=")</f>
        <v>#VALUE!</v>
      </c>
      <c r="IF16" t="e">
        <f>AND('Planilla_General_07-12-2012_8_3'!P240,"AAAAAHs/2e8=")</f>
        <v>#VALUE!</v>
      </c>
      <c r="IG16">
        <f>IF('Planilla_General_07-12-2012_8_3'!241:241,"AAAAAHs/2fA=",0)</f>
        <v>0</v>
      </c>
      <c r="IH16" t="e">
        <f>AND('Planilla_General_07-12-2012_8_3'!A241,"AAAAAHs/2fE=")</f>
        <v>#VALUE!</v>
      </c>
      <c r="II16" t="e">
        <f>AND('Planilla_General_07-12-2012_8_3'!B241,"AAAAAHs/2fI=")</f>
        <v>#VALUE!</v>
      </c>
      <c r="IJ16" t="e">
        <f>AND('Planilla_General_07-12-2012_8_3'!C241,"AAAAAHs/2fM=")</f>
        <v>#VALUE!</v>
      </c>
      <c r="IK16" t="e">
        <f>AND('Planilla_General_07-12-2012_8_3'!D241,"AAAAAHs/2fQ=")</f>
        <v>#VALUE!</v>
      </c>
      <c r="IL16" t="e">
        <f>AND('Planilla_General_07-12-2012_8_3'!E241,"AAAAAHs/2fU=")</f>
        <v>#VALUE!</v>
      </c>
      <c r="IM16" t="e">
        <f>AND('Planilla_General_07-12-2012_8_3'!F241,"AAAAAHs/2fY=")</f>
        <v>#VALUE!</v>
      </c>
      <c r="IN16" t="e">
        <f>AND('Planilla_General_07-12-2012_8_3'!G241,"AAAAAHs/2fc=")</f>
        <v>#VALUE!</v>
      </c>
      <c r="IO16" t="e">
        <f>AND('Planilla_General_07-12-2012_8_3'!H241,"AAAAAHs/2fg=")</f>
        <v>#VALUE!</v>
      </c>
      <c r="IP16" t="e">
        <f>AND('Planilla_General_07-12-2012_8_3'!I241,"AAAAAHs/2fk=")</f>
        <v>#VALUE!</v>
      </c>
      <c r="IQ16" t="e">
        <f>AND('Planilla_General_07-12-2012_8_3'!J241,"AAAAAHs/2fo=")</f>
        <v>#VALUE!</v>
      </c>
      <c r="IR16" t="e">
        <f>AND('Planilla_General_07-12-2012_8_3'!K241,"AAAAAHs/2fs=")</f>
        <v>#VALUE!</v>
      </c>
      <c r="IS16" t="e">
        <f>AND('Planilla_General_07-12-2012_8_3'!L241,"AAAAAHs/2fw=")</f>
        <v>#VALUE!</v>
      </c>
      <c r="IT16" t="e">
        <f>AND('Planilla_General_07-12-2012_8_3'!M241,"AAAAAHs/2f0=")</f>
        <v>#VALUE!</v>
      </c>
      <c r="IU16" t="e">
        <f>AND('Planilla_General_07-12-2012_8_3'!N241,"AAAAAHs/2f4=")</f>
        <v>#VALUE!</v>
      </c>
      <c r="IV16" t="e">
        <f>AND('Planilla_General_07-12-2012_8_3'!O241,"AAAAAHs/2f8=")</f>
        <v>#VALUE!</v>
      </c>
    </row>
    <row r="17" spans="1:256" x14ac:dyDescent="0.25">
      <c r="A17" t="e">
        <f>AND('Planilla_General_07-12-2012_8_3'!P241,"AAAAAFfp+gA=")</f>
        <v>#VALUE!</v>
      </c>
      <c r="B17" t="e">
        <f>IF('Planilla_General_07-12-2012_8_3'!242:242,"AAAAAFfp+gE=",0)</f>
        <v>#VALUE!</v>
      </c>
      <c r="C17" t="e">
        <f>AND('Planilla_General_07-12-2012_8_3'!A242,"AAAAAFfp+gI=")</f>
        <v>#VALUE!</v>
      </c>
      <c r="D17" t="e">
        <f>AND('Planilla_General_07-12-2012_8_3'!B242,"AAAAAFfp+gM=")</f>
        <v>#VALUE!</v>
      </c>
      <c r="E17" t="e">
        <f>AND('Planilla_General_07-12-2012_8_3'!C242,"AAAAAFfp+gQ=")</f>
        <v>#VALUE!</v>
      </c>
      <c r="F17" t="e">
        <f>AND('Planilla_General_07-12-2012_8_3'!D242,"AAAAAFfp+gU=")</f>
        <v>#VALUE!</v>
      </c>
      <c r="G17" t="e">
        <f>AND('Planilla_General_07-12-2012_8_3'!E242,"AAAAAFfp+gY=")</f>
        <v>#VALUE!</v>
      </c>
      <c r="H17" t="e">
        <f>AND('Planilla_General_07-12-2012_8_3'!F242,"AAAAAFfp+gc=")</f>
        <v>#VALUE!</v>
      </c>
      <c r="I17" t="e">
        <f>AND('Planilla_General_07-12-2012_8_3'!G242,"AAAAAFfp+gg=")</f>
        <v>#VALUE!</v>
      </c>
      <c r="J17" t="e">
        <f>AND('Planilla_General_07-12-2012_8_3'!H242,"AAAAAFfp+gk=")</f>
        <v>#VALUE!</v>
      </c>
      <c r="K17" t="e">
        <f>AND('Planilla_General_07-12-2012_8_3'!I242,"AAAAAFfp+go=")</f>
        <v>#VALUE!</v>
      </c>
      <c r="L17" t="e">
        <f>AND('Planilla_General_07-12-2012_8_3'!J242,"AAAAAFfp+gs=")</f>
        <v>#VALUE!</v>
      </c>
      <c r="M17" t="e">
        <f>AND('Planilla_General_07-12-2012_8_3'!K242,"AAAAAFfp+gw=")</f>
        <v>#VALUE!</v>
      </c>
      <c r="N17" t="e">
        <f>AND('Planilla_General_07-12-2012_8_3'!L242,"AAAAAFfp+g0=")</f>
        <v>#VALUE!</v>
      </c>
      <c r="O17" t="e">
        <f>AND('Planilla_General_07-12-2012_8_3'!M242,"AAAAAFfp+g4=")</f>
        <v>#VALUE!</v>
      </c>
      <c r="P17" t="e">
        <f>AND('Planilla_General_07-12-2012_8_3'!N242,"AAAAAFfp+g8=")</f>
        <v>#VALUE!</v>
      </c>
      <c r="Q17" t="e">
        <f>AND('Planilla_General_07-12-2012_8_3'!O242,"AAAAAFfp+hA=")</f>
        <v>#VALUE!</v>
      </c>
      <c r="R17" t="e">
        <f>AND('Planilla_General_07-12-2012_8_3'!P242,"AAAAAFfp+hE=")</f>
        <v>#VALUE!</v>
      </c>
      <c r="S17">
        <f>IF('Planilla_General_07-12-2012_8_3'!243:243,"AAAAAFfp+hI=",0)</f>
        <v>0</v>
      </c>
      <c r="T17" t="e">
        <f>AND('Planilla_General_07-12-2012_8_3'!A243,"AAAAAFfp+hM=")</f>
        <v>#VALUE!</v>
      </c>
      <c r="U17" t="e">
        <f>AND('Planilla_General_07-12-2012_8_3'!B243,"AAAAAFfp+hQ=")</f>
        <v>#VALUE!</v>
      </c>
      <c r="V17" t="e">
        <f>AND('Planilla_General_07-12-2012_8_3'!C243,"AAAAAFfp+hU=")</f>
        <v>#VALUE!</v>
      </c>
      <c r="W17" t="e">
        <f>AND('Planilla_General_07-12-2012_8_3'!D243,"AAAAAFfp+hY=")</f>
        <v>#VALUE!</v>
      </c>
      <c r="X17" t="e">
        <f>AND('Planilla_General_07-12-2012_8_3'!E243,"AAAAAFfp+hc=")</f>
        <v>#VALUE!</v>
      </c>
      <c r="Y17" t="e">
        <f>AND('Planilla_General_07-12-2012_8_3'!F243,"AAAAAFfp+hg=")</f>
        <v>#VALUE!</v>
      </c>
      <c r="Z17" t="e">
        <f>AND('Planilla_General_07-12-2012_8_3'!G243,"AAAAAFfp+hk=")</f>
        <v>#VALUE!</v>
      </c>
      <c r="AA17" t="e">
        <f>AND('Planilla_General_07-12-2012_8_3'!H243,"AAAAAFfp+ho=")</f>
        <v>#VALUE!</v>
      </c>
      <c r="AB17" t="e">
        <f>AND('Planilla_General_07-12-2012_8_3'!I243,"AAAAAFfp+hs=")</f>
        <v>#VALUE!</v>
      </c>
      <c r="AC17" t="e">
        <f>AND('Planilla_General_07-12-2012_8_3'!J243,"AAAAAFfp+hw=")</f>
        <v>#VALUE!</v>
      </c>
      <c r="AD17" t="e">
        <f>AND('Planilla_General_07-12-2012_8_3'!K243,"AAAAAFfp+h0=")</f>
        <v>#VALUE!</v>
      </c>
      <c r="AE17" t="e">
        <f>AND('Planilla_General_07-12-2012_8_3'!L243,"AAAAAFfp+h4=")</f>
        <v>#VALUE!</v>
      </c>
      <c r="AF17" t="e">
        <f>AND('Planilla_General_07-12-2012_8_3'!M243,"AAAAAFfp+h8=")</f>
        <v>#VALUE!</v>
      </c>
      <c r="AG17" t="e">
        <f>AND('Planilla_General_07-12-2012_8_3'!N243,"AAAAAFfp+iA=")</f>
        <v>#VALUE!</v>
      </c>
      <c r="AH17" t="e">
        <f>AND('Planilla_General_07-12-2012_8_3'!O243,"AAAAAFfp+iE=")</f>
        <v>#VALUE!</v>
      </c>
      <c r="AI17" t="e">
        <f>AND('Planilla_General_07-12-2012_8_3'!P243,"AAAAAFfp+iI=")</f>
        <v>#VALUE!</v>
      </c>
      <c r="AJ17">
        <f>IF('Planilla_General_07-12-2012_8_3'!244:244,"AAAAAFfp+iM=",0)</f>
        <v>0</v>
      </c>
      <c r="AK17" t="e">
        <f>AND('Planilla_General_07-12-2012_8_3'!A244,"AAAAAFfp+iQ=")</f>
        <v>#VALUE!</v>
      </c>
      <c r="AL17" t="e">
        <f>AND('Planilla_General_07-12-2012_8_3'!B244,"AAAAAFfp+iU=")</f>
        <v>#VALUE!</v>
      </c>
      <c r="AM17" t="e">
        <f>AND('Planilla_General_07-12-2012_8_3'!C244,"AAAAAFfp+iY=")</f>
        <v>#VALUE!</v>
      </c>
      <c r="AN17" t="e">
        <f>AND('Planilla_General_07-12-2012_8_3'!D244,"AAAAAFfp+ic=")</f>
        <v>#VALUE!</v>
      </c>
      <c r="AO17" t="e">
        <f>AND('Planilla_General_07-12-2012_8_3'!E244,"AAAAAFfp+ig=")</f>
        <v>#VALUE!</v>
      </c>
      <c r="AP17" t="e">
        <f>AND('Planilla_General_07-12-2012_8_3'!F244,"AAAAAFfp+ik=")</f>
        <v>#VALUE!</v>
      </c>
      <c r="AQ17" t="e">
        <f>AND('Planilla_General_07-12-2012_8_3'!G244,"AAAAAFfp+io=")</f>
        <v>#VALUE!</v>
      </c>
      <c r="AR17" t="e">
        <f>AND('Planilla_General_07-12-2012_8_3'!H244,"AAAAAFfp+is=")</f>
        <v>#VALUE!</v>
      </c>
      <c r="AS17" t="e">
        <f>AND('Planilla_General_07-12-2012_8_3'!I244,"AAAAAFfp+iw=")</f>
        <v>#VALUE!</v>
      </c>
      <c r="AT17" t="e">
        <f>AND('Planilla_General_07-12-2012_8_3'!J244,"AAAAAFfp+i0=")</f>
        <v>#VALUE!</v>
      </c>
      <c r="AU17" t="e">
        <f>AND('Planilla_General_07-12-2012_8_3'!K244,"AAAAAFfp+i4=")</f>
        <v>#VALUE!</v>
      </c>
      <c r="AV17" t="e">
        <f>AND('Planilla_General_07-12-2012_8_3'!L244,"AAAAAFfp+i8=")</f>
        <v>#VALUE!</v>
      </c>
      <c r="AW17" t="e">
        <f>AND('Planilla_General_07-12-2012_8_3'!M244,"AAAAAFfp+jA=")</f>
        <v>#VALUE!</v>
      </c>
      <c r="AX17" t="e">
        <f>AND('Planilla_General_07-12-2012_8_3'!N244,"AAAAAFfp+jE=")</f>
        <v>#VALUE!</v>
      </c>
      <c r="AY17" t="e">
        <f>AND('Planilla_General_07-12-2012_8_3'!O244,"AAAAAFfp+jI=")</f>
        <v>#VALUE!</v>
      </c>
      <c r="AZ17" t="e">
        <f>AND('Planilla_General_07-12-2012_8_3'!P244,"AAAAAFfp+jM=")</f>
        <v>#VALUE!</v>
      </c>
      <c r="BA17">
        <f>IF('Planilla_General_07-12-2012_8_3'!245:245,"AAAAAFfp+jQ=",0)</f>
        <v>0</v>
      </c>
      <c r="BB17" t="e">
        <f>AND('Planilla_General_07-12-2012_8_3'!A245,"AAAAAFfp+jU=")</f>
        <v>#VALUE!</v>
      </c>
      <c r="BC17" t="e">
        <f>AND('Planilla_General_07-12-2012_8_3'!B245,"AAAAAFfp+jY=")</f>
        <v>#VALUE!</v>
      </c>
      <c r="BD17" t="e">
        <f>AND('Planilla_General_07-12-2012_8_3'!C245,"AAAAAFfp+jc=")</f>
        <v>#VALUE!</v>
      </c>
      <c r="BE17" t="e">
        <f>AND('Planilla_General_07-12-2012_8_3'!D245,"AAAAAFfp+jg=")</f>
        <v>#VALUE!</v>
      </c>
      <c r="BF17" t="e">
        <f>AND('Planilla_General_07-12-2012_8_3'!E245,"AAAAAFfp+jk=")</f>
        <v>#VALUE!</v>
      </c>
      <c r="BG17" t="e">
        <f>AND('Planilla_General_07-12-2012_8_3'!F245,"AAAAAFfp+jo=")</f>
        <v>#VALUE!</v>
      </c>
      <c r="BH17" t="e">
        <f>AND('Planilla_General_07-12-2012_8_3'!G245,"AAAAAFfp+js=")</f>
        <v>#VALUE!</v>
      </c>
      <c r="BI17" t="e">
        <f>AND('Planilla_General_07-12-2012_8_3'!H245,"AAAAAFfp+jw=")</f>
        <v>#VALUE!</v>
      </c>
      <c r="BJ17" t="e">
        <f>AND('Planilla_General_07-12-2012_8_3'!I245,"AAAAAFfp+j0=")</f>
        <v>#VALUE!</v>
      </c>
      <c r="BK17" t="e">
        <f>AND('Planilla_General_07-12-2012_8_3'!J245,"AAAAAFfp+j4=")</f>
        <v>#VALUE!</v>
      </c>
      <c r="BL17" t="e">
        <f>AND('Planilla_General_07-12-2012_8_3'!K245,"AAAAAFfp+j8=")</f>
        <v>#VALUE!</v>
      </c>
      <c r="BM17" t="e">
        <f>AND('Planilla_General_07-12-2012_8_3'!L245,"AAAAAFfp+kA=")</f>
        <v>#VALUE!</v>
      </c>
      <c r="BN17" t="e">
        <f>AND('Planilla_General_07-12-2012_8_3'!M245,"AAAAAFfp+kE=")</f>
        <v>#VALUE!</v>
      </c>
      <c r="BO17" t="e">
        <f>AND('Planilla_General_07-12-2012_8_3'!N245,"AAAAAFfp+kI=")</f>
        <v>#VALUE!</v>
      </c>
      <c r="BP17" t="e">
        <f>AND('Planilla_General_07-12-2012_8_3'!O245,"AAAAAFfp+kM=")</f>
        <v>#VALUE!</v>
      </c>
      <c r="BQ17" t="e">
        <f>AND('Planilla_General_07-12-2012_8_3'!P245,"AAAAAFfp+kQ=")</f>
        <v>#VALUE!</v>
      </c>
      <c r="BR17">
        <f>IF('Planilla_General_07-12-2012_8_3'!246:246,"AAAAAFfp+kU=",0)</f>
        <v>0</v>
      </c>
      <c r="BS17" t="e">
        <f>AND('Planilla_General_07-12-2012_8_3'!A246,"AAAAAFfp+kY=")</f>
        <v>#VALUE!</v>
      </c>
      <c r="BT17" t="e">
        <f>AND('Planilla_General_07-12-2012_8_3'!B246,"AAAAAFfp+kc=")</f>
        <v>#VALUE!</v>
      </c>
      <c r="BU17" t="e">
        <f>AND('Planilla_General_07-12-2012_8_3'!C246,"AAAAAFfp+kg=")</f>
        <v>#VALUE!</v>
      </c>
      <c r="BV17" t="e">
        <f>AND('Planilla_General_07-12-2012_8_3'!D246,"AAAAAFfp+kk=")</f>
        <v>#VALUE!</v>
      </c>
      <c r="BW17" t="e">
        <f>AND('Planilla_General_07-12-2012_8_3'!E246,"AAAAAFfp+ko=")</f>
        <v>#VALUE!</v>
      </c>
      <c r="BX17" t="e">
        <f>AND('Planilla_General_07-12-2012_8_3'!F246,"AAAAAFfp+ks=")</f>
        <v>#VALUE!</v>
      </c>
      <c r="BY17" t="e">
        <f>AND('Planilla_General_07-12-2012_8_3'!G246,"AAAAAFfp+kw=")</f>
        <v>#VALUE!</v>
      </c>
      <c r="BZ17" t="e">
        <f>AND('Planilla_General_07-12-2012_8_3'!H246,"AAAAAFfp+k0=")</f>
        <v>#VALUE!</v>
      </c>
      <c r="CA17" t="e">
        <f>AND('Planilla_General_07-12-2012_8_3'!I246,"AAAAAFfp+k4=")</f>
        <v>#VALUE!</v>
      </c>
      <c r="CB17" t="e">
        <f>AND('Planilla_General_07-12-2012_8_3'!J246,"AAAAAFfp+k8=")</f>
        <v>#VALUE!</v>
      </c>
      <c r="CC17" t="e">
        <f>AND('Planilla_General_07-12-2012_8_3'!K246,"AAAAAFfp+lA=")</f>
        <v>#VALUE!</v>
      </c>
      <c r="CD17" t="e">
        <f>AND('Planilla_General_07-12-2012_8_3'!L246,"AAAAAFfp+lE=")</f>
        <v>#VALUE!</v>
      </c>
      <c r="CE17" t="e">
        <f>AND('Planilla_General_07-12-2012_8_3'!M246,"AAAAAFfp+lI=")</f>
        <v>#VALUE!</v>
      </c>
      <c r="CF17" t="e">
        <f>AND('Planilla_General_07-12-2012_8_3'!N246,"AAAAAFfp+lM=")</f>
        <v>#VALUE!</v>
      </c>
      <c r="CG17" t="e">
        <f>AND('Planilla_General_07-12-2012_8_3'!O246,"AAAAAFfp+lQ=")</f>
        <v>#VALUE!</v>
      </c>
      <c r="CH17" t="e">
        <f>AND('Planilla_General_07-12-2012_8_3'!P246,"AAAAAFfp+lU=")</f>
        <v>#VALUE!</v>
      </c>
      <c r="CI17">
        <f>IF('Planilla_General_07-12-2012_8_3'!247:247,"AAAAAFfp+lY=",0)</f>
        <v>0</v>
      </c>
      <c r="CJ17" t="e">
        <f>AND('Planilla_General_07-12-2012_8_3'!A247,"AAAAAFfp+lc=")</f>
        <v>#VALUE!</v>
      </c>
      <c r="CK17" t="e">
        <f>AND('Planilla_General_07-12-2012_8_3'!B247,"AAAAAFfp+lg=")</f>
        <v>#VALUE!</v>
      </c>
      <c r="CL17" t="e">
        <f>AND('Planilla_General_07-12-2012_8_3'!C247,"AAAAAFfp+lk=")</f>
        <v>#VALUE!</v>
      </c>
      <c r="CM17" t="e">
        <f>AND('Planilla_General_07-12-2012_8_3'!D247,"AAAAAFfp+lo=")</f>
        <v>#VALUE!</v>
      </c>
      <c r="CN17" t="e">
        <f>AND('Planilla_General_07-12-2012_8_3'!E247,"AAAAAFfp+ls=")</f>
        <v>#VALUE!</v>
      </c>
      <c r="CO17" t="e">
        <f>AND('Planilla_General_07-12-2012_8_3'!F247,"AAAAAFfp+lw=")</f>
        <v>#VALUE!</v>
      </c>
      <c r="CP17" t="e">
        <f>AND('Planilla_General_07-12-2012_8_3'!G247,"AAAAAFfp+l0=")</f>
        <v>#VALUE!</v>
      </c>
      <c r="CQ17" t="e">
        <f>AND('Planilla_General_07-12-2012_8_3'!H247,"AAAAAFfp+l4=")</f>
        <v>#VALUE!</v>
      </c>
      <c r="CR17" t="e">
        <f>AND('Planilla_General_07-12-2012_8_3'!I247,"AAAAAFfp+l8=")</f>
        <v>#VALUE!</v>
      </c>
      <c r="CS17" t="e">
        <f>AND('Planilla_General_07-12-2012_8_3'!J247,"AAAAAFfp+mA=")</f>
        <v>#VALUE!</v>
      </c>
      <c r="CT17" t="e">
        <f>AND('Planilla_General_07-12-2012_8_3'!K247,"AAAAAFfp+mE=")</f>
        <v>#VALUE!</v>
      </c>
      <c r="CU17" t="e">
        <f>AND('Planilla_General_07-12-2012_8_3'!L247,"AAAAAFfp+mI=")</f>
        <v>#VALUE!</v>
      </c>
      <c r="CV17" t="e">
        <f>AND('Planilla_General_07-12-2012_8_3'!M247,"AAAAAFfp+mM=")</f>
        <v>#VALUE!</v>
      </c>
      <c r="CW17" t="e">
        <f>AND('Planilla_General_07-12-2012_8_3'!N247,"AAAAAFfp+mQ=")</f>
        <v>#VALUE!</v>
      </c>
      <c r="CX17" t="e">
        <f>AND('Planilla_General_07-12-2012_8_3'!O247,"AAAAAFfp+mU=")</f>
        <v>#VALUE!</v>
      </c>
      <c r="CY17" t="e">
        <f>AND('Planilla_General_07-12-2012_8_3'!P247,"AAAAAFfp+mY=")</f>
        <v>#VALUE!</v>
      </c>
      <c r="CZ17">
        <f>IF('Planilla_General_07-12-2012_8_3'!248:248,"AAAAAFfp+mc=",0)</f>
        <v>0</v>
      </c>
      <c r="DA17" t="e">
        <f>AND('Planilla_General_07-12-2012_8_3'!A248,"AAAAAFfp+mg=")</f>
        <v>#VALUE!</v>
      </c>
      <c r="DB17" t="e">
        <f>AND('Planilla_General_07-12-2012_8_3'!B248,"AAAAAFfp+mk=")</f>
        <v>#VALUE!</v>
      </c>
      <c r="DC17" t="e">
        <f>AND('Planilla_General_07-12-2012_8_3'!C248,"AAAAAFfp+mo=")</f>
        <v>#VALUE!</v>
      </c>
      <c r="DD17" t="e">
        <f>AND('Planilla_General_07-12-2012_8_3'!D248,"AAAAAFfp+ms=")</f>
        <v>#VALUE!</v>
      </c>
      <c r="DE17" t="e">
        <f>AND('Planilla_General_07-12-2012_8_3'!E248,"AAAAAFfp+mw=")</f>
        <v>#VALUE!</v>
      </c>
      <c r="DF17" t="e">
        <f>AND('Planilla_General_07-12-2012_8_3'!F248,"AAAAAFfp+m0=")</f>
        <v>#VALUE!</v>
      </c>
      <c r="DG17" t="e">
        <f>AND('Planilla_General_07-12-2012_8_3'!G248,"AAAAAFfp+m4=")</f>
        <v>#VALUE!</v>
      </c>
      <c r="DH17" t="e">
        <f>AND('Planilla_General_07-12-2012_8_3'!H248,"AAAAAFfp+m8=")</f>
        <v>#VALUE!</v>
      </c>
      <c r="DI17" t="e">
        <f>AND('Planilla_General_07-12-2012_8_3'!I248,"AAAAAFfp+nA=")</f>
        <v>#VALUE!</v>
      </c>
      <c r="DJ17" t="e">
        <f>AND('Planilla_General_07-12-2012_8_3'!J248,"AAAAAFfp+nE=")</f>
        <v>#VALUE!</v>
      </c>
      <c r="DK17" t="e">
        <f>AND('Planilla_General_07-12-2012_8_3'!K248,"AAAAAFfp+nI=")</f>
        <v>#VALUE!</v>
      </c>
      <c r="DL17" t="e">
        <f>AND('Planilla_General_07-12-2012_8_3'!L248,"AAAAAFfp+nM=")</f>
        <v>#VALUE!</v>
      </c>
      <c r="DM17" t="e">
        <f>AND('Planilla_General_07-12-2012_8_3'!M248,"AAAAAFfp+nQ=")</f>
        <v>#VALUE!</v>
      </c>
      <c r="DN17" t="e">
        <f>AND('Planilla_General_07-12-2012_8_3'!N248,"AAAAAFfp+nU=")</f>
        <v>#VALUE!</v>
      </c>
      <c r="DO17" t="e">
        <f>AND('Planilla_General_07-12-2012_8_3'!O248,"AAAAAFfp+nY=")</f>
        <v>#VALUE!</v>
      </c>
      <c r="DP17" t="e">
        <f>AND('Planilla_General_07-12-2012_8_3'!P248,"AAAAAFfp+nc=")</f>
        <v>#VALUE!</v>
      </c>
      <c r="DQ17">
        <f>IF('Planilla_General_07-12-2012_8_3'!249:249,"AAAAAFfp+ng=",0)</f>
        <v>0</v>
      </c>
      <c r="DR17" t="e">
        <f>AND('Planilla_General_07-12-2012_8_3'!A249,"AAAAAFfp+nk=")</f>
        <v>#VALUE!</v>
      </c>
      <c r="DS17" t="e">
        <f>AND('Planilla_General_07-12-2012_8_3'!B249,"AAAAAFfp+no=")</f>
        <v>#VALUE!</v>
      </c>
      <c r="DT17" t="e">
        <f>AND('Planilla_General_07-12-2012_8_3'!C249,"AAAAAFfp+ns=")</f>
        <v>#VALUE!</v>
      </c>
      <c r="DU17" t="e">
        <f>AND('Planilla_General_07-12-2012_8_3'!D249,"AAAAAFfp+nw=")</f>
        <v>#VALUE!</v>
      </c>
      <c r="DV17" t="e">
        <f>AND('Planilla_General_07-12-2012_8_3'!E249,"AAAAAFfp+n0=")</f>
        <v>#VALUE!</v>
      </c>
      <c r="DW17" t="e">
        <f>AND('Planilla_General_07-12-2012_8_3'!F249,"AAAAAFfp+n4=")</f>
        <v>#VALUE!</v>
      </c>
      <c r="DX17" t="e">
        <f>AND('Planilla_General_07-12-2012_8_3'!G249,"AAAAAFfp+n8=")</f>
        <v>#VALUE!</v>
      </c>
      <c r="DY17" t="e">
        <f>AND('Planilla_General_07-12-2012_8_3'!H249,"AAAAAFfp+oA=")</f>
        <v>#VALUE!</v>
      </c>
      <c r="DZ17" t="e">
        <f>AND('Planilla_General_07-12-2012_8_3'!I249,"AAAAAFfp+oE=")</f>
        <v>#VALUE!</v>
      </c>
      <c r="EA17" t="e">
        <f>AND('Planilla_General_07-12-2012_8_3'!J249,"AAAAAFfp+oI=")</f>
        <v>#VALUE!</v>
      </c>
      <c r="EB17" t="e">
        <f>AND('Planilla_General_07-12-2012_8_3'!K249,"AAAAAFfp+oM=")</f>
        <v>#VALUE!</v>
      </c>
      <c r="EC17" t="e">
        <f>AND('Planilla_General_07-12-2012_8_3'!L249,"AAAAAFfp+oQ=")</f>
        <v>#VALUE!</v>
      </c>
      <c r="ED17" t="e">
        <f>AND('Planilla_General_07-12-2012_8_3'!M249,"AAAAAFfp+oU=")</f>
        <v>#VALUE!</v>
      </c>
      <c r="EE17" t="e">
        <f>AND('Planilla_General_07-12-2012_8_3'!N249,"AAAAAFfp+oY=")</f>
        <v>#VALUE!</v>
      </c>
      <c r="EF17" t="e">
        <f>AND('Planilla_General_07-12-2012_8_3'!O249,"AAAAAFfp+oc=")</f>
        <v>#VALUE!</v>
      </c>
      <c r="EG17" t="e">
        <f>AND('Planilla_General_07-12-2012_8_3'!P249,"AAAAAFfp+og=")</f>
        <v>#VALUE!</v>
      </c>
      <c r="EH17">
        <f>IF('Planilla_General_07-12-2012_8_3'!250:250,"AAAAAFfp+ok=",0)</f>
        <v>0</v>
      </c>
      <c r="EI17" t="e">
        <f>AND('Planilla_General_07-12-2012_8_3'!A250,"AAAAAFfp+oo=")</f>
        <v>#VALUE!</v>
      </c>
      <c r="EJ17" t="e">
        <f>AND('Planilla_General_07-12-2012_8_3'!B250,"AAAAAFfp+os=")</f>
        <v>#VALUE!</v>
      </c>
      <c r="EK17" t="e">
        <f>AND('Planilla_General_07-12-2012_8_3'!C250,"AAAAAFfp+ow=")</f>
        <v>#VALUE!</v>
      </c>
      <c r="EL17" t="e">
        <f>AND('Planilla_General_07-12-2012_8_3'!D250,"AAAAAFfp+o0=")</f>
        <v>#VALUE!</v>
      </c>
      <c r="EM17" t="e">
        <f>AND('Planilla_General_07-12-2012_8_3'!E250,"AAAAAFfp+o4=")</f>
        <v>#VALUE!</v>
      </c>
      <c r="EN17" t="e">
        <f>AND('Planilla_General_07-12-2012_8_3'!F250,"AAAAAFfp+o8=")</f>
        <v>#VALUE!</v>
      </c>
      <c r="EO17" t="e">
        <f>AND('Planilla_General_07-12-2012_8_3'!G250,"AAAAAFfp+pA=")</f>
        <v>#VALUE!</v>
      </c>
      <c r="EP17" t="e">
        <f>AND('Planilla_General_07-12-2012_8_3'!H250,"AAAAAFfp+pE=")</f>
        <v>#VALUE!</v>
      </c>
      <c r="EQ17" t="e">
        <f>AND('Planilla_General_07-12-2012_8_3'!I250,"AAAAAFfp+pI=")</f>
        <v>#VALUE!</v>
      </c>
      <c r="ER17" t="e">
        <f>AND('Planilla_General_07-12-2012_8_3'!J250,"AAAAAFfp+pM=")</f>
        <v>#VALUE!</v>
      </c>
      <c r="ES17" t="e">
        <f>AND('Planilla_General_07-12-2012_8_3'!K250,"AAAAAFfp+pQ=")</f>
        <v>#VALUE!</v>
      </c>
      <c r="ET17" t="e">
        <f>AND('Planilla_General_07-12-2012_8_3'!L250,"AAAAAFfp+pU=")</f>
        <v>#VALUE!</v>
      </c>
      <c r="EU17" t="e">
        <f>AND('Planilla_General_07-12-2012_8_3'!M250,"AAAAAFfp+pY=")</f>
        <v>#VALUE!</v>
      </c>
      <c r="EV17" t="e">
        <f>AND('Planilla_General_07-12-2012_8_3'!N250,"AAAAAFfp+pc=")</f>
        <v>#VALUE!</v>
      </c>
      <c r="EW17" t="e">
        <f>AND('Planilla_General_07-12-2012_8_3'!O250,"AAAAAFfp+pg=")</f>
        <v>#VALUE!</v>
      </c>
      <c r="EX17" t="e">
        <f>AND('Planilla_General_07-12-2012_8_3'!P250,"AAAAAFfp+pk=")</f>
        <v>#VALUE!</v>
      </c>
      <c r="EY17">
        <f>IF('Planilla_General_07-12-2012_8_3'!251:251,"AAAAAFfp+po=",0)</f>
        <v>0</v>
      </c>
      <c r="EZ17" t="e">
        <f>AND('Planilla_General_07-12-2012_8_3'!A251,"AAAAAFfp+ps=")</f>
        <v>#VALUE!</v>
      </c>
      <c r="FA17" t="e">
        <f>AND('Planilla_General_07-12-2012_8_3'!B251,"AAAAAFfp+pw=")</f>
        <v>#VALUE!</v>
      </c>
      <c r="FB17" t="e">
        <f>AND('Planilla_General_07-12-2012_8_3'!C251,"AAAAAFfp+p0=")</f>
        <v>#VALUE!</v>
      </c>
      <c r="FC17" t="e">
        <f>AND('Planilla_General_07-12-2012_8_3'!D251,"AAAAAFfp+p4=")</f>
        <v>#VALUE!</v>
      </c>
      <c r="FD17" t="e">
        <f>AND('Planilla_General_07-12-2012_8_3'!E251,"AAAAAFfp+p8=")</f>
        <v>#VALUE!</v>
      </c>
      <c r="FE17" t="e">
        <f>AND('Planilla_General_07-12-2012_8_3'!F251,"AAAAAFfp+qA=")</f>
        <v>#VALUE!</v>
      </c>
      <c r="FF17" t="e">
        <f>AND('Planilla_General_07-12-2012_8_3'!G251,"AAAAAFfp+qE=")</f>
        <v>#VALUE!</v>
      </c>
      <c r="FG17" t="e">
        <f>AND('Planilla_General_07-12-2012_8_3'!H251,"AAAAAFfp+qI=")</f>
        <v>#VALUE!</v>
      </c>
      <c r="FH17" t="e">
        <f>AND('Planilla_General_07-12-2012_8_3'!I251,"AAAAAFfp+qM=")</f>
        <v>#VALUE!</v>
      </c>
      <c r="FI17" t="e">
        <f>AND('Planilla_General_07-12-2012_8_3'!J251,"AAAAAFfp+qQ=")</f>
        <v>#VALUE!</v>
      </c>
      <c r="FJ17" t="e">
        <f>AND('Planilla_General_07-12-2012_8_3'!K251,"AAAAAFfp+qU=")</f>
        <v>#VALUE!</v>
      </c>
      <c r="FK17" t="e">
        <f>AND('Planilla_General_07-12-2012_8_3'!L251,"AAAAAFfp+qY=")</f>
        <v>#VALUE!</v>
      </c>
      <c r="FL17" t="e">
        <f>AND('Planilla_General_07-12-2012_8_3'!M251,"AAAAAFfp+qc=")</f>
        <v>#VALUE!</v>
      </c>
      <c r="FM17" t="e">
        <f>AND('Planilla_General_07-12-2012_8_3'!N251,"AAAAAFfp+qg=")</f>
        <v>#VALUE!</v>
      </c>
      <c r="FN17" t="e">
        <f>AND('Planilla_General_07-12-2012_8_3'!O251,"AAAAAFfp+qk=")</f>
        <v>#VALUE!</v>
      </c>
      <c r="FO17" t="e">
        <f>AND('Planilla_General_07-12-2012_8_3'!P251,"AAAAAFfp+qo=")</f>
        <v>#VALUE!</v>
      </c>
      <c r="FP17">
        <f>IF('Planilla_General_07-12-2012_8_3'!252:252,"AAAAAFfp+qs=",0)</f>
        <v>0</v>
      </c>
      <c r="FQ17" t="e">
        <f>AND('Planilla_General_07-12-2012_8_3'!A252,"AAAAAFfp+qw=")</f>
        <v>#VALUE!</v>
      </c>
      <c r="FR17" t="e">
        <f>AND('Planilla_General_07-12-2012_8_3'!B252,"AAAAAFfp+q0=")</f>
        <v>#VALUE!</v>
      </c>
      <c r="FS17" t="e">
        <f>AND('Planilla_General_07-12-2012_8_3'!C252,"AAAAAFfp+q4=")</f>
        <v>#VALUE!</v>
      </c>
      <c r="FT17" t="e">
        <f>AND('Planilla_General_07-12-2012_8_3'!D252,"AAAAAFfp+q8=")</f>
        <v>#VALUE!</v>
      </c>
      <c r="FU17" t="e">
        <f>AND('Planilla_General_07-12-2012_8_3'!E252,"AAAAAFfp+rA=")</f>
        <v>#VALUE!</v>
      </c>
      <c r="FV17" t="e">
        <f>AND('Planilla_General_07-12-2012_8_3'!F252,"AAAAAFfp+rE=")</f>
        <v>#VALUE!</v>
      </c>
      <c r="FW17" t="e">
        <f>AND('Planilla_General_07-12-2012_8_3'!G252,"AAAAAFfp+rI=")</f>
        <v>#VALUE!</v>
      </c>
      <c r="FX17" t="e">
        <f>AND('Planilla_General_07-12-2012_8_3'!H252,"AAAAAFfp+rM=")</f>
        <v>#VALUE!</v>
      </c>
      <c r="FY17" t="e">
        <f>AND('Planilla_General_07-12-2012_8_3'!I252,"AAAAAFfp+rQ=")</f>
        <v>#VALUE!</v>
      </c>
      <c r="FZ17" t="e">
        <f>AND('Planilla_General_07-12-2012_8_3'!J252,"AAAAAFfp+rU=")</f>
        <v>#VALUE!</v>
      </c>
      <c r="GA17" t="e">
        <f>AND('Planilla_General_07-12-2012_8_3'!K252,"AAAAAFfp+rY=")</f>
        <v>#VALUE!</v>
      </c>
      <c r="GB17" t="e">
        <f>AND('Planilla_General_07-12-2012_8_3'!L252,"AAAAAFfp+rc=")</f>
        <v>#VALUE!</v>
      </c>
      <c r="GC17" t="e">
        <f>AND('Planilla_General_07-12-2012_8_3'!M252,"AAAAAFfp+rg=")</f>
        <v>#VALUE!</v>
      </c>
      <c r="GD17" t="e">
        <f>AND('Planilla_General_07-12-2012_8_3'!N252,"AAAAAFfp+rk=")</f>
        <v>#VALUE!</v>
      </c>
      <c r="GE17" t="e">
        <f>AND('Planilla_General_07-12-2012_8_3'!O252,"AAAAAFfp+ro=")</f>
        <v>#VALUE!</v>
      </c>
      <c r="GF17" t="e">
        <f>AND('Planilla_General_07-12-2012_8_3'!P252,"AAAAAFfp+rs=")</f>
        <v>#VALUE!</v>
      </c>
      <c r="GG17">
        <f>IF('Planilla_General_07-12-2012_8_3'!253:253,"AAAAAFfp+rw=",0)</f>
        <v>0</v>
      </c>
      <c r="GH17" t="e">
        <f>AND('Planilla_General_07-12-2012_8_3'!A253,"AAAAAFfp+r0=")</f>
        <v>#VALUE!</v>
      </c>
      <c r="GI17" t="e">
        <f>AND('Planilla_General_07-12-2012_8_3'!B253,"AAAAAFfp+r4=")</f>
        <v>#VALUE!</v>
      </c>
      <c r="GJ17" t="e">
        <f>AND('Planilla_General_07-12-2012_8_3'!C253,"AAAAAFfp+r8=")</f>
        <v>#VALUE!</v>
      </c>
      <c r="GK17" t="e">
        <f>AND('Planilla_General_07-12-2012_8_3'!D253,"AAAAAFfp+sA=")</f>
        <v>#VALUE!</v>
      </c>
      <c r="GL17" t="e">
        <f>AND('Planilla_General_07-12-2012_8_3'!E253,"AAAAAFfp+sE=")</f>
        <v>#VALUE!</v>
      </c>
      <c r="GM17" t="e">
        <f>AND('Planilla_General_07-12-2012_8_3'!F253,"AAAAAFfp+sI=")</f>
        <v>#VALUE!</v>
      </c>
      <c r="GN17" t="e">
        <f>AND('Planilla_General_07-12-2012_8_3'!G253,"AAAAAFfp+sM=")</f>
        <v>#VALUE!</v>
      </c>
      <c r="GO17" t="e">
        <f>AND('Planilla_General_07-12-2012_8_3'!H253,"AAAAAFfp+sQ=")</f>
        <v>#VALUE!</v>
      </c>
      <c r="GP17" t="e">
        <f>AND('Planilla_General_07-12-2012_8_3'!I253,"AAAAAFfp+sU=")</f>
        <v>#VALUE!</v>
      </c>
      <c r="GQ17" t="e">
        <f>AND('Planilla_General_07-12-2012_8_3'!J253,"AAAAAFfp+sY=")</f>
        <v>#VALUE!</v>
      </c>
      <c r="GR17" t="e">
        <f>AND('Planilla_General_07-12-2012_8_3'!K253,"AAAAAFfp+sc=")</f>
        <v>#VALUE!</v>
      </c>
      <c r="GS17" t="e">
        <f>AND('Planilla_General_07-12-2012_8_3'!L253,"AAAAAFfp+sg=")</f>
        <v>#VALUE!</v>
      </c>
      <c r="GT17" t="e">
        <f>AND('Planilla_General_07-12-2012_8_3'!M253,"AAAAAFfp+sk=")</f>
        <v>#VALUE!</v>
      </c>
      <c r="GU17" t="e">
        <f>AND('Planilla_General_07-12-2012_8_3'!N253,"AAAAAFfp+so=")</f>
        <v>#VALUE!</v>
      </c>
      <c r="GV17" t="e">
        <f>AND('Planilla_General_07-12-2012_8_3'!O253,"AAAAAFfp+ss=")</f>
        <v>#VALUE!</v>
      </c>
      <c r="GW17" t="e">
        <f>AND('Planilla_General_07-12-2012_8_3'!P253,"AAAAAFfp+sw=")</f>
        <v>#VALUE!</v>
      </c>
      <c r="GX17">
        <f>IF('Planilla_General_07-12-2012_8_3'!254:254,"AAAAAFfp+s0=",0)</f>
        <v>0</v>
      </c>
      <c r="GY17" t="e">
        <f>AND('Planilla_General_07-12-2012_8_3'!A254,"AAAAAFfp+s4=")</f>
        <v>#VALUE!</v>
      </c>
      <c r="GZ17" t="e">
        <f>AND('Planilla_General_07-12-2012_8_3'!B254,"AAAAAFfp+s8=")</f>
        <v>#VALUE!</v>
      </c>
      <c r="HA17" t="e">
        <f>AND('Planilla_General_07-12-2012_8_3'!C254,"AAAAAFfp+tA=")</f>
        <v>#VALUE!</v>
      </c>
      <c r="HB17" t="e">
        <f>AND('Planilla_General_07-12-2012_8_3'!D254,"AAAAAFfp+tE=")</f>
        <v>#VALUE!</v>
      </c>
      <c r="HC17" t="e">
        <f>AND('Planilla_General_07-12-2012_8_3'!E254,"AAAAAFfp+tI=")</f>
        <v>#VALUE!</v>
      </c>
      <c r="HD17" t="e">
        <f>AND('Planilla_General_07-12-2012_8_3'!F254,"AAAAAFfp+tM=")</f>
        <v>#VALUE!</v>
      </c>
      <c r="HE17" t="e">
        <f>AND('Planilla_General_07-12-2012_8_3'!G254,"AAAAAFfp+tQ=")</f>
        <v>#VALUE!</v>
      </c>
      <c r="HF17" t="e">
        <f>AND('Planilla_General_07-12-2012_8_3'!H254,"AAAAAFfp+tU=")</f>
        <v>#VALUE!</v>
      </c>
      <c r="HG17" t="e">
        <f>AND('Planilla_General_07-12-2012_8_3'!I254,"AAAAAFfp+tY=")</f>
        <v>#VALUE!</v>
      </c>
      <c r="HH17" t="e">
        <f>AND('Planilla_General_07-12-2012_8_3'!J254,"AAAAAFfp+tc=")</f>
        <v>#VALUE!</v>
      </c>
      <c r="HI17" t="e">
        <f>AND('Planilla_General_07-12-2012_8_3'!K254,"AAAAAFfp+tg=")</f>
        <v>#VALUE!</v>
      </c>
      <c r="HJ17" t="e">
        <f>AND('Planilla_General_07-12-2012_8_3'!L254,"AAAAAFfp+tk=")</f>
        <v>#VALUE!</v>
      </c>
      <c r="HK17" t="e">
        <f>AND('Planilla_General_07-12-2012_8_3'!M254,"AAAAAFfp+to=")</f>
        <v>#VALUE!</v>
      </c>
      <c r="HL17" t="e">
        <f>AND('Planilla_General_07-12-2012_8_3'!N254,"AAAAAFfp+ts=")</f>
        <v>#VALUE!</v>
      </c>
      <c r="HM17" t="e">
        <f>AND('Planilla_General_07-12-2012_8_3'!O254,"AAAAAFfp+tw=")</f>
        <v>#VALUE!</v>
      </c>
      <c r="HN17" t="e">
        <f>AND('Planilla_General_07-12-2012_8_3'!P254,"AAAAAFfp+t0=")</f>
        <v>#VALUE!</v>
      </c>
      <c r="HO17">
        <f>IF('Planilla_General_07-12-2012_8_3'!255:255,"AAAAAFfp+t4=",0)</f>
        <v>0</v>
      </c>
      <c r="HP17" t="e">
        <f>AND('Planilla_General_07-12-2012_8_3'!A255,"AAAAAFfp+t8=")</f>
        <v>#VALUE!</v>
      </c>
      <c r="HQ17" t="e">
        <f>AND('Planilla_General_07-12-2012_8_3'!B255,"AAAAAFfp+uA=")</f>
        <v>#VALUE!</v>
      </c>
      <c r="HR17" t="e">
        <f>AND('Planilla_General_07-12-2012_8_3'!C255,"AAAAAFfp+uE=")</f>
        <v>#VALUE!</v>
      </c>
      <c r="HS17" t="e">
        <f>AND('Planilla_General_07-12-2012_8_3'!D255,"AAAAAFfp+uI=")</f>
        <v>#VALUE!</v>
      </c>
      <c r="HT17" t="e">
        <f>AND('Planilla_General_07-12-2012_8_3'!E255,"AAAAAFfp+uM=")</f>
        <v>#VALUE!</v>
      </c>
      <c r="HU17" t="e">
        <f>AND('Planilla_General_07-12-2012_8_3'!F255,"AAAAAFfp+uQ=")</f>
        <v>#VALUE!</v>
      </c>
      <c r="HV17" t="e">
        <f>AND('Planilla_General_07-12-2012_8_3'!G255,"AAAAAFfp+uU=")</f>
        <v>#VALUE!</v>
      </c>
      <c r="HW17" t="e">
        <f>AND('Planilla_General_07-12-2012_8_3'!H255,"AAAAAFfp+uY=")</f>
        <v>#VALUE!</v>
      </c>
      <c r="HX17" t="e">
        <f>AND('Planilla_General_07-12-2012_8_3'!I255,"AAAAAFfp+uc=")</f>
        <v>#VALUE!</v>
      </c>
      <c r="HY17" t="e">
        <f>AND('Planilla_General_07-12-2012_8_3'!J255,"AAAAAFfp+ug=")</f>
        <v>#VALUE!</v>
      </c>
      <c r="HZ17" t="e">
        <f>AND('Planilla_General_07-12-2012_8_3'!K255,"AAAAAFfp+uk=")</f>
        <v>#VALUE!</v>
      </c>
      <c r="IA17" t="e">
        <f>AND('Planilla_General_07-12-2012_8_3'!L255,"AAAAAFfp+uo=")</f>
        <v>#VALUE!</v>
      </c>
      <c r="IB17" t="e">
        <f>AND('Planilla_General_07-12-2012_8_3'!M255,"AAAAAFfp+us=")</f>
        <v>#VALUE!</v>
      </c>
      <c r="IC17" t="e">
        <f>AND('Planilla_General_07-12-2012_8_3'!N255,"AAAAAFfp+uw=")</f>
        <v>#VALUE!</v>
      </c>
      <c r="ID17" t="e">
        <f>AND('Planilla_General_07-12-2012_8_3'!O255,"AAAAAFfp+u0=")</f>
        <v>#VALUE!</v>
      </c>
      <c r="IE17" t="e">
        <f>AND('Planilla_General_07-12-2012_8_3'!P255,"AAAAAFfp+u4=")</f>
        <v>#VALUE!</v>
      </c>
      <c r="IF17">
        <f>IF('Planilla_General_07-12-2012_8_3'!256:256,"AAAAAFfp+u8=",0)</f>
        <v>0</v>
      </c>
      <c r="IG17" t="e">
        <f>AND('Planilla_General_07-12-2012_8_3'!A256,"AAAAAFfp+vA=")</f>
        <v>#VALUE!</v>
      </c>
      <c r="IH17" t="e">
        <f>AND('Planilla_General_07-12-2012_8_3'!B256,"AAAAAFfp+vE=")</f>
        <v>#VALUE!</v>
      </c>
      <c r="II17" t="e">
        <f>AND('Planilla_General_07-12-2012_8_3'!C256,"AAAAAFfp+vI=")</f>
        <v>#VALUE!</v>
      </c>
      <c r="IJ17" t="e">
        <f>AND('Planilla_General_07-12-2012_8_3'!D256,"AAAAAFfp+vM=")</f>
        <v>#VALUE!</v>
      </c>
      <c r="IK17" t="e">
        <f>AND('Planilla_General_07-12-2012_8_3'!E256,"AAAAAFfp+vQ=")</f>
        <v>#VALUE!</v>
      </c>
      <c r="IL17" t="e">
        <f>AND('Planilla_General_07-12-2012_8_3'!F256,"AAAAAFfp+vU=")</f>
        <v>#VALUE!</v>
      </c>
      <c r="IM17" t="e">
        <f>AND('Planilla_General_07-12-2012_8_3'!G256,"AAAAAFfp+vY=")</f>
        <v>#VALUE!</v>
      </c>
      <c r="IN17" t="e">
        <f>AND('Planilla_General_07-12-2012_8_3'!H256,"AAAAAFfp+vc=")</f>
        <v>#VALUE!</v>
      </c>
      <c r="IO17" t="e">
        <f>AND('Planilla_General_07-12-2012_8_3'!I256,"AAAAAFfp+vg=")</f>
        <v>#VALUE!</v>
      </c>
      <c r="IP17" t="e">
        <f>AND('Planilla_General_07-12-2012_8_3'!J256,"AAAAAFfp+vk=")</f>
        <v>#VALUE!</v>
      </c>
      <c r="IQ17" t="e">
        <f>AND('Planilla_General_07-12-2012_8_3'!K256,"AAAAAFfp+vo=")</f>
        <v>#VALUE!</v>
      </c>
      <c r="IR17" t="e">
        <f>AND('Planilla_General_07-12-2012_8_3'!L256,"AAAAAFfp+vs=")</f>
        <v>#VALUE!</v>
      </c>
      <c r="IS17" t="e">
        <f>AND('Planilla_General_07-12-2012_8_3'!M256,"AAAAAFfp+vw=")</f>
        <v>#VALUE!</v>
      </c>
      <c r="IT17" t="e">
        <f>AND('Planilla_General_07-12-2012_8_3'!N256,"AAAAAFfp+v0=")</f>
        <v>#VALUE!</v>
      </c>
      <c r="IU17" t="e">
        <f>AND('Planilla_General_07-12-2012_8_3'!O256,"AAAAAFfp+v4=")</f>
        <v>#VALUE!</v>
      </c>
      <c r="IV17" t="e">
        <f>AND('Planilla_General_07-12-2012_8_3'!P256,"AAAAAFfp+v8=")</f>
        <v>#VALUE!</v>
      </c>
    </row>
    <row r="18" spans="1:256" x14ac:dyDescent="0.25">
      <c r="A18" t="e">
        <f>IF('Planilla_General_07-12-2012_8_3'!257:257,"AAAAAHX7fgA=",0)</f>
        <v>#VALUE!</v>
      </c>
      <c r="B18" t="e">
        <f>AND('Planilla_General_07-12-2012_8_3'!A257,"AAAAAHX7fgE=")</f>
        <v>#VALUE!</v>
      </c>
      <c r="C18" t="e">
        <f>AND('Planilla_General_07-12-2012_8_3'!B257,"AAAAAHX7fgI=")</f>
        <v>#VALUE!</v>
      </c>
      <c r="D18" t="e">
        <f>AND('Planilla_General_07-12-2012_8_3'!C257,"AAAAAHX7fgM=")</f>
        <v>#VALUE!</v>
      </c>
      <c r="E18" t="e">
        <f>AND('Planilla_General_07-12-2012_8_3'!D257,"AAAAAHX7fgQ=")</f>
        <v>#VALUE!</v>
      </c>
      <c r="F18" t="e">
        <f>AND('Planilla_General_07-12-2012_8_3'!E257,"AAAAAHX7fgU=")</f>
        <v>#VALUE!</v>
      </c>
      <c r="G18" t="e">
        <f>AND('Planilla_General_07-12-2012_8_3'!F257,"AAAAAHX7fgY=")</f>
        <v>#VALUE!</v>
      </c>
      <c r="H18" t="e">
        <f>AND('Planilla_General_07-12-2012_8_3'!G257,"AAAAAHX7fgc=")</f>
        <v>#VALUE!</v>
      </c>
      <c r="I18" t="e">
        <f>AND('Planilla_General_07-12-2012_8_3'!H257,"AAAAAHX7fgg=")</f>
        <v>#VALUE!</v>
      </c>
      <c r="J18" t="e">
        <f>AND('Planilla_General_07-12-2012_8_3'!I257,"AAAAAHX7fgk=")</f>
        <v>#VALUE!</v>
      </c>
      <c r="K18" t="e">
        <f>AND('Planilla_General_07-12-2012_8_3'!J257,"AAAAAHX7fgo=")</f>
        <v>#VALUE!</v>
      </c>
      <c r="L18" t="e">
        <f>AND('Planilla_General_07-12-2012_8_3'!K257,"AAAAAHX7fgs=")</f>
        <v>#VALUE!</v>
      </c>
      <c r="M18" t="e">
        <f>AND('Planilla_General_07-12-2012_8_3'!L257,"AAAAAHX7fgw=")</f>
        <v>#VALUE!</v>
      </c>
      <c r="N18" t="e">
        <f>AND('Planilla_General_07-12-2012_8_3'!M257,"AAAAAHX7fg0=")</f>
        <v>#VALUE!</v>
      </c>
      <c r="O18" t="e">
        <f>AND('Planilla_General_07-12-2012_8_3'!N257,"AAAAAHX7fg4=")</f>
        <v>#VALUE!</v>
      </c>
      <c r="P18" t="e">
        <f>AND('Planilla_General_07-12-2012_8_3'!O257,"AAAAAHX7fg8=")</f>
        <v>#VALUE!</v>
      </c>
      <c r="Q18" t="e">
        <f>AND('Planilla_General_07-12-2012_8_3'!P257,"AAAAAHX7fhA=")</f>
        <v>#VALUE!</v>
      </c>
      <c r="R18">
        <f>IF('Planilla_General_07-12-2012_8_3'!258:258,"AAAAAHX7fhE=",0)</f>
        <v>0</v>
      </c>
      <c r="S18" t="e">
        <f>AND('Planilla_General_07-12-2012_8_3'!A258,"AAAAAHX7fhI=")</f>
        <v>#VALUE!</v>
      </c>
      <c r="T18" t="e">
        <f>AND('Planilla_General_07-12-2012_8_3'!B258,"AAAAAHX7fhM=")</f>
        <v>#VALUE!</v>
      </c>
      <c r="U18" t="e">
        <f>AND('Planilla_General_07-12-2012_8_3'!C258,"AAAAAHX7fhQ=")</f>
        <v>#VALUE!</v>
      </c>
      <c r="V18" t="e">
        <f>AND('Planilla_General_07-12-2012_8_3'!D258,"AAAAAHX7fhU=")</f>
        <v>#VALUE!</v>
      </c>
      <c r="W18" t="e">
        <f>AND('Planilla_General_07-12-2012_8_3'!E258,"AAAAAHX7fhY=")</f>
        <v>#VALUE!</v>
      </c>
      <c r="X18" t="e">
        <f>AND('Planilla_General_07-12-2012_8_3'!F258,"AAAAAHX7fhc=")</f>
        <v>#VALUE!</v>
      </c>
      <c r="Y18" t="e">
        <f>AND('Planilla_General_07-12-2012_8_3'!G258,"AAAAAHX7fhg=")</f>
        <v>#VALUE!</v>
      </c>
      <c r="Z18" t="e">
        <f>AND('Planilla_General_07-12-2012_8_3'!H258,"AAAAAHX7fhk=")</f>
        <v>#VALUE!</v>
      </c>
      <c r="AA18" t="e">
        <f>AND('Planilla_General_07-12-2012_8_3'!I258,"AAAAAHX7fho=")</f>
        <v>#VALUE!</v>
      </c>
      <c r="AB18" t="e">
        <f>AND('Planilla_General_07-12-2012_8_3'!J258,"AAAAAHX7fhs=")</f>
        <v>#VALUE!</v>
      </c>
      <c r="AC18" t="e">
        <f>AND('Planilla_General_07-12-2012_8_3'!K258,"AAAAAHX7fhw=")</f>
        <v>#VALUE!</v>
      </c>
      <c r="AD18" t="e">
        <f>AND('Planilla_General_07-12-2012_8_3'!L258,"AAAAAHX7fh0=")</f>
        <v>#VALUE!</v>
      </c>
      <c r="AE18" t="e">
        <f>AND('Planilla_General_07-12-2012_8_3'!M258,"AAAAAHX7fh4=")</f>
        <v>#VALUE!</v>
      </c>
      <c r="AF18" t="e">
        <f>AND('Planilla_General_07-12-2012_8_3'!N258,"AAAAAHX7fh8=")</f>
        <v>#VALUE!</v>
      </c>
      <c r="AG18" t="e">
        <f>AND('Planilla_General_07-12-2012_8_3'!O258,"AAAAAHX7fiA=")</f>
        <v>#VALUE!</v>
      </c>
      <c r="AH18" t="e">
        <f>AND('Planilla_General_07-12-2012_8_3'!P258,"AAAAAHX7fiE=")</f>
        <v>#VALUE!</v>
      </c>
      <c r="AI18">
        <f>IF('Planilla_General_07-12-2012_8_3'!259:259,"AAAAAHX7fiI=",0)</f>
        <v>0</v>
      </c>
      <c r="AJ18" t="e">
        <f>AND('Planilla_General_07-12-2012_8_3'!A259,"AAAAAHX7fiM=")</f>
        <v>#VALUE!</v>
      </c>
      <c r="AK18" t="e">
        <f>AND('Planilla_General_07-12-2012_8_3'!B259,"AAAAAHX7fiQ=")</f>
        <v>#VALUE!</v>
      </c>
      <c r="AL18" t="e">
        <f>AND('Planilla_General_07-12-2012_8_3'!C259,"AAAAAHX7fiU=")</f>
        <v>#VALUE!</v>
      </c>
      <c r="AM18" t="e">
        <f>AND('Planilla_General_07-12-2012_8_3'!D259,"AAAAAHX7fiY=")</f>
        <v>#VALUE!</v>
      </c>
      <c r="AN18" t="e">
        <f>AND('Planilla_General_07-12-2012_8_3'!E259,"AAAAAHX7fic=")</f>
        <v>#VALUE!</v>
      </c>
      <c r="AO18" t="e">
        <f>AND('Planilla_General_07-12-2012_8_3'!F259,"AAAAAHX7fig=")</f>
        <v>#VALUE!</v>
      </c>
      <c r="AP18" t="e">
        <f>AND('Planilla_General_07-12-2012_8_3'!G259,"AAAAAHX7fik=")</f>
        <v>#VALUE!</v>
      </c>
      <c r="AQ18" t="e">
        <f>AND('Planilla_General_07-12-2012_8_3'!H259,"AAAAAHX7fio=")</f>
        <v>#VALUE!</v>
      </c>
      <c r="AR18" t="e">
        <f>AND('Planilla_General_07-12-2012_8_3'!I259,"AAAAAHX7fis=")</f>
        <v>#VALUE!</v>
      </c>
      <c r="AS18" t="e">
        <f>AND('Planilla_General_07-12-2012_8_3'!J259,"AAAAAHX7fiw=")</f>
        <v>#VALUE!</v>
      </c>
      <c r="AT18" t="e">
        <f>AND('Planilla_General_07-12-2012_8_3'!K259,"AAAAAHX7fi0=")</f>
        <v>#VALUE!</v>
      </c>
      <c r="AU18" t="e">
        <f>AND('Planilla_General_07-12-2012_8_3'!L259,"AAAAAHX7fi4=")</f>
        <v>#VALUE!</v>
      </c>
      <c r="AV18" t="e">
        <f>AND('Planilla_General_07-12-2012_8_3'!M259,"AAAAAHX7fi8=")</f>
        <v>#VALUE!</v>
      </c>
      <c r="AW18" t="e">
        <f>AND('Planilla_General_07-12-2012_8_3'!N259,"AAAAAHX7fjA=")</f>
        <v>#VALUE!</v>
      </c>
      <c r="AX18" t="e">
        <f>AND('Planilla_General_07-12-2012_8_3'!O259,"AAAAAHX7fjE=")</f>
        <v>#VALUE!</v>
      </c>
      <c r="AY18" t="e">
        <f>AND('Planilla_General_07-12-2012_8_3'!P259,"AAAAAHX7fjI=")</f>
        <v>#VALUE!</v>
      </c>
      <c r="AZ18">
        <f>IF('Planilla_General_07-12-2012_8_3'!260:260,"AAAAAHX7fjM=",0)</f>
        <v>0</v>
      </c>
      <c r="BA18" t="e">
        <f>AND('Planilla_General_07-12-2012_8_3'!A260,"AAAAAHX7fjQ=")</f>
        <v>#VALUE!</v>
      </c>
      <c r="BB18" t="e">
        <f>AND('Planilla_General_07-12-2012_8_3'!B260,"AAAAAHX7fjU=")</f>
        <v>#VALUE!</v>
      </c>
      <c r="BC18" t="e">
        <f>AND('Planilla_General_07-12-2012_8_3'!C260,"AAAAAHX7fjY=")</f>
        <v>#VALUE!</v>
      </c>
      <c r="BD18" t="e">
        <f>AND('Planilla_General_07-12-2012_8_3'!D260,"AAAAAHX7fjc=")</f>
        <v>#VALUE!</v>
      </c>
      <c r="BE18" t="e">
        <f>AND('Planilla_General_07-12-2012_8_3'!E260,"AAAAAHX7fjg=")</f>
        <v>#VALUE!</v>
      </c>
      <c r="BF18" t="e">
        <f>AND('Planilla_General_07-12-2012_8_3'!F260,"AAAAAHX7fjk=")</f>
        <v>#VALUE!</v>
      </c>
      <c r="BG18" t="e">
        <f>AND('Planilla_General_07-12-2012_8_3'!G260,"AAAAAHX7fjo=")</f>
        <v>#VALUE!</v>
      </c>
      <c r="BH18" t="e">
        <f>AND('Planilla_General_07-12-2012_8_3'!H260,"AAAAAHX7fjs=")</f>
        <v>#VALUE!</v>
      </c>
      <c r="BI18" t="e">
        <f>AND('Planilla_General_07-12-2012_8_3'!I260,"AAAAAHX7fjw=")</f>
        <v>#VALUE!</v>
      </c>
      <c r="BJ18" t="e">
        <f>AND('Planilla_General_07-12-2012_8_3'!J260,"AAAAAHX7fj0=")</f>
        <v>#VALUE!</v>
      </c>
      <c r="BK18" t="e">
        <f>AND('Planilla_General_07-12-2012_8_3'!K260,"AAAAAHX7fj4=")</f>
        <v>#VALUE!</v>
      </c>
      <c r="BL18" t="e">
        <f>AND('Planilla_General_07-12-2012_8_3'!L260,"AAAAAHX7fj8=")</f>
        <v>#VALUE!</v>
      </c>
      <c r="BM18" t="e">
        <f>AND('Planilla_General_07-12-2012_8_3'!M260,"AAAAAHX7fkA=")</f>
        <v>#VALUE!</v>
      </c>
      <c r="BN18" t="e">
        <f>AND('Planilla_General_07-12-2012_8_3'!N260,"AAAAAHX7fkE=")</f>
        <v>#VALUE!</v>
      </c>
      <c r="BO18" t="e">
        <f>AND('Planilla_General_07-12-2012_8_3'!O260,"AAAAAHX7fkI=")</f>
        <v>#VALUE!</v>
      </c>
      <c r="BP18" t="e">
        <f>AND('Planilla_General_07-12-2012_8_3'!P260,"AAAAAHX7fkM=")</f>
        <v>#VALUE!</v>
      </c>
      <c r="BQ18">
        <f>IF('Planilla_General_07-12-2012_8_3'!261:261,"AAAAAHX7fkQ=",0)</f>
        <v>0</v>
      </c>
      <c r="BR18" t="e">
        <f>AND('Planilla_General_07-12-2012_8_3'!A261,"AAAAAHX7fkU=")</f>
        <v>#VALUE!</v>
      </c>
      <c r="BS18" t="e">
        <f>AND('Planilla_General_07-12-2012_8_3'!B261,"AAAAAHX7fkY=")</f>
        <v>#VALUE!</v>
      </c>
      <c r="BT18" t="e">
        <f>AND('Planilla_General_07-12-2012_8_3'!C261,"AAAAAHX7fkc=")</f>
        <v>#VALUE!</v>
      </c>
      <c r="BU18" t="e">
        <f>AND('Planilla_General_07-12-2012_8_3'!D261,"AAAAAHX7fkg=")</f>
        <v>#VALUE!</v>
      </c>
      <c r="BV18" t="e">
        <f>AND('Planilla_General_07-12-2012_8_3'!E261,"AAAAAHX7fkk=")</f>
        <v>#VALUE!</v>
      </c>
      <c r="BW18" t="e">
        <f>AND('Planilla_General_07-12-2012_8_3'!F261,"AAAAAHX7fko=")</f>
        <v>#VALUE!</v>
      </c>
      <c r="BX18" t="e">
        <f>AND('Planilla_General_07-12-2012_8_3'!G261,"AAAAAHX7fks=")</f>
        <v>#VALUE!</v>
      </c>
      <c r="BY18" t="e">
        <f>AND('Planilla_General_07-12-2012_8_3'!H261,"AAAAAHX7fkw=")</f>
        <v>#VALUE!</v>
      </c>
      <c r="BZ18" t="e">
        <f>AND('Planilla_General_07-12-2012_8_3'!I261,"AAAAAHX7fk0=")</f>
        <v>#VALUE!</v>
      </c>
      <c r="CA18" t="e">
        <f>AND('Planilla_General_07-12-2012_8_3'!J261,"AAAAAHX7fk4=")</f>
        <v>#VALUE!</v>
      </c>
      <c r="CB18" t="e">
        <f>AND('Planilla_General_07-12-2012_8_3'!K261,"AAAAAHX7fk8=")</f>
        <v>#VALUE!</v>
      </c>
      <c r="CC18" t="e">
        <f>AND('Planilla_General_07-12-2012_8_3'!L261,"AAAAAHX7flA=")</f>
        <v>#VALUE!</v>
      </c>
      <c r="CD18" t="e">
        <f>AND('Planilla_General_07-12-2012_8_3'!M261,"AAAAAHX7flE=")</f>
        <v>#VALUE!</v>
      </c>
      <c r="CE18" t="e">
        <f>AND('Planilla_General_07-12-2012_8_3'!N261,"AAAAAHX7flI=")</f>
        <v>#VALUE!</v>
      </c>
      <c r="CF18" t="e">
        <f>AND('Planilla_General_07-12-2012_8_3'!O261,"AAAAAHX7flM=")</f>
        <v>#VALUE!</v>
      </c>
      <c r="CG18" t="e">
        <f>AND('Planilla_General_07-12-2012_8_3'!P261,"AAAAAHX7flQ=")</f>
        <v>#VALUE!</v>
      </c>
      <c r="CH18">
        <f>IF('Planilla_General_07-12-2012_8_3'!262:262,"AAAAAHX7flU=",0)</f>
        <v>0</v>
      </c>
      <c r="CI18" t="e">
        <f>AND('Planilla_General_07-12-2012_8_3'!A262,"AAAAAHX7flY=")</f>
        <v>#VALUE!</v>
      </c>
      <c r="CJ18" t="e">
        <f>AND('Planilla_General_07-12-2012_8_3'!B262,"AAAAAHX7flc=")</f>
        <v>#VALUE!</v>
      </c>
      <c r="CK18" t="e">
        <f>AND('Planilla_General_07-12-2012_8_3'!C262,"AAAAAHX7flg=")</f>
        <v>#VALUE!</v>
      </c>
      <c r="CL18" t="e">
        <f>AND('Planilla_General_07-12-2012_8_3'!D262,"AAAAAHX7flk=")</f>
        <v>#VALUE!</v>
      </c>
      <c r="CM18" t="e">
        <f>AND('Planilla_General_07-12-2012_8_3'!E262,"AAAAAHX7flo=")</f>
        <v>#VALUE!</v>
      </c>
      <c r="CN18" t="e">
        <f>AND('Planilla_General_07-12-2012_8_3'!F262,"AAAAAHX7fls=")</f>
        <v>#VALUE!</v>
      </c>
      <c r="CO18" t="e">
        <f>AND('Planilla_General_07-12-2012_8_3'!G262,"AAAAAHX7flw=")</f>
        <v>#VALUE!</v>
      </c>
      <c r="CP18" t="e">
        <f>AND('Planilla_General_07-12-2012_8_3'!H262,"AAAAAHX7fl0=")</f>
        <v>#VALUE!</v>
      </c>
      <c r="CQ18" t="e">
        <f>AND('Planilla_General_07-12-2012_8_3'!I262,"AAAAAHX7fl4=")</f>
        <v>#VALUE!</v>
      </c>
      <c r="CR18" t="e">
        <f>AND('Planilla_General_07-12-2012_8_3'!J262,"AAAAAHX7fl8=")</f>
        <v>#VALUE!</v>
      </c>
      <c r="CS18" t="e">
        <f>AND('Planilla_General_07-12-2012_8_3'!K262,"AAAAAHX7fmA=")</f>
        <v>#VALUE!</v>
      </c>
      <c r="CT18" t="e">
        <f>AND('Planilla_General_07-12-2012_8_3'!L262,"AAAAAHX7fmE=")</f>
        <v>#VALUE!</v>
      </c>
      <c r="CU18" t="e">
        <f>AND('Planilla_General_07-12-2012_8_3'!M262,"AAAAAHX7fmI=")</f>
        <v>#VALUE!</v>
      </c>
      <c r="CV18" t="e">
        <f>AND('Planilla_General_07-12-2012_8_3'!N262,"AAAAAHX7fmM=")</f>
        <v>#VALUE!</v>
      </c>
      <c r="CW18" t="e">
        <f>AND('Planilla_General_07-12-2012_8_3'!O262,"AAAAAHX7fmQ=")</f>
        <v>#VALUE!</v>
      </c>
      <c r="CX18" t="e">
        <f>AND('Planilla_General_07-12-2012_8_3'!P262,"AAAAAHX7fmU=")</f>
        <v>#VALUE!</v>
      </c>
      <c r="CY18">
        <f>IF('Planilla_General_07-12-2012_8_3'!263:263,"AAAAAHX7fmY=",0)</f>
        <v>0</v>
      </c>
      <c r="CZ18" t="e">
        <f>AND('Planilla_General_07-12-2012_8_3'!A263,"AAAAAHX7fmc=")</f>
        <v>#VALUE!</v>
      </c>
      <c r="DA18" t="e">
        <f>AND('Planilla_General_07-12-2012_8_3'!B263,"AAAAAHX7fmg=")</f>
        <v>#VALUE!</v>
      </c>
      <c r="DB18" t="e">
        <f>AND('Planilla_General_07-12-2012_8_3'!C263,"AAAAAHX7fmk=")</f>
        <v>#VALUE!</v>
      </c>
      <c r="DC18" t="e">
        <f>AND('Planilla_General_07-12-2012_8_3'!D263,"AAAAAHX7fmo=")</f>
        <v>#VALUE!</v>
      </c>
      <c r="DD18" t="e">
        <f>AND('Planilla_General_07-12-2012_8_3'!E263,"AAAAAHX7fms=")</f>
        <v>#VALUE!</v>
      </c>
      <c r="DE18" t="e">
        <f>AND('Planilla_General_07-12-2012_8_3'!F263,"AAAAAHX7fmw=")</f>
        <v>#VALUE!</v>
      </c>
      <c r="DF18" t="e">
        <f>AND('Planilla_General_07-12-2012_8_3'!G263,"AAAAAHX7fm0=")</f>
        <v>#VALUE!</v>
      </c>
      <c r="DG18" t="e">
        <f>AND('Planilla_General_07-12-2012_8_3'!H263,"AAAAAHX7fm4=")</f>
        <v>#VALUE!</v>
      </c>
      <c r="DH18" t="e">
        <f>AND('Planilla_General_07-12-2012_8_3'!I263,"AAAAAHX7fm8=")</f>
        <v>#VALUE!</v>
      </c>
      <c r="DI18" t="e">
        <f>AND('Planilla_General_07-12-2012_8_3'!J263,"AAAAAHX7fnA=")</f>
        <v>#VALUE!</v>
      </c>
      <c r="DJ18" t="e">
        <f>AND('Planilla_General_07-12-2012_8_3'!K263,"AAAAAHX7fnE=")</f>
        <v>#VALUE!</v>
      </c>
      <c r="DK18" t="e">
        <f>AND('Planilla_General_07-12-2012_8_3'!L263,"AAAAAHX7fnI=")</f>
        <v>#VALUE!</v>
      </c>
      <c r="DL18" t="e">
        <f>AND('Planilla_General_07-12-2012_8_3'!M263,"AAAAAHX7fnM=")</f>
        <v>#VALUE!</v>
      </c>
      <c r="DM18" t="e">
        <f>AND('Planilla_General_07-12-2012_8_3'!N263,"AAAAAHX7fnQ=")</f>
        <v>#VALUE!</v>
      </c>
      <c r="DN18" t="e">
        <f>AND('Planilla_General_07-12-2012_8_3'!O263,"AAAAAHX7fnU=")</f>
        <v>#VALUE!</v>
      </c>
      <c r="DO18" t="e">
        <f>AND('Planilla_General_07-12-2012_8_3'!P263,"AAAAAHX7fnY=")</f>
        <v>#VALUE!</v>
      </c>
      <c r="DP18">
        <f>IF('Planilla_General_07-12-2012_8_3'!264:264,"AAAAAHX7fnc=",0)</f>
        <v>0</v>
      </c>
      <c r="DQ18" t="e">
        <f>AND('Planilla_General_07-12-2012_8_3'!A264,"AAAAAHX7fng=")</f>
        <v>#VALUE!</v>
      </c>
      <c r="DR18" t="e">
        <f>AND('Planilla_General_07-12-2012_8_3'!B264,"AAAAAHX7fnk=")</f>
        <v>#VALUE!</v>
      </c>
      <c r="DS18" t="e">
        <f>AND('Planilla_General_07-12-2012_8_3'!C264,"AAAAAHX7fno=")</f>
        <v>#VALUE!</v>
      </c>
      <c r="DT18" t="e">
        <f>AND('Planilla_General_07-12-2012_8_3'!D264,"AAAAAHX7fns=")</f>
        <v>#VALUE!</v>
      </c>
      <c r="DU18" t="e">
        <f>AND('Planilla_General_07-12-2012_8_3'!E264,"AAAAAHX7fnw=")</f>
        <v>#VALUE!</v>
      </c>
      <c r="DV18" t="e">
        <f>AND('Planilla_General_07-12-2012_8_3'!F264,"AAAAAHX7fn0=")</f>
        <v>#VALUE!</v>
      </c>
      <c r="DW18" t="e">
        <f>AND('Planilla_General_07-12-2012_8_3'!G264,"AAAAAHX7fn4=")</f>
        <v>#VALUE!</v>
      </c>
      <c r="DX18" t="e">
        <f>AND('Planilla_General_07-12-2012_8_3'!H264,"AAAAAHX7fn8=")</f>
        <v>#VALUE!</v>
      </c>
      <c r="DY18" t="e">
        <f>AND('Planilla_General_07-12-2012_8_3'!I264,"AAAAAHX7foA=")</f>
        <v>#VALUE!</v>
      </c>
      <c r="DZ18" t="e">
        <f>AND('Planilla_General_07-12-2012_8_3'!J264,"AAAAAHX7foE=")</f>
        <v>#VALUE!</v>
      </c>
      <c r="EA18" t="e">
        <f>AND('Planilla_General_07-12-2012_8_3'!K264,"AAAAAHX7foI=")</f>
        <v>#VALUE!</v>
      </c>
      <c r="EB18" t="e">
        <f>AND('Planilla_General_07-12-2012_8_3'!L264,"AAAAAHX7foM=")</f>
        <v>#VALUE!</v>
      </c>
      <c r="EC18" t="e">
        <f>AND('Planilla_General_07-12-2012_8_3'!M264,"AAAAAHX7foQ=")</f>
        <v>#VALUE!</v>
      </c>
      <c r="ED18" t="e">
        <f>AND('Planilla_General_07-12-2012_8_3'!N264,"AAAAAHX7foU=")</f>
        <v>#VALUE!</v>
      </c>
      <c r="EE18" t="e">
        <f>AND('Planilla_General_07-12-2012_8_3'!O264,"AAAAAHX7foY=")</f>
        <v>#VALUE!</v>
      </c>
      <c r="EF18" t="e">
        <f>AND('Planilla_General_07-12-2012_8_3'!P264,"AAAAAHX7foc=")</f>
        <v>#VALUE!</v>
      </c>
      <c r="EG18">
        <f>IF('Planilla_General_07-12-2012_8_3'!265:265,"AAAAAHX7fog=",0)</f>
        <v>0</v>
      </c>
      <c r="EH18" t="e">
        <f>AND('Planilla_General_07-12-2012_8_3'!A265,"AAAAAHX7fok=")</f>
        <v>#VALUE!</v>
      </c>
      <c r="EI18" t="e">
        <f>AND('Planilla_General_07-12-2012_8_3'!B265,"AAAAAHX7foo=")</f>
        <v>#VALUE!</v>
      </c>
      <c r="EJ18" t="e">
        <f>AND('Planilla_General_07-12-2012_8_3'!C265,"AAAAAHX7fos=")</f>
        <v>#VALUE!</v>
      </c>
      <c r="EK18" t="e">
        <f>AND('Planilla_General_07-12-2012_8_3'!D265,"AAAAAHX7fow=")</f>
        <v>#VALUE!</v>
      </c>
      <c r="EL18" t="e">
        <f>AND('Planilla_General_07-12-2012_8_3'!E265,"AAAAAHX7fo0=")</f>
        <v>#VALUE!</v>
      </c>
      <c r="EM18" t="e">
        <f>AND('Planilla_General_07-12-2012_8_3'!F265,"AAAAAHX7fo4=")</f>
        <v>#VALUE!</v>
      </c>
      <c r="EN18" t="e">
        <f>AND('Planilla_General_07-12-2012_8_3'!G265,"AAAAAHX7fo8=")</f>
        <v>#VALUE!</v>
      </c>
      <c r="EO18" t="e">
        <f>AND('Planilla_General_07-12-2012_8_3'!H265,"AAAAAHX7fpA=")</f>
        <v>#VALUE!</v>
      </c>
      <c r="EP18" t="e">
        <f>AND('Planilla_General_07-12-2012_8_3'!I265,"AAAAAHX7fpE=")</f>
        <v>#VALUE!</v>
      </c>
      <c r="EQ18" t="e">
        <f>AND('Planilla_General_07-12-2012_8_3'!J265,"AAAAAHX7fpI=")</f>
        <v>#VALUE!</v>
      </c>
      <c r="ER18" t="e">
        <f>AND('Planilla_General_07-12-2012_8_3'!K265,"AAAAAHX7fpM=")</f>
        <v>#VALUE!</v>
      </c>
      <c r="ES18" t="e">
        <f>AND('Planilla_General_07-12-2012_8_3'!L265,"AAAAAHX7fpQ=")</f>
        <v>#VALUE!</v>
      </c>
      <c r="ET18" t="e">
        <f>AND('Planilla_General_07-12-2012_8_3'!M265,"AAAAAHX7fpU=")</f>
        <v>#VALUE!</v>
      </c>
      <c r="EU18" t="e">
        <f>AND('Planilla_General_07-12-2012_8_3'!N265,"AAAAAHX7fpY=")</f>
        <v>#VALUE!</v>
      </c>
      <c r="EV18" t="e">
        <f>AND('Planilla_General_07-12-2012_8_3'!O265,"AAAAAHX7fpc=")</f>
        <v>#VALUE!</v>
      </c>
      <c r="EW18" t="e">
        <f>AND('Planilla_General_07-12-2012_8_3'!P265,"AAAAAHX7fpg=")</f>
        <v>#VALUE!</v>
      </c>
      <c r="EX18">
        <f>IF('Planilla_General_07-12-2012_8_3'!266:266,"AAAAAHX7fpk=",0)</f>
        <v>0</v>
      </c>
      <c r="EY18" t="e">
        <f>AND('Planilla_General_07-12-2012_8_3'!A266,"AAAAAHX7fpo=")</f>
        <v>#VALUE!</v>
      </c>
      <c r="EZ18" t="e">
        <f>AND('Planilla_General_07-12-2012_8_3'!B266,"AAAAAHX7fps=")</f>
        <v>#VALUE!</v>
      </c>
      <c r="FA18" t="e">
        <f>AND('Planilla_General_07-12-2012_8_3'!C266,"AAAAAHX7fpw=")</f>
        <v>#VALUE!</v>
      </c>
      <c r="FB18" t="e">
        <f>AND('Planilla_General_07-12-2012_8_3'!D266,"AAAAAHX7fp0=")</f>
        <v>#VALUE!</v>
      </c>
      <c r="FC18" t="e">
        <f>AND('Planilla_General_07-12-2012_8_3'!E266,"AAAAAHX7fp4=")</f>
        <v>#VALUE!</v>
      </c>
      <c r="FD18" t="e">
        <f>AND('Planilla_General_07-12-2012_8_3'!F266,"AAAAAHX7fp8=")</f>
        <v>#VALUE!</v>
      </c>
      <c r="FE18" t="e">
        <f>AND('Planilla_General_07-12-2012_8_3'!G266,"AAAAAHX7fqA=")</f>
        <v>#VALUE!</v>
      </c>
      <c r="FF18" t="e">
        <f>AND('Planilla_General_07-12-2012_8_3'!H266,"AAAAAHX7fqE=")</f>
        <v>#VALUE!</v>
      </c>
      <c r="FG18" t="e">
        <f>AND('Planilla_General_07-12-2012_8_3'!I266,"AAAAAHX7fqI=")</f>
        <v>#VALUE!</v>
      </c>
      <c r="FH18" t="e">
        <f>AND('Planilla_General_07-12-2012_8_3'!J266,"AAAAAHX7fqM=")</f>
        <v>#VALUE!</v>
      </c>
      <c r="FI18" t="e">
        <f>AND('Planilla_General_07-12-2012_8_3'!K266,"AAAAAHX7fqQ=")</f>
        <v>#VALUE!</v>
      </c>
      <c r="FJ18" t="e">
        <f>AND('Planilla_General_07-12-2012_8_3'!L266,"AAAAAHX7fqU=")</f>
        <v>#VALUE!</v>
      </c>
      <c r="FK18" t="e">
        <f>AND('Planilla_General_07-12-2012_8_3'!M266,"AAAAAHX7fqY=")</f>
        <v>#VALUE!</v>
      </c>
      <c r="FL18" t="e">
        <f>AND('Planilla_General_07-12-2012_8_3'!N266,"AAAAAHX7fqc=")</f>
        <v>#VALUE!</v>
      </c>
      <c r="FM18" t="e">
        <f>AND('Planilla_General_07-12-2012_8_3'!O266,"AAAAAHX7fqg=")</f>
        <v>#VALUE!</v>
      </c>
      <c r="FN18" t="e">
        <f>AND('Planilla_General_07-12-2012_8_3'!P266,"AAAAAHX7fqk=")</f>
        <v>#VALUE!</v>
      </c>
      <c r="FO18">
        <f>IF('Planilla_General_07-12-2012_8_3'!267:267,"AAAAAHX7fqo=",0)</f>
        <v>0</v>
      </c>
      <c r="FP18" t="e">
        <f>AND('Planilla_General_07-12-2012_8_3'!A267,"AAAAAHX7fqs=")</f>
        <v>#VALUE!</v>
      </c>
      <c r="FQ18" t="e">
        <f>AND('Planilla_General_07-12-2012_8_3'!B267,"AAAAAHX7fqw=")</f>
        <v>#VALUE!</v>
      </c>
      <c r="FR18" t="e">
        <f>AND('Planilla_General_07-12-2012_8_3'!C267,"AAAAAHX7fq0=")</f>
        <v>#VALUE!</v>
      </c>
      <c r="FS18" t="e">
        <f>AND('Planilla_General_07-12-2012_8_3'!D267,"AAAAAHX7fq4=")</f>
        <v>#VALUE!</v>
      </c>
      <c r="FT18" t="e">
        <f>AND('Planilla_General_07-12-2012_8_3'!E267,"AAAAAHX7fq8=")</f>
        <v>#VALUE!</v>
      </c>
      <c r="FU18" t="e">
        <f>AND('Planilla_General_07-12-2012_8_3'!F267,"AAAAAHX7frA=")</f>
        <v>#VALUE!</v>
      </c>
      <c r="FV18" t="e">
        <f>AND('Planilla_General_07-12-2012_8_3'!G267,"AAAAAHX7frE=")</f>
        <v>#VALUE!</v>
      </c>
      <c r="FW18" t="e">
        <f>AND('Planilla_General_07-12-2012_8_3'!H267,"AAAAAHX7frI=")</f>
        <v>#VALUE!</v>
      </c>
      <c r="FX18" t="e">
        <f>AND('Planilla_General_07-12-2012_8_3'!I267,"AAAAAHX7frM=")</f>
        <v>#VALUE!</v>
      </c>
      <c r="FY18" t="e">
        <f>AND('Planilla_General_07-12-2012_8_3'!J267,"AAAAAHX7frQ=")</f>
        <v>#VALUE!</v>
      </c>
      <c r="FZ18" t="e">
        <f>AND('Planilla_General_07-12-2012_8_3'!K267,"AAAAAHX7frU=")</f>
        <v>#VALUE!</v>
      </c>
      <c r="GA18" t="e">
        <f>AND('Planilla_General_07-12-2012_8_3'!L267,"AAAAAHX7frY=")</f>
        <v>#VALUE!</v>
      </c>
      <c r="GB18" t="e">
        <f>AND('Planilla_General_07-12-2012_8_3'!M267,"AAAAAHX7frc=")</f>
        <v>#VALUE!</v>
      </c>
      <c r="GC18" t="e">
        <f>AND('Planilla_General_07-12-2012_8_3'!N267,"AAAAAHX7frg=")</f>
        <v>#VALUE!</v>
      </c>
      <c r="GD18" t="e">
        <f>AND('Planilla_General_07-12-2012_8_3'!O267,"AAAAAHX7frk=")</f>
        <v>#VALUE!</v>
      </c>
      <c r="GE18" t="e">
        <f>AND('Planilla_General_07-12-2012_8_3'!P267,"AAAAAHX7fro=")</f>
        <v>#VALUE!</v>
      </c>
      <c r="GF18">
        <f>IF('Planilla_General_07-12-2012_8_3'!268:268,"AAAAAHX7frs=",0)</f>
        <v>0</v>
      </c>
      <c r="GG18" t="e">
        <f>AND('Planilla_General_07-12-2012_8_3'!A268,"AAAAAHX7frw=")</f>
        <v>#VALUE!</v>
      </c>
      <c r="GH18" t="e">
        <f>AND('Planilla_General_07-12-2012_8_3'!B268,"AAAAAHX7fr0=")</f>
        <v>#VALUE!</v>
      </c>
      <c r="GI18" t="e">
        <f>AND('Planilla_General_07-12-2012_8_3'!C268,"AAAAAHX7fr4=")</f>
        <v>#VALUE!</v>
      </c>
      <c r="GJ18" t="e">
        <f>AND('Planilla_General_07-12-2012_8_3'!D268,"AAAAAHX7fr8=")</f>
        <v>#VALUE!</v>
      </c>
      <c r="GK18" t="e">
        <f>AND('Planilla_General_07-12-2012_8_3'!E268,"AAAAAHX7fsA=")</f>
        <v>#VALUE!</v>
      </c>
      <c r="GL18" t="e">
        <f>AND('Planilla_General_07-12-2012_8_3'!F268,"AAAAAHX7fsE=")</f>
        <v>#VALUE!</v>
      </c>
      <c r="GM18" t="e">
        <f>AND('Planilla_General_07-12-2012_8_3'!G268,"AAAAAHX7fsI=")</f>
        <v>#VALUE!</v>
      </c>
      <c r="GN18" t="e">
        <f>AND('Planilla_General_07-12-2012_8_3'!H268,"AAAAAHX7fsM=")</f>
        <v>#VALUE!</v>
      </c>
      <c r="GO18" t="e">
        <f>AND('Planilla_General_07-12-2012_8_3'!I268,"AAAAAHX7fsQ=")</f>
        <v>#VALUE!</v>
      </c>
      <c r="GP18" t="e">
        <f>AND('Planilla_General_07-12-2012_8_3'!J268,"AAAAAHX7fsU=")</f>
        <v>#VALUE!</v>
      </c>
      <c r="GQ18" t="e">
        <f>AND('Planilla_General_07-12-2012_8_3'!K268,"AAAAAHX7fsY=")</f>
        <v>#VALUE!</v>
      </c>
      <c r="GR18" t="e">
        <f>AND('Planilla_General_07-12-2012_8_3'!L268,"AAAAAHX7fsc=")</f>
        <v>#VALUE!</v>
      </c>
      <c r="GS18" t="e">
        <f>AND('Planilla_General_07-12-2012_8_3'!M268,"AAAAAHX7fsg=")</f>
        <v>#VALUE!</v>
      </c>
      <c r="GT18" t="e">
        <f>AND('Planilla_General_07-12-2012_8_3'!N268,"AAAAAHX7fsk=")</f>
        <v>#VALUE!</v>
      </c>
      <c r="GU18" t="e">
        <f>AND('Planilla_General_07-12-2012_8_3'!O268,"AAAAAHX7fso=")</f>
        <v>#VALUE!</v>
      </c>
      <c r="GV18" t="e">
        <f>AND('Planilla_General_07-12-2012_8_3'!P268,"AAAAAHX7fss=")</f>
        <v>#VALUE!</v>
      </c>
      <c r="GW18">
        <f>IF('Planilla_General_07-12-2012_8_3'!269:269,"AAAAAHX7fsw=",0)</f>
        <v>0</v>
      </c>
      <c r="GX18" t="e">
        <f>AND('Planilla_General_07-12-2012_8_3'!A269,"AAAAAHX7fs0=")</f>
        <v>#VALUE!</v>
      </c>
      <c r="GY18" t="e">
        <f>AND('Planilla_General_07-12-2012_8_3'!B269,"AAAAAHX7fs4=")</f>
        <v>#VALUE!</v>
      </c>
      <c r="GZ18" t="e">
        <f>AND('Planilla_General_07-12-2012_8_3'!C269,"AAAAAHX7fs8=")</f>
        <v>#VALUE!</v>
      </c>
      <c r="HA18" t="e">
        <f>AND('Planilla_General_07-12-2012_8_3'!D269,"AAAAAHX7ftA=")</f>
        <v>#VALUE!</v>
      </c>
      <c r="HB18" t="e">
        <f>AND('Planilla_General_07-12-2012_8_3'!E269,"AAAAAHX7ftE=")</f>
        <v>#VALUE!</v>
      </c>
      <c r="HC18" t="e">
        <f>AND('Planilla_General_07-12-2012_8_3'!F269,"AAAAAHX7ftI=")</f>
        <v>#VALUE!</v>
      </c>
      <c r="HD18" t="e">
        <f>AND('Planilla_General_07-12-2012_8_3'!G269,"AAAAAHX7ftM=")</f>
        <v>#VALUE!</v>
      </c>
      <c r="HE18" t="e">
        <f>AND('Planilla_General_07-12-2012_8_3'!H269,"AAAAAHX7ftQ=")</f>
        <v>#VALUE!</v>
      </c>
      <c r="HF18" t="e">
        <f>AND('Planilla_General_07-12-2012_8_3'!I269,"AAAAAHX7ftU=")</f>
        <v>#VALUE!</v>
      </c>
      <c r="HG18" t="e">
        <f>AND('Planilla_General_07-12-2012_8_3'!J269,"AAAAAHX7ftY=")</f>
        <v>#VALUE!</v>
      </c>
      <c r="HH18" t="e">
        <f>AND('Planilla_General_07-12-2012_8_3'!K269,"AAAAAHX7ftc=")</f>
        <v>#VALUE!</v>
      </c>
      <c r="HI18" t="e">
        <f>AND('Planilla_General_07-12-2012_8_3'!L269,"AAAAAHX7ftg=")</f>
        <v>#VALUE!</v>
      </c>
      <c r="HJ18" t="e">
        <f>AND('Planilla_General_07-12-2012_8_3'!M269,"AAAAAHX7ftk=")</f>
        <v>#VALUE!</v>
      </c>
      <c r="HK18" t="e">
        <f>AND('Planilla_General_07-12-2012_8_3'!N269,"AAAAAHX7fto=")</f>
        <v>#VALUE!</v>
      </c>
      <c r="HL18" t="e">
        <f>AND('Planilla_General_07-12-2012_8_3'!O269,"AAAAAHX7fts=")</f>
        <v>#VALUE!</v>
      </c>
      <c r="HM18" t="e">
        <f>AND('Planilla_General_07-12-2012_8_3'!P269,"AAAAAHX7ftw=")</f>
        <v>#VALUE!</v>
      </c>
      <c r="HN18">
        <f>IF('Planilla_General_07-12-2012_8_3'!270:270,"AAAAAHX7ft0=",0)</f>
        <v>0</v>
      </c>
      <c r="HO18" t="e">
        <f>AND('Planilla_General_07-12-2012_8_3'!A270,"AAAAAHX7ft4=")</f>
        <v>#VALUE!</v>
      </c>
      <c r="HP18" t="e">
        <f>AND('Planilla_General_07-12-2012_8_3'!B270,"AAAAAHX7ft8=")</f>
        <v>#VALUE!</v>
      </c>
      <c r="HQ18" t="e">
        <f>AND('Planilla_General_07-12-2012_8_3'!C270,"AAAAAHX7fuA=")</f>
        <v>#VALUE!</v>
      </c>
      <c r="HR18" t="e">
        <f>AND('Planilla_General_07-12-2012_8_3'!D270,"AAAAAHX7fuE=")</f>
        <v>#VALUE!</v>
      </c>
      <c r="HS18" t="e">
        <f>AND('Planilla_General_07-12-2012_8_3'!E270,"AAAAAHX7fuI=")</f>
        <v>#VALUE!</v>
      </c>
      <c r="HT18" t="e">
        <f>AND('Planilla_General_07-12-2012_8_3'!F270,"AAAAAHX7fuM=")</f>
        <v>#VALUE!</v>
      </c>
      <c r="HU18" t="e">
        <f>AND('Planilla_General_07-12-2012_8_3'!G270,"AAAAAHX7fuQ=")</f>
        <v>#VALUE!</v>
      </c>
      <c r="HV18" t="e">
        <f>AND('Planilla_General_07-12-2012_8_3'!H270,"AAAAAHX7fuU=")</f>
        <v>#VALUE!</v>
      </c>
      <c r="HW18" t="e">
        <f>AND('Planilla_General_07-12-2012_8_3'!I270,"AAAAAHX7fuY=")</f>
        <v>#VALUE!</v>
      </c>
      <c r="HX18" t="e">
        <f>AND('Planilla_General_07-12-2012_8_3'!J270,"AAAAAHX7fuc=")</f>
        <v>#VALUE!</v>
      </c>
      <c r="HY18" t="e">
        <f>AND('Planilla_General_07-12-2012_8_3'!K270,"AAAAAHX7fug=")</f>
        <v>#VALUE!</v>
      </c>
      <c r="HZ18" t="e">
        <f>AND('Planilla_General_07-12-2012_8_3'!L270,"AAAAAHX7fuk=")</f>
        <v>#VALUE!</v>
      </c>
      <c r="IA18" t="e">
        <f>AND('Planilla_General_07-12-2012_8_3'!M270,"AAAAAHX7fuo=")</f>
        <v>#VALUE!</v>
      </c>
      <c r="IB18" t="e">
        <f>AND('Planilla_General_07-12-2012_8_3'!N270,"AAAAAHX7fus=")</f>
        <v>#VALUE!</v>
      </c>
      <c r="IC18" t="e">
        <f>AND('Planilla_General_07-12-2012_8_3'!O270,"AAAAAHX7fuw=")</f>
        <v>#VALUE!</v>
      </c>
      <c r="ID18" t="e">
        <f>AND('Planilla_General_07-12-2012_8_3'!P270,"AAAAAHX7fu0=")</f>
        <v>#VALUE!</v>
      </c>
      <c r="IE18">
        <f>IF('Planilla_General_07-12-2012_8_3'!271:271,"AAAAAHX7fu4=",0)</f>
        <v>0</v>
      </c>
      <c r="IF18" t="e">
        <f>AND('Planilla_General_07-12-2012_8_3'!A271,"AAAAAHX7fu8=")</f>
        <v>#VALUE!</v>
      </c>
      <c r="IG18" t="e">
        <f>AND('Planilla_General_07-12-2012_8_3'!B271,"AAAAAHX7fvA=")</f>
        <v>#VALUE!</v>
      </c>
      <c r="IH18" t="e">
        <f>AND('Planilla_General_07-12-2012_8_3'!C271,"AAAAAHX7fvE=")</f>
        <v>#VALUE!</v>
      </c>
      <c r="II18" t="e">
        <f>AND('Planilla_General_07-12-2012_8_3'!D271,"AAAAAHX7fvI=")</f>
        <v>#VALUE!</v>
      </c>
      <c r="IJ18" t="e">
        <f>AND('Planilla_General_07-12-2012_8_3'!E271,"AAAAAHX7fvM=")</f>
        <v>#VALUE!</v>
      </c>
      <c r="IK18" t="e">
        <f>AND('Planilla_General_07-12-2012_8_3'!F271,"AAAAAHX7fvQ=")</f>
        <v>#VALUE!</v>
      </c>
      <c r="IL18" t="e">
        <f>AND('Planilla_General_07-12-2012_8_3'!G271,"AAAAAHX7fvU=")</f>
        <v>#VALUE!</v>
      </c>
      <c r="IM18" t="e">
        <f>AND('Planilla_General_07-12-2012_8_3'!H271,"AAAAAHX7fvY=")</f>
        <v>#VALUE!</v>
      </c>
      <c r="IN18" t="e">
        <f>AND('Planilla_General_07-12-2012_8_3'!I271,"AAAAAHX7fvc=")</f>
        <v>#VALUE!</v>
      </c>
      <c r="IO18" t="e">
        <f>AND('Planilla_General_07-12-2012_8_3'!J271,"AAAAAHX7fvg=")</f>
        <v>#VALUE!</v>
      </c>
      <c r="IP18" t="e">
        <f>AND('Planilla_General_07-12-2012_8_3'!K271,"AAAAAHX7fvk=")</f>
        <v>#VALUE!</v>
      </c>
      <c r="IQ18" t="e">
        <f>AND('Planilla_General_07-12-2012_8_3'!L271,"AAAAAHX7fvo=")</f>
        <v>#VALUE!</v>
      </c>
      <c r="IR18" t="e">
        <f>AND('Planilla_General_07-12-2012_8_3'!M271,"AAAAAHX7fvs=")</f>
        <v>#VALUE!</v>
      </c>
      <c r="IS18" t="e">
        <f>AND('Planilla_General_07-12-2012_8_3'!N271,"AAAAAHX7fvw=")</f>
        <v>#VALUE!</v>
      </c>
      <c r="IT18" t="e">
        <f>AND('Planilla_General_07-12-2012_8_3'!O271,"AAAAAHX7fv0=")</f>
        <v>#VALUE!</v>
      </c>
      <c r="IU18" t="e">
        <f>AND('Planilla_General_07-12-2012_8_3'!P271,"AAAAAHX7fv4=")</f>
        <v>#VALUE!</v>
      </c>
      <c r="IV18">
        <f>IF('Planilla_General_07-12-2012_8_3'!272:272,"AAAAAHX7fv8=",0)</f>
        <v>0</v>
      </c>
    </row>
    <row r="19" spans="1:256" x14ac:dyDescent="0.25">
      <c r="A19" t="e">
        <f>AND('Planilla_General_07-12-2012_8_3'!A272,"AAAAAFnUHwA=")</f>
        <v>#VALUE!</v>
      </c>
      <c r="B19" t="e">
        <f>AND('Planilla_General_07-12-2012_8_3'!B272,"AAAAAFnUHwE=")</f>
        <v>#VALUE!</v>
      </c>
      <c r="C19" t="e">
        <f>AND('Planilla_General_07-12-2012_8_3'!C272,"AAAAAFnUHwI=")</f>
        <v>#VALUE!</v>
      </c>
      <c r="D19" t="e">
        <f>AND('Planilla_General_07-12-2012_8_3'!D272,"AAAAAFnUHwM=")</f>
        <v>#VALUE!</v>
      </c>
      <c r="E19" t="e">
        <f>AND('Planilla_General_07-12-2012_8_3'!E272,"AAAAAFnUHwQ=")</f>
        <v>#VALUE!</v>
      </c>
      <c r="F19" t="e">
        <f>AND('Planilla_General_07-12-2012_8_3'!F272,"AAAAAFnUHwU=")</f>
        <v>#VALUE!</v>
      </c>
      <c r="G19" t="e">
        <f>AND('Planilla_General_07-12-2012_8_3'!G272,"AAAAAFnUHwY=")</f>
        <v>#VALUE!</v>
      </c>
      <c r="H19" t="e">
        <f>AND('Planilla_General_07-12-2012_8_3'!H272,"AAAAAFnUHwc=")</f>
        <v>#VALUE!</v>
      </c>
      <c r="I19" t="e">
        <f>AND('Planilla_General_07-12-2012_8_3'!I272,"AAAAAFnUHwg=")</f>
        <v>#VALUE!</v>
      </c>
      <c r="J19" t="e">
        <f>AND('Planilla_General_07-12-2012_8_3'!J272,"AAAAAFnUHwk=")</f>
        <v>#VALUE!</v>
      </c>
      <c r="K19" t="e">
        <f>AND('Planilla_General_07-12-2012_8_3'!K272,"AAAAAFnUHwo=")</f>
        <v>#VALUE!</v>
      </c>
      <c r="L19" t="e">
        <f>AND('Planilla_General_07-12-2012_8_3'!L272,"AAAAAFnUHws=")</f>
        <v>#VALUE!</v>
      </c>
      <c r="M19" t="e">
        <f>AND('Planilla_General_07-12-2012_8_3'!M272,"AAAAAFnUHww=")</f>
        <v>#VALUE!</v>
      </c>
      <c r="N19" t="e">
        <f>AND('Planilla_General_07-12-2012_8_3'!N272,"AAAAAFnUHw0=")</f>
        <v>#VALUE!</v>
      </c>
      <c r="O19" t="e">
        <f>AND('Planilla_General_07-12-2012_8_3'!O272,"AAAAAFnUHw4=")</f>
        <v>#VALUE!</v>
      </c>
      <c r="P19" t="e">
        <f>AND('Planilla_General_07-12-2012_8_3'!P272,"AAAAAFnUHw8=")</f>
        <v>#VALUE!</v>
      </c>
      <c r="Q19">
        <f>IF('Planilla_General_07-12-2012_8_3'!273:273,"AAAAAFnUHxA=",0)</f>
        <v>0</v>
      </c>
      <c r="R19" t="e">
        <f>AND('Planilla_General_07-12-2012_8_3'!A273,"AAAAAFnUHxE=")</f>
        <v>#VALUE!</v>
      </c>
      <c r="S19" t="e">
        <f>AND('Planilla_General_07-12-2012_8_3'!B273,"AAAAAFnUHxI=")</f>
        <v>#VALUE!</v>
      </c>
      <c r="T19" t="e">
        <f>AND('Planilla_General_07-12-2012_8_3'!C273,"AAAAAFnUHxM=")</f>
        <v>#VALUE!</v>
      </c>
      <c r="U19" t="e">
        <f>AND('Planilla_General_07-12-2012_8_3'!D273,"AAAAAFnUHxQ=")</f>
        <v>#VALUE!</v>
      </c>
      <c r="V19" t="e">
        <f>AND('Planilla_General_07-12-2012_8_3'!E273,"AAAAAFnUHxU=")</f>
        <v>#VALUE!</v>
      </c>
      <c r="W19" t="e">
        <f>AND('Planilla_General_07-12-2012_8_3'!F273,"AAAAAFnUHxY=")</f>
        <v>#VALUE!</v>
      </c>
      <c r="X19" t="e">
        <f>AND('Planilla_General_07-12-2012_8_3'!G273,"AAAAAFnUHxc=")</f>
        <v>#VALUE!</v>
      </c>
      <c r="Y19" t="e">
        <f>AND('Planilla_General_07-12-2012_8_3'!H273,"AAAAAFnUHxg=")</f>
        <v>#VALUE!</v>
      </c>
      <c r="Z19" t="e">
        <f>AND('Planilla_General_07-12-2012_8_3'!I273,"AAAAAFnUHxk=")</f>
        <v>#VALUE!</v>
      </c>
      <c r="AA19" t="e">
        <f>AND('Planilla_General_07-12-2012_8_3'!J273,"AAAAAFnUHxo=")</f>
        <v>#VALUE!</v>
      </c>
      <c r="AB19" t="e">
        <f>AND('Planilla_General_07-12-2012_8_3'!K273,"AAAAAFnUHxs=")</f>
        <v>#VALUE!</v>
      </c>
      <c r="AC19" t="e">
        <f>AND('Planilla_General_07-12-2012_8_3'!L273,"AAAAAFnUHxw=")</f>
        <v>#VALUE!</v>
      </c>
      <c r="AD19" t="e">
        <f>AND('Planilla_General_07-12-2012_8_3'!M273,"AAAAAFnUHx0=")</f>
        <v>#VALUE!</v>
      </c>
      <c r="AE19" t="e">
        <f>AND('Planilla_General_07-12-2012_8_3'!N273,"AAAAAFnUHx4=")</f>
        <v>#VALUE!</v>
      </c>
      <c r="AF19" t="e">
        <f>AND('Planilla_General_07-12-2012_8_3'!O273,"AAAAAFnUHx8=")</f>
        <v>#VALUE!</v>
      </c>
      <c r="AG19" t="e">
        <f>AND('Planilla_General_07-12-2012_8_3'!P273,"AAAAAFnUHyA=")</f>
        <v>#VALUE!</v>
      </c>
      <c r="AH19">
        <f>IF('Planilla_General_07-12-2012_8_3'!274:274,"AAAAAFnUHyE=",0)</f>
        <v>0</v>
      </c>
      <c r="AI19" t="e">
        <f>AND('Planilla_General_07-12-2012_8_3'!A274,"AAAAAFnUHyI=")</f>
        <v>#VALUE!</v>
      </c>
      <c r="AJ19" t="e">
        <f>AND('Planilla_General_07-12-2012_8_3'!B274,"AAAAAFnUHyM=")</f>
        <v>#VALUE!</v>
      </c>
      <c r="AK19" t="e">
        <f>AND('Planilla_General_07-12-2012_8_3'!C274,"AAAAAFnUHyQ=")</f>
        <v>#VALUE!</v>
      </c>
      <c r="AL19" t="e">
        <f>AND('Planilla_General_07-12-2012_8_3'!D274,"AAAAAFnUHyU=")</f>
        <v>#VALUE!</v>
      </c>
      <c r="AM19" t="e">
        <f>AND('Planilla_General_07-12-2012_8_3'!E274,"AAAAAFnUHyY=")</f>
        <v>#VALUE!</v>
      </c>
      <c r="AN19" t="e">
        <f>AND('Planilla_General_07-12-2012_8_3'!F274,"AAAAAFnUHyc=")</f>
        <v>#VALUE!</v>
      </c>
      <c r="AO19" t="e">
        <f>AND('Planilla_General_07-12-2012_8_3'!G274,"AAAAAFnUHyg=")</f>
        <v>#VALUE!</v>
      </c>
      <c r="AP19" t="e">
        <f>AND('Planilla_General_07-12-2012_8_3'!H274,"AAAAAFnUHyk=")</f>
        <v>#VALUE!</v>
      </c>
      <c r="AQ19" t="e">
        <f>AND('Planilla_General_07-12-2012_8_3'!I274,"AAAAAFnUHyo=")</f>
        <v>#VALUE!</v>
      </c>
      <c r="AR19" t="e">
        <f>AND('Planilla_General_07-12-2012_8_3'!J274,"AAAAAFnUHys=")</f>
        <v>#VALUE!</v>
      </c>
      <c r="AS19" t="e">
        <f>AND('Planilla_General_07-12-2012_8_3'!K274,"AAAAAFnUHyw=")</f>
        <v>#VALUE!</v>
      </c>
      <c r="AT19" t="e">
        <f>AND('Planilla_General_07-12-2012_8_3'!L274,"AAAAAFnUHy0=")</f>
        <v>#VALUE!</v>
      </c>
      <c r="AU19" t="e">
        <f>AND('Planilla_General_07-12-2012_8_3'!M274,"AAAAAFnUHy4=")</f>
        <v>#VALUE!</v>
      </c>
      <c r="AV19" t="e">
        <f>AND('Planilla_General_07-12-2012_8_3'!N274,"AAAAAFnUHy8=")</f>
        <v>#VALUE!</v>
      </c>
      <c r="AW19" t="e">
        <f>AND('Planilla_General_07-12-2012_8_3'!O274,"AAAAAFnUHzA=")</f>
        <v>#VALUE!</v>
      </c>
      <c r="AX19" t="e">
        <f>AND('Planilla_General_07-12-2012_8_3'!P274,"AAAAAFnUHzE=")</f>
        <v>#VALUE!</v>
      </c>
      <c r="AY19">
        <f>IF('Planilla_General_07-12-2012_8_3'!275:275,"AAAAAFnUHzI=",0)</f>
        <v>0</v>
      </c>
      <c r="AZ19" t="e">
        <f>AND('Planilla_General_07-12-2012_8_3'!A275,"AAAAAFnUHzM=")</f>
        <v>#VALUE!</v>
      </c>
      <c r="BA19" t="e">
        <f>AND('Planilla_General_07-12-2012_8_3'!B275,"AAAAAFnUHzQ=")</f>
        <v>#VALUE!</v>
      </c>
      <c r="BB19" t="e">
        <f>AND('Planilla_General_07-12-2012_8_3'!C275,"AAAAAFnUHzU=")</f>
        <v>#VALUE!</v>
      </c>
      <c r="BC19" t="e">
        <f>AND('Planilla_General_07-12-2012_8_3'!D275,"AAAAAFnUHzY=")</f>
        <v>#VALUE!</v>
      </c>
      <c r="BD19" t="e">
        <f>AND('Planilla_General_07-12-2012_8_3'!E275,"AAAAAFnUHzc=")</f>
        <v>#VALUE!</v>
      </c>
      <c r="BE19" t="e">
        <f>AND('Planilla_General_07-12-2012_8_3'!F275,"AAAAAFnUHzg=")</f>
        <v>#VALUE!</v>
      </c>
      <c r="BF19" t="e">
        <f>AND('Planilla_General_07-12-2012_8_3'!G275,"AAAAAFnUHzk=")</f>
        <v>#VALUE!</v>
      </c>
      <c r="BG19" t="e">
        <f>AND('Planilla_General_07-12-2012_8_3'!H275,"AAAAAFnUHzo=")</f>
        <v>#VALUE!</v>
      </c>
      <c r="BH19" t="e">
        <f>AND('Planilla_General_07-12-2012_8_3'!I275,"AAAAAFnUHzs=")</f>
        <v>#VALUE!</v>
      </c>
      <c r="BI19" t="e">
        <f>AND('Planilla_General_07-12-2012_8_3'!J275,"AAAAAFnUHzw=")</f>
        <v>#VALUE!</v>
      </c>
      <c r="BJ19" t="e">
        <f>AND('Planilla_General_07-12-2012_8_3'!K275,"AAAAAFnUHz0=")</f>
        <v>#VALUE!</v>
      </c>
      <c r="BK19" t="e">
        <f>AND('Planilla_General_07-12-2012_8_3'!L275,"AAAAAFnUHz4=")</f>
        <v>#VALUE!</v>
      </c>
      <c r="BL19" t="e">
        <f>AND('Planilla_General_07-12-2012_8_3'!M275,"AAAAAFnUHz8=")</f>
        <v>#VALUE!</v>
      </c>
      <c r="BM19" t="e">
        <f>AND('Planilla_General_07-12-2012_8_3'!N275,"AAAAAFnUH0A=")</f>
        <v>#VALUE!</v>
      </c>
      <c r="BN19" t="e">
        <f>AND('Planilla_General_07-12-2012_8_3'!O275,"AAAAAFnUH0E=")</f>
        <v>#VALUE!</v>
      </c>
      <c r="BO19" t="e">
        <f>AND('Planilla_General_07-12-2012_8_3'!P275,"AAAAAFnUH0I=")</f>
        <v>#VALUE!</v>
      </c>
      <c r="BP19">
        <f>IF('Planilla_General_07-12-2012_8_3'!276:276,"AAAAAFnUH0M=",0)</f>
        <v>0</v>
      </c>
      <c r="BQ19" t="e">
        <f>AND('Planilla_General_07-12-2012_8_3'!A276,"AAAAAFnUH0Q=")</f>
        <v>#VALUE!</v>
      </c>
      <c r="BR19" t="e">
        <f>AND('Planilla_General_07-12-2012_8_3'!B276,"AAAAAFnUH0U=")</f>
        <v>#VALUE!</v>
      </c>
      <c r="BS19" t="e">
        <f>AND('Planilla_General_07-12-2012_8_3'!C276,"AAAAAFnUH0Y=")</f>
        <v>#VALUE!</v>
      </c>
      <c r="BT19" t="e">
        <f>AND('Planilla_General_07-12-2012_8_3'!D276,"AAAAAFnUH0c=")</f>
        <v>#VALUE!</v>
      </c>
      <c r="BU19" t="e">
        <f>AND('Planilla_General_07-12-2012_8_3'!E276,"AAAAAFnUH0g=")</f>
        <v>#VALUE!</v>
      </c>
      <c r="BV19" t="e">
        <f>AND('Planilla_General_07-12-2012_8_3'!F276,"AAAAAFnUH0k=")</f>
        <v>#VALUE!</v>
      </c>
      <c r="BW19" t="e">
        <f>AND('Planilla_General_07-12-2012_8_3'!G276,"AAAAAFnUH0o=")</f>
        <v>#VALUE!</v>
      </c>
      <c r="BX19" t="e">
        <f>AND('Planilla_General_07-12-2012_8_3'!H276,"AAAAAFnUH0s=")</f>
        <v>#VALUE!</v>
      </c>
      <c r="BY19" t="e">
        <f>AND('Planilla_General_07-12-2012_8_3'!I276,"AAAAAFnUH0w=")</f>
        <v>#VALUE!</v>
      </c>
      <c r="BZ19" t="e">
        <f>AND('Planilla_General_07-12-2012_8_3'!J276,"AAAAAFnUH00=")</f>
        <v>#VALUE!</v>
      </c>
      <c r="CA19" t="e">
        <f>AND('Planilla_General_07-12-2012_8_3'!K276,"AAAAAFnUH04=")</f>
        <v>#VALUE!</v>
      </c>
      <c r="CB19" t="e">
        <f>AND('Planilla_General_07-12-2012_8_3'!L276,"AAAAAFnUH08=")</f>
        <v>#VALUE!</v>
      </c>
      <c r="CC19" t="e">
        <f>AND('Planilla_General_07-12-2012_8_3'!M276,"AAAAAFnUH1A=")</f>
        <v>#VALUE!</v>
      </c>
      <c r="CD19" t="e">
        <f>AND('Planilla_General_07-12-2012_8_3'!N276,"AAAAAFnUH1E=")</f>
        <v>#VALUE!</v>
      </c>
      <c r="CE19" t="e">
        <f>AND('Planilla_General_07-12-2012_8_3'!O276,"AAAAAFnUH1I=")</f>
        <v>#VALUE!</v>
      </c>
      <c r="CF19" t="e">
        <f>AND('Planilla_General_07-12-2012_8_3'!P276,"AAAAAFnUH1M=")</f>
        <v>#VALUE!</v>
      </c>
      <c r="CG19">
        <f>IF('Planilla_General_07-12-2012_8_3'!277:277,"AAAAAFnUH1Q=",0)</f>
        <v>0</v>
      </c>
      <c r="CH19" t="e">
        <f>AND('Planilla_General_07-12-2012_8_3'!A277,"AAAAAFnUH1U=")</f>
        <v>#VALUE!</v>
      </c>
      <c r="CI19" t="e">
        <f>AND('Planilla_General_07-12-2012_8_3'!B277,"AAAAAFnUH1Y=")</f>
        <v>#VALUE!</v>
      </c>
      <c r="CJ19" t="e">
        <f>AND('Planilla_General_07-12-2012_8_3'!C277,"AAAAAFnUH1c=")</f>
        <v>#VALUE!</v>
      </c>
      <c r="CK19" t="e">
        <f>AND('Planilla_General_07-12-2012_8_3'!D277,"AAAAAFnUH1g=")</f>
        <v>#VALUE!</v>
      </c>
      <c r="CL19" t="e">
        <f>AND('Planilla_General_07-12-2012_8_3'!E277,"AAAAAFnUH1k=")</f>
        <v>#VALUE!</v>
      </c>
      <c r="CM19" t="e">
        <f>AND('Planilla_General_07-12-2012_8_3'!F277,"AAAAAFnUH1o=")</f>
        <v>#VALUE!</v>
      </c>
      <c r="CN19" t="e">
        <f>AND('Planilla_General_07-12-2012_8_3'!G277,"AAAAAFnUH1s=")</f>
        <v>#VALUE!</v>
      </c>
      <c r="CO19" t="e">
        <f>AND('Planilla_General_07-12-2012_8_3'!H277,"AAAAAFnUH1w=")</f>
        <v>#VALUE!</v>
      </c>
      <c r="CP19" t="e">
        <f>AND('Planilla_General_07-12-2012_8_3'!I277,"AAAAAFnUH10=")</f>
        <v>#VALUE!</v>
      </c>
      <c r="CQ19" t="e">
        <f>AND('Planilla_General_07-12-2012_8_3'!J277,"AAAAAFnUH14=")</f>
        <v>#VALUE!</v>
      </c>
      <c r="CR19" t="e">
        <f>AND('Planilla_General_07-12-2012_8_3'!K277,"AAAAAFnUH18=")</f>
        <v>#VALUE!</v>
      </c>
      <c r="CS19" t="e">
        <f>AND('Planilla_General_07-12-2012_8_3'!L277,"AAAAAFnUH2A=")</f>
        <v>#VALUE!</v>
      </c>
      <c r="CT19" t="e">
        <f>AND('Planilla_General_07-12-2012_8_3'!M277,"AAAAAFnUH2E=")</f>
        <v>#VALUE!</v>
      </c>
      <c r="CU19" t="e">
        <f>AND('Planilla_General_07-12-2012_8_3'!N277,"AAAAAFnUH2I=")</f>
        <v>#VALUE!</v>
      </c>
      <c r="CV19" t="e">
        <f>AND('Planilla_General_07-12-2012_8_3'!O277,"AAAAAFnUH2M=")</f>
        <v>#VALUE!</v>
      </c>
      <c r="CW19" t="e">
        <f>AND('Planilla_General_07-12-2012_8_3'!P277,"AAAAAFnUH2Q=")</f>
        <v>#VALUE!</v>
      </c>
      <c r="CX19">
        <f>IF('Planilla_General_07-12-2012_8_3'!278:278,"AAAAAFnUH2U=",0)</f>
        <v>0</v>
      </c>
      <c r="CY19" t="e">
        <f>AND('Planilla_General_07-12-2012_8_3'!A278,"AAAAAFnUH2Y=")</f>
        <v>#VALUE!</v>
      </c>
      <c r="CZ19" t="e">
        <f>AND('Planilla_General_07-12-2012_8_3'!B278,"AAAAAFnUH2c=")</f>
        <v>#VALUE!</v>
      </c>
      <c r="DA19" t="e">
        <f>AND('Planilla_General_07-12-2012_8_3'!C278,"AAAAAFnUH2g=")</f>
        <v>#VALUE!</v>
      </c>
      <c r="DB19" t="e">
        <f>AND('Planilla_General_07-12-2012_8_3'!D278,"AAAAAFnUH2k=")</f>
        <v>#VALUE!</v>
      </c>
      <c r="DC19" t="e">
        <f>AND('Planilla_General_07-12-2012_8_3'!E278,"AAAAAFnUH2o=")</f>
        <v>#VALUE!</v>
      </c>
      <c r="DD19" t="e">
        <f>AND('Planilla_General_07-12-2012_8_3'!F278,"AAAAAFnUH2s=")</f>
        <v>#VALUE!</v>
      </c>
      <c r="DE19" t="e">
        <f>AND('Planilla_General_07-12-2012_8_3'!G278,"AAAAAFnUH2w=")</f>
        <v>#VALUE!</v>
      </c>
      <c r="DF19" t="e">
        <f>AND('Planilla_General_07-12-2012_8_3'!H278,"AAAAAFnUH20=")</f>
        <v>#VALUE!</v>
      </c>
      <c r="DG19" t="e">
        <f>AND('Planilla_General_07-12-2012_8_3'!I278,"AAAAAFnUH24=")</f>
        <v>#VALUE!</v>
      </c>
      <c r="DH19" t="e">
        <f>AND('Planilla_General_07-12-2012_8_3'!J278,"AAAAAFnUH28=")</f>
        <v>#VALUE!</v>
      </c>
      <c r="DI19" t="e">
        <f>AND('Planilla_General_07-12-2012_8_3'!K278,"AAAAAFnUH3A=")</f>
        <v>#VALUE!</v>
      </c>
      <c r="DJ19" t="e">
        <f>AND('Planilla_General_07-12-2012_8_3'!L278,"AAAAAFnUH3E=")</f>
        <v>#VALUE!</v>
      </c>
      <c r="DK19" t="e">
        <f>AND('Planilla_General_07-12-2012_8_3'!M278,"AAAAAFnUH3I=")</f>
        <v>#VALUE!</v>
      </c>
      <c r="DL19" t="e">
        <f>AND('Planilla_General_07-12-2012_8_3'!N278,"AAAAAFnUH3M=")</f>
        <v>#VALUE!</v>
      </c>
      <c r="DM19" t="e">
        <f>AND('Planilla_General_07-12-2012_8_3'!O278,"AAAAAFnUH3Q=")</f>
        <v>#VALUE!</v>
      </c>
      <c r="DN19" t="e">
        <f>AND('Planilla_General_07-12-2012_8_3'!P278,"AAAAAFnUH3U=")</f>
        <v>#VALUE!</v>
      </c>
      <c r="DO19">
        <f>IF('Planilla_General_07-12-2012_8_3'!279:279,"AAAAAFnUH3Y=",0)</f>
        <v>0</v>
      </c>
      <c r="DP19" t="e">
        <f>AND('Planilla_General_07-12-2012_8_3'!A279,"AAAAAFnUH3c=")</f>
        <v>#VALUE!</v>
      </c>
      <c r="DQ19" t="e">
        <f>AND('Planilla_General_07-12-2012_8_3'!B279,"AAAAAFnUH3g=")</f>
        <v>#VALUE!</v>
      </c>
      <c r="DR19" t="e">
        <f>AND('Planilla_General_07-12-2012_8_3'!C279,"AAAAAFnUH3k=")</f>
        <v>#VALUE!</v>
      </c>
      <c r="DS19" t="e">
        <f>AND('Planilla_General_07-12-2012_8_3'!D279,"AAAAAFnUH3o=")</f>
        <v>#VALUE!</v>
      </c>
      <c r="DT19" t="e">
        <f>AND('Planilla_General_07-12-2012_8_3'!E279,"AAAAAFnUH3s=")</f>
        <v>#VALUE!</v>
      </c>
      <c r="DU19" t="e">
        <f>AND('Planilla_General_07-12-2012_8_3'!F279,"AAAAAFnUH3w=")</f>
        <v>#VALUE!</v>
      </c>
      <c r="DV19" t="e">
        <f>AND('Planilla_General_07-12-2012_8_3'!G279,"AAAAAFnUH30=")</f>
        <v>#VALUE!</v>
      </c>
      <c r="DW19" t="e">
        <f>AND('Planilla_General_07-12-2012_8_3'!H279,"AAAAAFnUH34=")</f>
        <v>#VALUE!</v>
      </c>
      <c r="DX19" t="e">
        <f>AND('Planilla_General_07-12-2012_8_3'!I279,"AAAAAFnUH38=")</f>
        <v>#VALUE!</v>
      </c>
      <c r="DY19" t="e">
        <f>AND('Planilla_General_07-12-2012_8_3'!J279,"AAAAAFnUH4A=")</f>
        <v>#VALUE!</v>
      </c>
      <c r="DZ19" t="e">
        <f>AND('Planilla_General_07-12-2012_8_3'!K279,"AAAAAFnUH4E=")</f>
        <v>#VALUE!</v>
      </c>
      <c r="EA19" t="e">
        <f>AND('Planilla_General_07-12-2012_8_3'!L279,"AAAAAFnUH4I=")</f>
        <v>#VALUE!</v>
      </c>
      <c r="EB19" t="e">
        <f>AND('Planilla_General_07-12-2012_8_3'!M279,"AAAAAFnUH4M=")</f>
        <v>#VALUE!</v>
      </c>
      <c r="EC19" t="e">
        <f>AND('Planilla_General_07-12-2012_8_3'!N279,"AAAAAFnUH4Q=")</f>
        <v>#VALUE!</v>
      </c>
      <c r="ED19" t="e">
        <f>AND('Planilla_General_07-12-2012_8_3'!O279,"AAAAAFnUH4U=")</f>
        <v>#VALUE!</v>
      </c>
      <c r="EE19" t="e">
        <f>AND('Planilla_General_07-12-2012_8_3'!P279,"AAAAAFnUH4Y=")</f>
        <v>#VALUE!</v>
      </c>
      <c r="EF19">
        <f>IF('Planilla_General_07-12-2012_8_3'!280:280,"AAAAAFnUH4c=",0)</f>
        <v>0</v>
      </c>
      <c r="EG19" t="e">
        <f>AND('Planilla_General_07-12-2012_8_3'!A280,"AAAAAFnUH4g=")</f>
        <v>#VALUE!</v>
      </c>
      <c r="EH19" t="e">
        <f>AND('Planilla_General_07-12-2012_8_3'!B280,"AAAAAFnUH4k=")</f>
        <v>#VALUE!</v>
      </c>
      <c r="EI19" t="e">
        <f>AND('Planilla_General_07-12-2012_8_3'!C280,"AAAAAFnUH4o=")</f>
        <v>#VALUE!</v>
      </c>
      <c r="EJ19" t="e">
        <f>AND('Planilla_General_07-12-2012_8_3'!D280,"AAAAAFnUH4s=")</f>
        <v>#VALUE!</v>
      </c>
      <c r="EK19" t="e">
        <f>AND('Planilla_General_07-12-2012_8_3'!E280,"AAAAAFnUH4w=")</f>
        <v>#VALUE!</v>
      </c>
      <c r="EL19" t="e">
        <f>AND('Planilla_General_07-12-2012_8_3'!F280,"AAAAAFnUH40=")</f>
        <v>#VALUE!</v>
      </c>
      <c r="EM19" t="e">
        <f>AND('Planilla_General_07-12-2012_8_3'!G280,"AAAAAFnUH44=")</f>
        <v>#VALUE!</v>
      </c>
      <c r="EN19" t="e">
        <f>AND('Planilla_General_07-12-2012_8_3'!H280,"AAAAAFnUH48=")</f>
        <v>#VALUE!</v>
      </c>
      <c r="EO19" t="e">
        <f>AND('Planilla_General_07-12-2012_8_3'!I280,"AAAAAFnUH5A=")</f>
        <v>#VALUE!</v>
      </c>
      <c r="EP19" t="e">
        <f>AND('Planilla_General_07-12-2012_8_3'!J280,"AAAAAFnUH5E=")</f>
        <v>#VALUE!</v>
      </c>
      <c r="EQ19" t="e">
        <f>AND('Planilla_General_07-12-2012_8_3'!K280,"AAAAAFnUH5I=")</f>
        <v>#VALUE!</v>
      </c>
      <c r="ER19" t="e">
        <f>AND('Planilla_General_07-12-2012_8_3'!L280,"AAAAAFnUH5M=")</f>
        <v>#VALUE!</v>
      </c>
      <c r="ES19" t="e">
        <f>AND('Planilla_General_07-12-2012_8_3'!M280,"AAAAAFnUH5Q=")</f>
        <v>#VALUE!</v>
      </c>
      <c r="ET19" t="e">
        <f>AND('Planilla_General_07-12-2012_8_3'!N280,"AAAAAFnUH5U=")</f>
        <v>#VALUE!</v>
      </c>
      <c r="EU19" t="e">
        <f>AND('Planilla_General_07-12-2012_8_3'!O280,"AAAAAFnUH5Y=")</f>
        <v>#VALUE!</v>
      </c>
      <c r="EV19" t="e">
        <f>AND('Planilla_General_07-12-2012_8_3'!P280,"AAAAAFnUH5c=")</f>
        <v>#VALUE!</v>
      </c>
      <c r="EW19">
        <f>IF('Planilla_General_07-12-2012_8_3'!281:281,"AAAAAFnUH5g=",0)</f>
        <v>0</v>
      </c>
      <c r="EX19" t="e">
        <f>AND('Planilla_General_07-12-2012_8_3'!A281,"AAAAAFnUH5k=")</f>
        <v>#VALUE!</v>
      </c>
      <c r="EY19" t="e">
        <f>AND('Planilla_General_07-12-2012_8_3'!B281,"AAAAAFnUH5o=")</f>
        <v>#VALUE!</v>
      </c>
      <c r="EZ19" t="e">
        <f>AND('Planilla_General_07-12-2012_8_3'!C281,"AAAAAFnUH5s=")</f>
        <v>#VALUE!</v>
      </c>
      <c r="FA19" t="e">
        <f>AND('Planilla_General_07-12-2012_8_3'!D281,"AAAAAFnUH5w=")</f>
        <v>#VALUE!</v>
      </c>
      <c r="FB19" t="e">
        <f>AND('Planilla_General_07-12-2012_8_3'!E281,"AAAAAFnUH50=")</f>
        <v>#VALUE!</v>
      </c>
      <c r="FC19" t="e">
        <f>AND('Planilla_General_07-12-2012_8_3'!F281,"AAAAAFnUH54=")</f>
        <v>#VALUE!</v>
      </c>
      <c r="FD19" t="e">
        <f>AND('Planilla_General_07-12-2012_8_3'!G281,"AAAAAFnUH58=")</f>
        <v>#VALUE!</v>
      </c>
      <c r="FE19" t="e">
        <f>AND('Planilla_General_07-12-2012_8_3'!H281,"AAAAAFnUH6A=")</f>
        <v>#VALUE!</v>
      </c>
      <c r="FF19" t="e">
        <f>AND('Planilla_General_07-12-2012_8_3'!I281,"AAAAAFnUH6E=")</f>
        <v>#VALUE!</v>
      </c>
      <c r="FG19" t="e">
        <f>AND('Planilla_General_07-12-2012_8_3'!J281,"AAAAAFnUH6I=")</f>
        <v>#VALUE!</v>
      </c>
      <c r="FH19" t="e">
        <f>AND('Planilla_General_07-12-2012_8_3'!K281,"AAAAAFnUH6M=")</f>
        <v>#VALUE!</v>
      </c>
      <c r="FI19" t="e">
        <f>AND('Planilla_General_07-12-2012_8_3'!L281,"AAAAAFnUH6Q=")</f>
        <v>#VALUE!</v>
      </c>
      <c r="FJ19" t="e">
        <f>AND('Planilla_General_07-12-2012_8_3'!M281,"AAAAAFnUH6U=")</f>
        <v>#VALUE!</v>
      </c>
      <c r="FK19" t="e">
        <f>AND('Planilla_General_07-12-2012_8_3'!N281,"AAAAAFnUH6Y=")</f>
        <v>#VALUE!</v>
      </c>
      <c r="FL19" t="e">
        <f>AND('Planilla_General_07-12-2012_8_3'!O281,"AAAAAFnUH6c=")</f>
        <v>#VALUE!</v>
      </c>
      <c r="FM19" t="e">
        <f>AND('Planilla_General_07-12-2012_8_3'!P281,"AAAAAFnUH6g=")</f>
        <v>#VALUE!</v>
      </c>
      <c r="FN19">
        <f>IF('Planilla_General_07-12-2012_8_3'!282:282,"AAAAAFnUH6k=",0)</f>
        <v>0</v>
      </c>
      <c r="FO19" t="e">
        <f>AND('Planilla_General_07-12-2012_8_3'!A282,"AAAAAFnUH6o=")</f>
        <v>#VALUE!</v>
      </c>
      <c r="FP19" t="e">
        <f>AND('Planilla_General_07-12-2012_8_3'!B282,"AAAAAFnUH6s=")</f>
        <v>#VALUE!</v>
      </c>
      <c r="FQ19" t="e">
        <f>AND('Planilla_General_07-12-2012_8_3'!C282,"AAAAAFnUH6w=")</f>
        <v>#VALUE!</v>
      </c>
      <c r="FR19" t="e">
        <f>AND('Planilla_General_07-12-2012_8_3'!D282,"AAAAAFnUH60=")</f>
        <v>#VALUE!</v>
      </c>
      <c r="FS19" t="e">
        <f>AND('Planilla_General_07-12-2012_8_3'!E282,"AAAAAFnUH64=")</f>
        <v>#VALUE!</v>
      </c>
      <c r="FT19" t="e">
        <f>AND('Planilla_General_07-12-2012_8_3'!F282,"AAAAAFnUH68=")</f>
        <v>#VALUE!</v>
      </c>
      <c r="FU19" t="e">
        <f>AND('Planilla_General_07-12-2012_8_3'!G282,"AAAAAFnUH7A=")</f>
        <v>#VALUE!</v>
      </c>
      <c r="FV19" t="e">
        <f>AND('Planilla_General_07-12-2012_8_3'!H282,"AAAAAFnUH7E=")</f>
        <v>#VALUE!</v>
      </c>
      <c r="FW19" t="e">
        <f>AND('Planilla_General_07-12-2012_8_3'!I282,"AAAAAFnUH7I=")</f>
        <v>#VALUE!</v>
      </c>
      <c r="FX19" t="e">
        <f>AND('Planilla_General_07-12-2012_8_3'!J282,"AAAAAFnUH7M=")</f>
        <v>#VALUE!</v>
      </c>
      <c r="FY19" t="e">
        <f>AND('Planilla_General_07-12-2012_8_3'!K282,"AAAAAFnUH7Q=")</f>
        <v>#VALUE!</v>
      </c>
      <c r="FZ19" t="e">
        <f>AND('Planilla_General_07-12-2012_8_3'!L282,"AAAAAFnUH7U=")</f>
        <v>#VALUE!</v>
      </c>
      <c r="GA19" t="e">
        <f>AND('Planilla_General_07-12-2012_8_3'!M282,"AAAAAFnUH7Y=")</f>
        <v>#VALUE!</v>
      </c>
      <c r="GB19" t="e">
        <f>AND('Planilla_General_07-12-2012_8_3'!N282,"AAAAAFnUH7c=")</f>
        <v>#VALUE!</v>
      </c>
      <c r="GC19" t="e">
        <f>AND('Planilla_General_07-12-2012_8_3'!O282,"AAAAAFnUH7g=")</f>
        <v>#VALUE!</v>
      </c>
      <c r="GD19" t="e">
        <f>AND('Planilla_General_07-12-2012_8_3'!P282,"AAAAAFnUH7k=")</f>
        <v>#VALUE!</v>
      </c>
      <c r="GE19">
        <f>IF('Planilla_General_07-12-2012_8_3'!283:283,"AAAAAFnUH7o=",0)</f>
        <v>0</v>
      </c>
      <c r="GF19" t="e">
        <f>AND('Planilla_General_07-12-2012_8_3'!A283,"AAAAAFnUH7s=")</f>
        <v>#VALUE!</v>
      </c>
      <c r="GG19" t="e">
        <f>AND('Planilla_General_07-12-2012_8_3'!B283,"AAAAAFnUH7w=")</f>
        <v>#VALUE!</v>
      </c>
      <c r="GH19" t="e">
        <f>AND('Planilla_General_07-12-2012_8_3'!C283,"AAAAAFnUH70=")</f>
        <v>#VALUE!</v>
      </c>
      <c r="GI19" t="e">
        <f>AND('Planilla_General_07-12-2012_8_3'!D283,"AAAAAFnUH74=")</f>
        <v>#VALUE!</v>
      </c>
      <c r="GJ19" t="e">
        <f>AND('Planilla_General_07-12-2012_8_3'!E283,"AAAAAFnUH78=")</f>
        <v>#VALUE!</v>
      </c>
      <c r="GK19" t="e">
        <f>AND('Planilla_General_07-12-2012_8_3'!F283,"AAAAAFnUH8A=")</f>
        <v>#VALUE!</v>
      </c>
      <c r="GL19" t="e">
        <f>AND('Planilla_General_07-12-2012_8_3'!G283,"AAAAAFnUH8E=")</f>
        <v>#VALUE!</v>
      </c>
      <c r="GM19" t="e">
        <f>AND('Planilla_General_07-12-2012_8_3'!H283,"AAAAAFnUH8I=")</f>
        <v>#VALUE!</v>
      </c>
      <c r="GN19" t="e">
        <f>AND('Planilla_General_07-12-2012_8_3'!I283,"AAAAAFnUH8M=")</f>
        <v>#VALUE!</v>
      </c>
      <c r="GO19" t="e">
        <f>AND('Planilla_General_07-12-2012_8_3'!J283,"AAAAAFnUH8Q=")</f>
        <v>#VALUE!</v>
      </c>
      <c r="GP19" t="e">
        <f>AND('Planilla_General_07-12-2012_8_3'!K283,"AAAAAFnUH8U=")</f>
        <v>#VALUE!</v>
      </c>
      <c r="GQ19" t="e">
        <f>AND('Planilla_General_07-12-2012_8_3'!L283,"AAAAAFnUH8Y=")</f>
        <v>#VALUE!</v>
      </c>
      <c r="GR19" t="e">
        <f>AND('Planilla_General_07-12-2012_8_3'!M283,"AAAAAFnUH8c=")</f>
        <v>#VALUE!</v>
      </c>
      <c r="GS19" t="e">
        <f>AND('Planilla_General_07-12-2012_8_3'!N283,"AAAAAFnUH8g=")</f>
        <v>#VALUE!</v>
      </c>
      <c r="GT19" t="e">
        <f>AND('Planilla_General_07-12-2012_8_3'!O283,"AAAAAFnUH8k=")</f>
        <v>#VALUE!</v>
      </c>
      <c r="GU19" t="e">
        <f>AND('Planilla_General_07-12-2012_8_3'!P283,"AAAAAFnUH8o=")</f>
        <v>#VALUE!</v>
      </c>
      <c r="GV19">
        <f>IF('Planilla_General_07-12-2012_8_3'!284:284,"AAAAAFnUH8s=",0)</f>
        <v>0</v>
      </c>
      <c r="GW19" t="e">
        <f>AND('Planilla_General_07-12-2012_8_3'!A284,"AAAAAFnUH8w=")</f>
        <v>#VALUE!</v>
      </c>
      <c r="GX19" t="e">
        <f>AND('Planilla_General_07-12-2012_8_3'!B284,"AAAAAFnUH80=")</f>
        <v>#VALUE!</v>
      </c>
      <c r="GY19" t="e">
        <f>AND('Planilla_General_07-12-2012_8_3'!C284,"AAAAAFnUH84=")</f>
        <v>#VALUE!</v>
      </c>
      <c r="GZ19" t="e">
        <f>AND('Planilla_General_07-12-2012_8_3'!D284,"AAAAAFnUH88=")</f>
        <v>#VALUE!</v>
      </c>
      <c r="HA19" t="e">
        <f>AND('Planilla_General_07-12-2012_8_3'!E284,"AAAAAFnUH9A=")</f>
        <v>#VALUE!</v>
      </c>
      <c r="HB19" t="e">
        <f>AND('Planilla_General_07-12-2012_8_3'!F284,"AAAAAFnUH9E=")</f>
        <v>#VALUE!</v>
      </c>
      <c r="HC19" t="e">
        <f>AND('Planilla_General_07-12-2012_8_3'!G284,"AAAAAFnUH9I=")</f>
        <v>#VALUE!</v>
      </c>
      <c r="HD19" t="e">
        <f>AND('Planilla_General_07-12-2012_8_3'!H284,"AAAAAFnUH9M=")</f>
        <v>#VALUE!</v>
      </c>
      <c r="HE19" t="e">
        <f>AND('Planilla_General_07-12-2012_8_3'!I284,"AAAAAFnUH9Q=")</f>
        <v>#VALUE!</v>
      </c>
      <c r="HF19" t="e">
        <f>AND('Planilla_General_07-12-2012_8_3'!J284,"AAAAAFnUH9U=")</f>
        <v>#VALUE!</v>
      </c>
      <c r="HG19" t="e">
        <f>AND('Planilla_General_07-12-2012_8_3'!K284,"AAAAAFnUH9Y=")</f>
        <v>#VALUE!</v>
      </c>
      <c r="HH19" t="e">
        <f>AND('Planilla_General_07-12-2012_8_3'!L284,"AAAAAFnUH9c=")</f>
        <v>#VALUE!</v>
      </c>
      <c r="HI19" t="e">
        <f>AND('Planilla_General_07-12-2012_8_3'!M284,"AAAAAFnUH9g=")</f>
        <v>#VALUE!</v>
      </c>
      <c r="HJ19" t="e">
        <f>AND('Planilla_General_07-12-2012_8_3'!N284,"AAAAAFnUH9k=")</f>
        <v>#VALUE!</v>
      </c>
      <c r="HK19" t="e">
        <f>AND('Planilla_General_07-12-2012_8_3'!O284,"AAAAAFnUH9o=")</f>
        <v>#VALUE!</v>
      </c>
      <c r="HL19" t="e">
        <f>AND('Planilla_General_07-12-2012_8_3'!P284,"AAAAAFnUH9s=")</f>
        <v>#VALUE!</v>
      </c>
      <c r="HM19">
        <f>IF('Planilla_General_07-12-2012_8_3'!285:285,"AAAAAFnUH9w=",0)</f>
        <v>0</v>
      </c>
      <c r="HN19" t="e">
        <f>AND('Planilla_General_07-12-2012_8_3'!A285,"AAAAAFnUH90=")</f>
        <v>#VALUE!</v>
      </c>
      <c r="HO19" t="e">
        <f>AND('Planilla_General_07-12-2012_8_3'!B285,"AAAAAFnUH94=")</f>
        <v>#VALUE!</v>
      </c>
      <c r="HP19" t="e">
        <f>AND('Planilla_General_07-12-2012_8_3'!C285,"AAAAAFnUH98=")</f>
        <v>#VALUE!</v>
      </c>
      <c r="HQ19" t="e">
        <f>AND('Planilla_General_07-12-2012_8_3'!D285,"AAAAAFnUH+A=")</f>
        <v>#VALUE!</v>
      </c>
      <c r="HR19" t="e">
        <f>AND('Planilla_General_07-12-2012_8_3'!E285,"AAAAAFnUH+E=")</f>
        <v>#VALUE!</v>
      </c>
      <c r="HS19" t="e">
        <f>AND('Planilla_General_07-12-2012_8_3'!F285,"AAAAAFnUH+I=")</f>
        <v>#VALUE!</v>
      </c>
      <c r="HT19" t="e">
        <f>AND('Planilla_General_07-12-2012_8_3'!G285,"AAAAAFnUH+M=")</f>
        <v>#VALUE!</v>
      </c>
      <c r="HU19" t="e">
        <f>AND('Planilla_General_07-12-2012_8_3'!H285,"AAAAAFnUH+Q=")</f>
        <v>#VALUE!</v>
      </c>
      <c r="HV19" t="e">
        <f>AND('Planilla_General_07-12-2012_8_3'!I285,"AAAAAFnUH+U=")</f>
        <v>#VALUE!</v>
      </c>
      <c r="HW19" t="e">
        <f>AND('Planilla_General_07-12-2012_8_3'!J285,"AAAAAFnUH+Y=")</f>
        <v>#VALUE!</v>
      </c>
      <c r="HX19" t="e">
        <f>AND('Planilla_General_07-12-2012_8_3'!K285,"AAAAAFnUH+c=")</f>
        <v>#VALUE!</v>
      </c>
      <c r="HY19" t="e">
        <f>AND('Planilla_General_07-12-2012_8_3'!L285,"AAAAAFnUH+g=")</f>
        <v>#VALUE!</v>
      </c>
      <c r="HZ19" t="e">
        <f>AND('Planilla_General_07-12-2012_8_3'!M285,"AAAAAFnUH+k=")</f>
        <v>#VALUE!</v>
      </c>
      <c r="IA19" t="e">
        <f>AND('Planilla_General_07-12-2012_8_3'!N285,"AAAAAFnUH+o=")</f>
        <v>#VALUE!</v>
      </c>
      <c r="IB19" t="e">
        <f>AND('Planilla_General_07-12-2012_8_3'!O285,"AAAAAFnUH+s=")</f>
        <v>#VALUE!</v>
      </c>
      <c r="IC19" t="e">
        <f>AND('Planilla_General_07-12-2012_8_3'!P285,"AAAAAFnUH+w=")</f>
        <v>#VALUE!</v>
      </c>
      <c r="ID19">
        <f>IF('Planilla_General_07-12-2012_8_3'!286:286,"AAAAAFnUH+0=",0)</f>
        <v>0</v>
      </c>
      <c r="IE19" t="e">
        <f>AND('Planilla_General_07-12-2012_8_3'!A286,"AAAAAFnUH+4=")</f>
        <v>#VALUE!</v>
      </c>
      <c r="IF19" t="e">
        <f>AND('Planilla_General_07-12-2012_8_3'!B286,"AAAAAFnUH+8=")</f>
        <v>#VALUE!</v>
      </c>
      <c r="IG19" t="e">
        <f>AND('Planilla_General_07-12-2012_8_3'!C286,"AAAAAFnUH/A=")</f>
        <v>#VALUE!</v>
      </c>
      <c r="IH19" t="e">
        <f>AND('Planilla_General_07-12-2012_8_3'!D286,"AAAAAFnUH/E=")</f>
        <v>#VALUE!</v>
      </c>
      <c r="II19" t="e">
        <f>AND('Planilla_General_07-12-2012_8_3'!E286,"AAAAAFnUH/I=")</f>
        <v>#VALUE!</v>
      </c>
      <c r="IJ19" t="e">
        <f>AND('Planilla_General_07-12-2012_8_3'!F286,"AAAAAFnUH/M=")</f>
        <v>#VALUE!</v>
      </c>
      <c r="IK19" t="e">
        <f>AND('Planilla_General_07-12-2012_8_3'!G286,"AAAAAFnUH/Q=")</f>
        <v>#VALUE!</v>
      </c>
      <c r="IL19" t="e">
        <f>AND('Planilla_General_07-12-2012_8_3'!H286,"AAAAAFnUH/U=")</f>
        <v>#VALUE!</v>
      </c>
      <c r="IM19" t="e">
        <f>AND('Planilla_General_07-12-2012_8_3'!I286,"AAAAAFnUH/Y=")</f>
        <v>#VALUE!</v>
      </c>
      <c r="IN19" t="e">
        <f>AND('Planilla_General_07-12-2012_8_3'!J286,"AAAAAFnUH/c=")</f>
        <v>#VALUE!</v>
      </c>
      <c r="IO19" t="e">
        <f>AND('Planilla_General_07-12-2012_8_3'!K286,"AAAAAFnUH/g=")</f>
        <v>#VALUE!</v>
      </c>
      <c r="IP19" t="e">
        <f>AND('Planilla_General_07-12-2012_8_3'!L286,"AAAAAFnUH/k=")</f>
        <v>#VALUE!</v>
      </c>
      <c r="IQ19" t="e">
        <f>AND('Planilla_General_07-12-2012_8_3'!M286,"AAAAAFnUH/o=")</f>
        <v>#VALUE!</v>
      </c>
      <c r="IR19" t="e">
        <f>AND('Planilla_General_07-12-2012_8_3'!N286,"AAAAAFnUH/s=")</f>
        <v>#VALUE!</v>
      </c>
      <c r="IS19" t="e">
        <f>AND('Planilla_General_07-12-2012_8_3'!O286,"AAAAAFnUH/w=")</f>
        <v>#VALUE!</v>
      </c>
      <c r="IT19" t="e">
        <f>AND('Planilla_General_07-12-2012_8_3'!P286,"AAAAAFnUH/0=")</f>
        <v>#VALUE!</v>
      </c>
      <c r="IU19">
        <f>IF('Planilla_General_07-12-2012_8_3'!287:287,"AAAAAFnUH/4=",0)</f>
        <v>0</v>
      </c>
      <c r="IV19" t="e">
        <f>AND('Planilla_General_07-12-2012_8_3'!A287,"AAAAAFnUH/8=")</f>
        <v>#VALUE!</v>
      </c>
    </row>
    <row r="20" spans="1:256" x14ac:dyDescent="0.25">
      <c r="A20" t="e">
        <f>AND('Planilla_General_07-12-2012_8_3'!B287,"AAAAAHFXIQA=")</f>
        <v>#VALUE!</v>
      </c>
      <c r="B20" t="e">
        <f>AND('Planilla_General_07-12-2012_8_3'!C287,"AAAAAHFXIQE=")</f>
        <v>#VALUE!</v>
      </c>
      <c r="C20" t="e">
        <f>AND('Planilla_General_07-12-2012_8_3'!D287,"AAAAAHFXIQI=")</f>
        <v>#VALUE!</v>
      </c>
      <c r="D20" t="e">
        <f>AND('Planilla_General_07-12-2012_8_3'!E287,"AAAAAHFXIQM=")</f>
        <v>#VALUE!</v>
      </c>
      <c r="E20" t="e">
        <f>AND('Planilla_General_07-12-2012_8_3'!F287,"AAAAAHFXIQQ=")</f>
        <v>#VALUE!</v>
      </c>
      <c r="F20" t="e">
        <f>AND('Planilla_General_07-12-2012_8_3'!G287,"AAAAAHFXIQU=")</f>
        <v>#VALUE!</v>
      </c>
      <c r="G20" t="e">
        <f>AND('Planilla_General_07-12-2012_8_3'!H287,"AAAAAHFXIQY=")</f>
        <v>#VALUE!</v>
      </c>
      <c r="H20" t="e">
        <f>AND('Planilla_General_07-12-2012_8_3'!I287,"AAAAAHFXIQc=")</f>
        <v>#VALUE!</v>
      </c>
      <c r="I20" t="e">
        <f>AND('Planilla_General_07-12-2012_8_3'!J287,"AAAAAHFXIQg=")</f>
        <v>#VALUE!</v>
      </c>
      <c r="J20" t="e">
        <f>AND('Planilla_General_07-12-2012_8_3'!K287,"AAAAAHFXIQk=")</f>
        <v>#VALUE!</v>
      </c>
      <c r="K20" t="e">
        <f>AND('Planilla_General_07-12-2012_8_3'!L287,"AAAAAHFXIQo=")</f>
        <v>#VALUE!</v>
      </c>
      <c r="L20" t="e">
        <f>AND('Planilla_General_07-12-2012_8_3'!M287,"AAAAAHFXIQs=")</f>
        <v>#VALUE!</v>
      </c>
      <c r="M20" t="e">
        <f>AND('Planilla_General_07-12-2012_8_3'!N287,"AAAAAHFXIQw=")</f>
        <v>#VALUE!</v>
      </c>
      <c r="N20" t="e">
        <f>AND('Planilla_General_07-12-2012_8_3'!O287,"AAAAAHFXIQ0=")</f>
        <v>#VALUE!</v>
      </c>
      <c r="O20" t="e">
        <f>AND('Planilla_General_07-12-2012_8_3'!P287,"AAAAAHFXIQ4=")</f>
        <v>#VALUE!</v>
      </c>
      <c r="P20">
        <f>IF('Planilla_General_07-12-2012_8_3'!288:288,"AAAAAHFXIQ8=",0)</f>
        <v>0</v>
      </c>
      <c r="Q20" t="e">
        <f>AND('Planilla_General_07-12-2012_8_3'!A288,"AAAAAHFXIRA=")</f>
        <v>#VALUE!</v>
      </c>
      <c r="R20" t="e">
        <f>AND('Planilla_General_07-12-2012_8_3'!B288,"AAAAAHFXIRE=")</f>
        <v>#VALUE!</v>
      </c>
      <c r="S20" t="e">
        <f>AND('Planilla_General_07-12-2012_8_3'!C288,"AAAAAHFXIRI=")</f>
        <v>#VALUE!</v>
      </c>
      <c r="T20" t="e">
        <f>AND('Planilla_General_07-12-2012_8_3'!D288,"AAAAAHFXIRM=")</f>
        <v>#VALUE!</v>
      </c>
      <c r="U20" t="e">
        <f>AND('Planilla_General_07-12-2012_8_3'!E288,"AAAAAHFXIRQ=")</f>
        <v>#VALUE!</v>
      </c>
      <c r="V20" t="e">
        <f>AND('Planilla_General_07-12-2012_8_3'!F288,"AAAAAHFXIRU=")</f>
        <v>#VALUE!</v>
      </c>
      <c r="W20" t="e">
        <f>AND('Planilla_General_07-12-2012_8_3'!G288,"AAAAAHFXIRY=")</f>
        <v>#VALUE!</v>
      </c>
      <c r="X20" t="e">
        <f>AND('Planilla_General_07-12-2012_8_3'!H288,"AAAAAHFXIRc=")</f>
        <v>#VALUE!</v>
      </c>
      <c r="Y20" t="e">
        <f>AND('Planilla_General_07-12-2012_8_3'!I288,"AAAAAHFXIRg=")</f>
        <v>#VALUE!</v>
      </c>
      <c r="Z20" t="e">
        <f>AND('Planilla_General_07-12-2012_8_3'!J288,"AAAAAHFXIRk=")</f>
        <v>#VALUE!</v>
      </c>
      <c r="AA20" t="e">
        <f>AND('Planilla_General_07-12-2012_8_3'!K288,"AAAAAHFXIRo=")</f>
        <v>#VALUE!</v>
      </c>
      <c r="AB20" t="e">
        <f>AND('Planilla_General_07-12-2012_8_3'!L288,"AAAAAHFXIRs=")</f>
        <v>#VALUE!</v>
      </c>
      <c r="AC20" t="e">
        <f>AND('Planilla_General_07-12-2012_8_3'!M288,"AAAAAHFXIRw=")</f>
        <v>#VALUE!</v>
      </c>
      <c r="AD20" t="e">
        <f>AND('Planilla_General_07-12-2012_8_3'!N288,"AAAAAHFXIR0=")</f>
        <v>#VALUE!</v>
      </c>
      <c r="AE20" t="e">
        <f>AND('Planilla_General_07-12-2012_8_3'!O288,"AAAAAHFXIR4=")</f>
        <v>#VALUE!</v>
      </c>
      <c r="AF20" t="e">
        <f>AND('Planilla_General_07-12-2012_8_3'!P288,"AAAAAHFXIR8=")</f>
        <v>#VALUE!</v>
      </c>
      <c r="AG20">
        <f>IF('Planilla_General_07-12-2012_8_3'!289:289,"AAAAAHFXISA=",0)</f>
        <v>0</v>
      </c>
      <c r="AH20" t="e">
        <f>AND('Planilla_General_07-12-2012_8_3'!A289,"AAAAAHFXISE=")</f>
        <v>#VALUE!</v>
      </c>
      <c r="AI20" t="e">
        <f>AND('Planilla_General_07-12-2012_8_3'!B289,"AAAAAHFXISI=")</f>
        <v>#VALUE!</v>
      </c>
      <c r="AJ20" t="e">
        <f>AND('Planilla_General_07-12-2012_8_3'!C289,"AAAAAHFXISM=")</f>
        <v>#VALUE!</v>
      </c>
      <c r="AK20" t="e">
        <f>AND('Planilla_General_07-12-2012_8_3'!D289,"AAAAAHFXISQ=")</f>
        <v>#VALUE!</v>
      </c>
      <c r="AL20" t="e">
        <f>AND('Planilla_General_07-12-2012_8_3'!E289,"AAAAAHFXISU=")</f>
        <v>#VALUE!</v>
      </c>
      <c r="AM20" t="e">
        <f>AND('Planilla_General_07-12-2012_8_3'!F289,"AAAAAHFXISY=")</f>
        <v>#VALUE!</v>
      </c>
      <c r="AN20" t="e">
        <f>AND('Planilla_General_07-12-2012_8_3'!G289,"AAAAAHFXISc=")</f>
        <v>#VALUE!</v>
      </c>
      <c r="AO20" t="e">
        <f>AND('Planilla_General_07-12-2012_8_3'!H289,"AAAAAHFXISg=")</f>
        <v>#VALUE!</v>
      </c>
      <c r="AP20" t="e">
        <f>AND('Planilla_General_07-12-2012_8_3'!I289,"AAAAAHFXISk=")</f>
        <v>#VALUE!</v>
      </c>
      <c r="AQ20" t="e">
        <f>AND('Planilla_General_07-12-2012_8_3'!J289,"AAAAAHFXISo=")</f>
        <v>#VALUE!</v>
      </c>
      <c r="AR20" t="e">
        <f>AND('Planilla_General_07-12-2012_8_3'!K289,"AAAAAHFXISs=")</f>
        <v>#VALUE!</v>
      </c>
      <c r="AS20" t="e">
        <f>AND('Planilla_General_07-12-2012_8_3'!L289,"AAAAAHFXISw=")</f>
        <v>#VALUE!</v>
      </c>
      <c r="AT20" t="e">
        <f>AND('Planilla_General_07-12-2012_8_3'!M289,"AAAAAHFXIS0=")</f>
        <v>#VALUE!</v>
      </c>
      <c r="AU20" t="e">
        <f>AND('Planilla_General_07-12-2012_8_3'!N289,"AAAAAHFXIS4=")</f>
        <v>#VALUE!</v>
      </c>
      <c r="AV20" t="e">
        <f>AND('Planilla_General_07-12-2012_8_3'!O289,"AAAAAHFXIS8=")</f>
        <v>#VALUE!</v>
      </c>
      <c r="AW20" t="e">
        <f>AND('Planilla_General_07-12-2012_8_3'!P289,"AAAAAHFXITA=")</f>
        <v>#VALUE!</v>
      </c>
      <c r="AX20">
        <f>IF('Planilla_General_07-12-2012_8_3'!290:290,"AAAAAHFXITE=",0)</f>
        <v>0</v>
      </c>
      <c r="AY20" t="e">
        <f>AND('Planilla_General_07-12-2012_8_3'!A290,"AAAAAHFXITI=")</f>
        <v>#VALUE!</v>
      </c>
      <c r="AZ20" t="e">
        <f>AND('Planilla_General_07-12-2012_8_3'!B290,"AAAAAHFXITM=")</f>
        <v>#VALUE!</v>
      </c>
      <c r="BA20" t="e">
        <f>AND('Planilla_General_07-12-2012_8_3'!C290,"AAAAAHFXITQ=")</f>
        <v>#VALUE!</v>
      </c>
      <c r="BB20" t="e">
        <f>AND('Planilla_General_07-12-2012_8_3'!D290,"AAAAAHFXITU=")</f>
        <v>#VALUE!</v>
      </c>
      <c r="BC20" t="e">
        <f>AND('Planilla_General_07-12-2012_8_3'!E290,"AAAAAHFXITY=")</f>
        <v>#VALUE!</v>
      </c>
      <c r="BD20" t="e">
        <f>AND('Planilla_General_07-12-2012_8_3'!F290,"AAAAAHFXITc=")</f>
        <v>#VALUE!</v>
      </c>
      <c r="BE20" t="e">
        <f>AND('Planilla_General_07-12-2012_8_3'!G290,"AAAAAHFXITg=")</f>
        <v>#VALUE!</v>
      </c>
      <c r="BF20" t="e">
        <f>AND('Planilla_General_07-12-2012_8_3'!H290,"AAAAAHFXITk=")</f>
        <v>#VALUE!</v>
      </c>
      <c r="BG20" t="e">
        <f>AND('Planilla_General_07-12-2012_8_3'!I290,"AAAAAHFXITo=")</f>
        <v>#VALUE!</v>
      </c>
      <c r="BH20" t="e">
        <f>AND('Planilla_General_07-12-2012_8_3'!J290,"AAAAAHFXITs=")</f>
        <v>#VALUE!</v>
      </c>
      <c r="BI20" t="e">
        <f>AND('Planilla_General_07-12-2012_8_3'!K290,"AAAAAHFXITw=")</f>
        <v>#VALUE!</v>
      </c>
      <c r="BJ20" t="e">
        <f>AND('Planilla_General_07-12-2012_8_3'!L290,"AAAAAHFXIT0=")</f>
        <v>#VALUE!</v>
      </c>
      <c r="BK20" t="e">
        <f>AND('Planilla_General_07-12-2012_8_3'!M290,"AAAAAHFXIT4=")</f>
        <v>#VALUE!</v>
      </c>
      <c r="BL20" t="e">
        <f>AND('Planilla_General_07-12-2012_8_3'!N290,"AAAAAHFXIT8=")</f>
        <v>#VALUE!</v>
      </c>
      <c r="BM20" t="e">
        <f>AND('Planilla_General_07-12-2012_8_3'!O290,"AAAAAHFXIUA=")</f>
        <v>#VALUE!</v>
      </c>
      <c r="BN20" t="e">
        <f>AND('Planilla_General_07-12-2012_8_3'!P290,"AAAAAHFXIUE=")</f>
        <v>#VALUE!</v>
      </c>
      <c r="BO20">
        <f>IF('Planilla_General_07-12-2012_8_3'!291:291,"AAAAAHFXIUI=",0)</f>
        <v>0</v>
      </c>
      <c r="BP20" t="e">
        <f>AND('Planilla_General_07-12-2012_8_3'!A291,"AAAAAHFXIUM=")</f>
        <v>#VALUE!</v>
      </c>
      <c r="BQ20" t="e">
        <f>AND('Planilla_General_07-12-2012_8_3'!B291,"AAAAAHFXIUQ=")</f>
        <v>#VALUE!</v>
      </c>
      <c r="BR20" t="e">
        <f>AND('Planilla_General_07-12-2012_8_3'!C291,"AAAAAHFXIUU=")</f>
        <v>#VALUE!</v>
      </c>
      <c r="BS20" t="e">
        <f>AND('Planilla_General_07-12-2012_8_3'!D291,"AAAAAHFXIUY=")</f>
        <v>#VALUE!</v>
      </c>
      <c r="BT20" t="e">
        <f>AND('Planilla_General_07-12-2012_8_3'!E291,"AAAAAHFXIUc=")</f>
        <v>#VALUE!</v>
      </c>
      <c r="BU20" t="e">
        <f>AND('Planilla_General_07-12-2012_8_3'!F291,"AAAAAHFXIUg=")</f>
        <v>#VALUE!</v>
      </c>
      <c r="BV20" t="e">
        <f>AND('Planilla_General_07-12-2012_8_3'!G291,"AAAAAHFXIUk=")</f>
        <v>#VALUE!</v>
      </c>
      <c r="BW20" t="e">
        <f>AND('Planilla_General_07-12-2012_8_3'!H291,"AAAAAHFXIUo=")</f>
        <v>#VALUE!</v>
      </c>
      <c r="BX20" t="e">
        <f>AND('Planilla_General_07-12-2012_8_3'!I291,"AAAAAHFXIUs=")</f>
        <v>#VALUE!</v>
      </c>
      <c r="BY20" t="e">
        <f>AND('Planilla_General_07-12-2012_8_3'!J291,"AAAAAHFXIUw=")</f>
        <v>#VALUE!</v>
      </c>
      <c r="BZ20" t="e">
        <f>AND('Planilla_General_07-12-2012_8_3'!K291,"AAAAAHFXIU0=")</f>
        <v>#VALUE!</v>
      </c>
      <c r="CA20" t="e">
        <f>AND('Planilla_General_07-12-2012_8_3'!L291,"AAAAAHFXIU4=")</f>
        <v>#VALUE!</v>
      </c>
      <c r="CB20" t="e">
        <f>AND('Planilla_General_07-12-2012_8_3'!M291,"AAAAAHFXIU8=")</f>
        <v>#VALUE!</v>
      </c>
      <c r="CC20" t="e">
        <f>AND('Planilla_General_07-12-2012_8_3'!N291,"AAAAAHFXIVA=")</f>
        <v>#VALUE!</v>
      </c>
      <c r="CD20" t="e">
        <f>AND('Planilla_General_07-12-2012_8_3'!O291,"AAAAAHFXIVE=")</f>
        <v>#VALUE!</v>
      </c>
      <c r="CE20" t="e">
        <f>AND('Planilla_General_07-12-2012_8_3'!P291,"AAAAAHFXIVI=")</f>
        <v>#VALUE!</v>
      </c>
      <c r="CF20">
        <f>IF('Planilla_General_07-12-2012_8_3'!292:292,"AAAAAHFXIVM=",0)</f>
        <v>0</v>
      </c>
      <c r="CG20" t="e">
        <f>AND('Planilla_General_07-12-2012_8_3'!A292,"AAAAAHFXIVQ=")</f>
        <v>#VALUE!</v>
      </c>
      <c r="CH20" t="e">
        <f>AND('Planilla_General_07-12-2012_8_3'!B292,"AAAAAHFXIVU=")</f>
        <v>#VALUE!</v>
      </c>
      <c r="CI20" t="e">
        <f>AND('Planilla_General_07-12-2012_8_3'!C292,"AAAAAHFXIVY=")</f>
        <v>#VALUE!</v>
      </c>
      <c r="CJ20" t="e">
        <f>AND('Planilla_General_07-12-2012_8_3'!D292,"AAAAAHFXIVc=")</f>
        <v>#VALUE!</v>
      </c>
      <c r="CK20" t="e">
        <f>AND('Planilla_General_07-12-2012_8_3'!E292,"AAAAAHFXIVg=")</f>
        <v>#VALUE!</v>
      </c>
      <c r="CL20" t="e">
        <f>AND('Planilla_General_07-12-2012_8_3'!F292,"AAAAAHFXIVk=")</f>
        <v>#VALUE!</v>
      </c>
      <c r="CM20" t="e">
        <f>AND('Planilla_General_07-12-2012_8_3'!G292,"AAAAAHFXIVo=")</f>
        <v>#VALUE!</v>
      </c>
      <c r="CN20" t="e">
        <f>AND('Planilla_General_07-12-2012_8_3'!H292,"AAAAAHFXIVs=")</f>
        <v>#VALUE!</v>
      </c>
      <c r="CO20" t="e">
        <f>AND('Planilla_General_07-12-2012_8_3'!I292,"AAAAAHFXIVw=")</f>
        <v>#VALUE!</v>
      </c>
      <c r="CP20" t="e">
        <f>AND('Planilla_General_07-12-2012_8_3'!J292,"AAAAAHFXIV0=")</f>
        <v>#VALUE!</v>
      </c>
      <c r="CQ20" t="e">
        <f>AND('Planilla_General_07-12-2012_8_3'!K292,"AAAAAHFXIV4=")</f>
        <v>#VALUE!</v>
      </c>
      <c r="CR20" t="e">
        <f>AND('Planilla_General_07-12-2012_8_3'!L292,"AAAAAHFXIV8=")</f>
        <v>#VALUE!</v>
      </c>
      <c r="CS20" t="e">
        <f>AND('Planilla_General_07-12-2012_8_3'!M292,"AAAAAHFXIWA=")</f>
        <v>#VALUE!</v>
      </c>
      <c r="CT20" t="e">
        <f>AND('Planilla_General_07-12-2012_8_3'!N292,"AAAAAHFXIWE=")</f>
        <v>#VALUE!</v>
      </c>
      <c r="CU20" t="e">
        <f>AND('Planilla_General_07-12-2012_8_3'!O292,"AAAAAHFXIWI=")</f>
        <v>#VALUE!</v>
      </c>
      <c r="CV20" t="e">
        <f>AND('Planilla_General_07-12-2012_8_3'!P292,"AAAAAHFXIWM=")</f>
        <v>#VALUE!</v>
      </c>
      <c r="CW20">
        <f>IF('Planilla_General_07-12-2012_8_3'!293:293,"AAAAAHFXIWQ=",0)</f>
        <v>0</v>
      </c>
      <c r="CX20" t="e">
        <f>AND('Planilla_General_07-12-2012_8_3'!A293,"AAAAAHFXIWU=")</f>
        <v>#VALUE!</v>
      </c>
      <c r="CY20" t="e">
        <f>AND('Planilla_General_07-12-2012_8_3'!B293,"AAAAAHFXIWY=")</f>
        <v>#VALUE!</v>
      </c>
      <c r="CZ20" t="e">
        <f>AND('Planilla_General_07-12-2012_8_3'!C293,"AAAAAHFXIWc=")</f>
        <v>#VALUE!</v>
      </c>
      <c r="DA20" t="e">
        <f>AND('Planilla_General_07-12-2012_8_3'!D293,"AAAAAHFXIWg=")</f>
        <v>#VALUE!</v>
      </c>
      <c r="DB20" t="e">
        <f>AND('Planilla_General_07-12-2012_8_3'!E293,"AAAAAHFXIWk=")</f>
        <v>#VALUE!</v>
      </c>
      <c r="DC20" t="e">
        <f>AND('Planilla_General_07-12-2012_8_3'!F293,"AAAAAHFXIWo=")</f>
        <v>#VALUE!</v>
      </c>
      <c r="DD20" t="e">
        <f>AND('Planilla_General_07-12-2012_8_3'!G293,"AAAAAHFXIWs=")</f>
        <v>#VALUE!</v>
      </c>
      <c r="DE20" t="e">
        <f>AND('Planilla_General_07-12-2012_8_3'!H293,"AAAAAHFXIWw=")</f>
        <v>#VALUE!</v>
      </c>
      <c r="DF20" t="e">
        <f>AND('Planilla_General_07-12-2012_8_3'!I293,"AAAAAHFXIW0=")</f>
        <v>#VALUE!</v>
      </c>
      <c r="DG20" t="e">
        <f>AND('Planilla_General_07-12-2012_8_3'!J293,"AAAAAHFXIW4=")</f>
        <v>#VALUE!</v>
      </c>
      <c r="DH20" t="e">
        <f>AND('Planilla_General_07-12-2012_8_3'!K293,"AAAAAHFXIW8=")</f>
        <v>#VALUE!</v>
      </c>
      <c r="DI20" t="e">
        <f>AND('Planilla_General_07-12-2012_8_3'!L293,"AAAAAHFXIXA=")</f>
        <v>#VALUE!</v>
      </c>
      <c r="DJ20" t="e">
        <f>AND('Planilla_General_07-12-2012_8_3'!M293,"AAAAAHFXIXE=")</f>
        <v>#VALUE!</v>
      </c>
      <c r="DK20" t="e">
        <f>AND('Planilla_General_07-12-2012_8_3'!N293,"AAAAAHFXIXI=")</f>
        <v>#VALUE!</v>
      </c>
      <c r="DL20" t="e">
        <f>AND('Planilla_General_07-12-2012_8_3'!O293,"AAAAAHFXIXM=")</f>
        <v>#VALUE!</v>
      </c>
      <c r="DM20" t="e">
        <f>AND('Planilla_General_07-12-2012_8_3'!P293,"AAAAAHFXIXQ=")</f>
        <v>#VALUE!</v>
      </c>
      <c r="DN20">
        <f>IF('Planilla_General_07-12-2012_8_3'!294:294,"AAAAAHFXIXU=",0)</f>
        <v>0</v>
      </c>
      <c r="DO20" t="e">
        <f>AND('Planilla_General_07-12-2012_8_3'!A294,"AAAAAHFXIXY=")</f>
        <v>#VALUE!</v>
      </c>
      <c r="DP20" t="e">
        <f>AND('Planilla_General_07-12-2012_8_3'!B294,"AAAAAHFXIXc=")</f>
        <v>#VALUE!</v>
      </c>
      <c r="DQ20" t="e">
        <f>AND('Planilla_General_07-12-2012_8_3'!C294,"AAAAAHFXIXg=")</f>
        <v>#VALUE!</v>
      </c>
      <c r="DR20" t="e">
        <f>AND('Planilla_General_07-12-2012_8_3'!D294,"AAAAAHFXIXk=")</f>
        <v>#VALUE!</v>
      </c>
      <c r="DS20" t="e">
        <f>AND('Planilla_General_07-12-2012_8_3'!E294,"AAAAAHFXIXo=")</f>
        <v>#VALUE!</v>
      </c>
      <c r="DT20" t="e">
        <f>AND('Planilla_General_07-12-2012_8_3'!F294,"AAAAAHFXIXs=")</f>
        <v>#VALUE!</v>
      </c>
      <c r="DU20" t="e">
        <f>AND('Planilla_General_07-12-2012_8_3'!G294,"AAAAAHFXIXw=")</f>
        <v>#VALUE!</v>
      </c>
      <c r="DV20" t="e">
        <f>AND('Planilla_General_07-12-2012_8_3'!H294,"AAAAAHFXIX0=")</f>
        <v>#VALUE!</v>
      </c>
      <c r="DW20" t="e">
        <f>AND('Planilla_General_07-12-2012_8_3'!I294,"AAAAAHFXIX4=")</f>
        <v>#VALUE!</v>
      </c>
      <c r="DX20" t="e">
        <f>AND('Planilla_General_07-12-2012_8_3'!J294,"AAAAAHFXIX8=")</f>
        <v>#VALUE!</v>
      </c>
      <c r="DY20" t="e">
        <f>AND('Planilla_General_07-12-2012_8_3'!K294,"AAAAAHFXIYA=")</f>
        <v>#VALUE!</v>
      </c>
      <c r="DZ20" t="e">
        <f>AND('Planilla_General_07-12-2012_8_3'!L294,"AAAAAHFXIYE=")</f>
        <v>#VALUE!</v>
      </c>
      <c r="EA20" t="e">
        <f>AND('Planilla_General_07-12-2012_8_3'!M294,"AAAAAHFXIYI=")</f>
        <v>#VALUE!</v>
      </c>
      <c r="EB20" t="e">
        <f>AND('Planilla_General_07-12-2012_8_3'!N294,"AAAAAHFXIYM=")</f>
        <v>#VALUE!</v>
      </c>
      <c r="EC20" t="e">
        <f>AND('Planilla_General_07-12-2012_8_3'!O294,"AAAAAHFXIYQ=")</f>
        <v>#VALUE!</v>
      </c>
      <c r="ED20" t="e">
        <f>AND('Planilla_General_07-12-2012_8_3'!P294,"AAAAAHFXIYU=")</f>
        <v>#VALUE!</v>
      </c>
      <c r="EE20">
        <f>IF('Planilla_General_07-12-2012_8_3'!295:295,"AAAAAHFXIYY=",0)</f>
        <v>0</v>
      </c>
      <c r="EF20" t="e">
        <f>AND('Planilla_General_07-12-2012_8_3'!A295,"AAAAAHFXIYc=")</f>
        <v>#VALUE!</v>
      </c>
      <c r="EG20" t="e">
        <f>AND('Planilla_General_07-12-2012_8_3'!B295,"AAAAAHFXIYg=")</f>
        <v>#VALUE!</v>
      </c>
      <c r="EH20" t="e">
        <f>AND('Planilla_General_07-12-2012_8_3'!C295,"AAAAAHFXIYk=")</f>
        <v>#VALUE!</v>
      </c>
      <c r="EI20" t="e">
        <f>AND('Planilla_General_07-12-2012_8_3'!D295,"AAAAAHFXIYo=")</f>
        <v>#VALUE!</v>
      </c>
      <c r="EJ20" t="e">
        <f>AND('Planilla_General_07-12-2012_8_3'!E295,"AAAAAHFXIYs=")</f>
        <v>#VALUE!</v>
      </c>
      <c r="EK20" t="e">
        <f>AND('Planilla_General_07-12-2012_8_3'!F295,"AAAAAHFXIYw=")</f>
        <v>#VALUE!</v>
      </c>
      <c r="EL20" t="e">
        <f>AND('Planilla_General_07-12-2012_8_3'!G295,"AAAAAHFXIY0=")</f>
        <v>#VALUE!</v>
      </c>
      <c r="EM20" t="e">
        <f>AND('Planilla_General_07-12-2012_8_3'!H295,"AAAAAHFXIY4=")</f>
        <v>#VALUE!</v>
      </c>
      <c r="EN20" t="e">
        <f>AND('Planilla_General_07-12-2012_8_3'!I295,"AAAAAHFXIY8=")</f>
        <v>#VALUE!</v>
      </c>
      <c r="EO20" t="e">
        <f>AND('Planilla_General_07-12-2012_8_3'!J295,"AAAAAHFXIZA=")</f>
        <v>#VALUE!</v>
      </c>
      <c r="EP20" t="e">
        <f>AND('Planilla_General_07-12-2012_8_3'!K295,"AAAAAHFXIZE=")</f>
        <v>#VALUE!</v>
      </c>
      <c r="EQ20" t="e">
        <f>AND('Planilla_General_07-12-2012_8_3'!L295,"AAAAAHFXIZI=")</f>
        <v>#VALUE!</v>
      </c>
      <c r="ER20" t="e">
        <f>AND('Planilla_General_07-12-2012_8_3'!M295,"AAAAAHFXIZM=")</f>
        <v>#VALUE!</v>
      </c>
      <c r="ES20" t="e">
        <f>AND('Planilla_General_07-12-2012_8_3'!N295,"AAAAAHFXIZQ=")</f>
        <v>#VALUE!</v>
      </c>
      <c r="ET20" t="e">
        <f>AND('Planilla_General_07-12-2012_8_3'!O295,"AAAAAHFXIZU=")</f>
        <v>#VALUE!</v>
      </c>
      <c r="EU20" t="e">
        <f>AND('Planilla_General_07-12-2012_8_3'!P295,"AAAAAHFXIZY=")</f>
        <v>#VALUE!</v>
      </c>
      <c r="EV20">
        <f>IF('Planilla_General_07-12-2012_8_3'!296:296,"AAAAAHFXIZc=",0)</f>
        <v>0</v>
      </c>
      <c r="EW20" t="e">
        <f>AND('Planilla_General_07-12-2012_8_3'!A296,"AAAAAHFXIZg=")</f>
        <v>#VALUE!</v>
      </c>
      <c r="EX20" t="e">
        <f>AND('Planilla_General_07-12-2012_8_3'!B296,"AAAAAHFXIZk=")</f>
        <v>#VALUE!</v>
      </c>
      <c r="EY20" t="e">
        <f>AND('Planilla_General_07-12-2012_8_3'!C296,"AAAAAHFXIZo=")</f>
        <v>#VALUE!</v>
      </c>
      <c r="EZ20" t="e">
        <f>AND('Planilla_General_07-12-2012_8_3'!D296,"AAAAAHFXIZs=")</f>
        <v>#VALUE!</v>
      </c>
      <c r="FA20" t="e">
        <f>AND('Planilla_General_07-12-2012_8_3'!E296,"AAAAAHFXIZw=")</f>
        <v>#VALUE!</v>
      </c>
      <c r="FB20" t="e">
        <f>AND('Planilla_General_07-12-2012_8_3'!F296,"AAAAAHFXIZ0=")</f>
        <v>#VALUE!</v>
      </c>
      <c r="FC20" t="e">
        <f>AND('Planilla_General_07-12-2012_8_3'!G296,"AAAAAHFXIZ4=")</f>
        <v>#VALUE!</v>
      </c>
      <c r="FD20" t="e">
        <f>AND('Planilla_General_07-12-2012_8_3'!H296,"AAAAAHFXIZ8=")</f>
        <v>#VALUE!</v>
      </c>
      <c r="FE20" t="e">
        <f>AND('Planilla_General_07-12-2012_8_3'!I296,"AAAAAHFXIaA=")</f>
        <v>#VALUE!</v>
      </c>
      <c r="FF20" t="e">
        <f>AND('Planilla_General_07-12-2012_8_3'!J296,"AAAAAHFXIaE=")</f>
        <v>#VALUE!</v>
      </c>
      <c r="FG20" t="e">
        <f>AND('Planilla_General_07-12-2012_8_3'!K296,"AAAAAHFXIaI=")</f>
        <v>#VALUE!</v>
      </c>
      <c r="FH20" t="e">
        <f>AND('Planilla_General_07-12-2012_8_3'!L296,"AAAAAHFXIaM=")</f>
        <v>#VALUE!</v>
      </c>
      <c r="FI20" t="e">
        <f>AND('Planilla_General_07-12-2012_8_3'!M296,"AAAAAHFXIaQ=")</f>
        <v>#VALUE!</v>
      </c>
      <c r="FJ20" t="e">
        <f>AND('Planilla_General_07-12-2012_8_3'!N296,"AAAAAHFXIaU=")</f>
        <v>#VALUE!</v>
      </c>
      <c r="FK20" t="e">
        <f>AND('Planilla_General_07-12-2012_8_3'!O296,"AAAAAHFXIaY=")</f>
        <v>#VALUE!</v>
      </c>
      <c r="FL20" t="e">
        <f>AND('Planilla_General_07-12-2012_8_3'!P296,"AAAAAHFXIac=")</f>
        <v>#VALUE!</v>
      </c>
      <c r="FM20">
        <f>IF('Planilla_General_07-12-2012_8_3'!297:297,"AAAAAHFXIag=",0)</f>
        <v>0</v>
      </c>
      <c r="FN20" t="e">
        <f>AND('Planilla_General_07-12-2012_8_3'!A297,"AAAAAHFXIak=")</f>
        <v>#VALUE!</v>
      </c>
      <c r="FO20" t="e">
        <f>AND('Planilla_General_07-12-2012_8_3'!B297,"AAAAAHFXIao=")</f>
        <v>#VALUE!</v>
      </c>
      <c r="FP20" t="e">
        <f>AND('Planilla_General_07-12-2012_8_3'!C297,"AAAAAHFXIas=")</f>
        <v>#VALUE!</v>
      </c>
      <c r="FQ20" t="e">
        <f>AND('Planilla_General_07-12-2012_8_3'!D297,"AAAAAHFXIaw=")</f>
        <v>#VALUE!</v>
      </c>
      <c r="FR20" t="e">
        <f>AND('Planilla_General_07-12-2012_8_3'!E297,"AAAAAHFXIa0=")</f>
        <v>#VALUE!</v>
      </c>
      <c r="FS20" t="e">
        <f>AND('Planilla_General_07-12-2012_8_3'!F297,"AAAAAHFXIa4=")</f>
        <v>#VALUE!</v>
      </c>
      <c r="FT20" t="e">
        <f>AND('Planilla_General_07-12-2012_8_3'!G297,"AAAAAHFXIa8=")</f>
        <v>#VALUE!</v>
      </c>
      <c r="FU20" t="e">
        <f>AND('Planilla_General_07-12-2012_8_3'!H297,"AAAAAHFXIbA=")</f>
        <v>#VALUE!</v>
      </c>
      <c r="FV20" t="e">
        <f>AND('Planilla_General_07-12-2012_8_3'!I297,"AAAAAHFXIbE=")</f>
        <v>#VALUE!</v>
      </c>
      <c r="FW20" t="e">
        <f>AND('Planilla_General_07-12-2012_8_3'!J297,"AAAAAHFXIbI=")</f>
        <v>#VALUE!</v>
      </c>
      <c r="FX20" t="e">
        <f>AND('Planilla_General_07-12-2012_8_3'!K297,"AAAAAHFXIbM=")</f>
        <v>#VALUE!</v>
      </c>
      <c r="FY20" t="e">
        <f>AND('Planilla_General_07-12-2012_8_3'!L297,"AAAAAHFXIbQ=")</f>
        <v>#VALUE!</v>
      </c>
      <c r="FZ20" t="e">
        <f>AND('Planilla_General_07-12-2012_8_3'!M297,"AAAAAHFXIbU=")</f>
        <v>#VALUE!</v>
      </c>
      <c r="GA20" t="e">
        <f>AND('Planilla_General_07-12-2012_8_3'!N297,"AAAAAHFXIbY=")</f>
        <v>#VALUE!</v>
      </c>
      <c r="GB20" t="e">
        <f>AND('Planilla_General_07-12-2012_8_3'!O297,"AAAAAHFXIbc=")</f>
        <v>#VALUE!</v>
      </c>
      <c r="GC20" t="e">
        <f>AND('Planilla_General_07-12-2012_8_3'!P297,"AAAAAHFXIbg=")</f>
        <v>#VALUE!</v>
      </c>
      <c r="GD20">
        <f>IF('Planilla_General_07-12-2012_8_3'!298:298,"AAAAAHFXIbk=",0)</f>
        <v>0</v>
      </c>
      <c r="GE20" t="e">
        <f>AND('Planilla_General_07-12-2012_8_3'!A298,"AAAAAHFXIbo=")</f>
        <v>#VALUE!</v>
      </c>
      <c r="GF20" t="e">
        <f>AND('Planilla_General_07-12-2012_8_3'!B298,"AAAAAHFXIbs=")</f>
        <v>#VALUE!</v>
      </c>
      <c r="GG20" t="e">
        <f>AND('Planilla_General_07-12-2012_8_3'!C298,"AAAAAHFXIbw=")</f>
        <v>#VALUE!</v>
      </c>
      <c r="GH20" t="e">
        <f>AND('Planilla_General_07-12-2012_8_3'!D298,"AAAAAHFXIb0=")</f>
        <v>#VALUE!</v>
      </c>
      <c r="GI20" t="e">
        <f>AND('Planilla_General_07-12-2012_8_3'!E298,"AAAAAHFXIb4=")</f>
        <v>#VALUE!</v>
      </c>
      <c r="GJ20" t="e">
        <f>AND('Planilla_General_07-12-2012_8_3'!F298,"AAAAAHFXIb8=")</f>
        <v>#VALUE!</v>
      </c>
      <c r="GK20" t="e">
        <f>AND('Planilla_General_07-12-2012_8_3'!G298,"AAAAAHFXIcA=")</f>
        <v>#VALUE!</v>
      </c>
      <c r="GL20" t="e">
        <f>AND('Planilla_General_07-12-2012_8_3'!H298,"AAAAAHFXIcE=")</f>
        <v>#VALUE!</v>
      </c>
      <c r="GM20" t="e">
        <f>AND('Planilla_General_07-12-2012_8_3'!I298,"AAAAAHFXIcI=")</f>
        <v>#VALUE!</v>
      </c>
      <c r="GN20" t="e">
        <f>AND('Planilla_General_07-12-2012_8_3'!J298,"AAAAAHFXIcM=")</f>
        <v>#VALUE!</v>
      </c>
      <c r="GO20" t="e">
        <f>AND('Planilla_General_07-12-2012_8_3'!K298,"AAAAAHFXIcQ=")</f>
        <v>#VALUE!</v>
      </c>
      <c r="GP20" t="e">
        <f>AND('Planilla_General_07-12-2012_8_3'!L298,"AAAAAHFXIcU=")</f>
        <v>#VALUE!</v>
      </c>
      <c r="GQ20" t="e">
        <f>AND('Planilla_General_07-12-2012_8_3'!M298,"AAAAAHFXIcY=")</f>
        <v>#VALUE!</v>
      </c>
      <c r="GR20" t="e">
        <f>AND('Planilla_General_07-12-2012_8_3'!N298,"AAAAAHFXIcc=")</f>
        <v>#VALUE!</v>
      </c>
      <c r="GS20" t="e">
        <f>AND('Planilla_General_07-12-2012_8_3'!O298,"AAAAAHFXIcg=")</f>
        <v>#VALUE!</v>
      </c>
      <c r="GT20" t="e">
        <f>AND('Planilla_General_07-12-2012_8_3'!P298,"AAAAAHFXIck=")</f>
        <v>#VALUE!</v>
      </c>
      <c r="GU20">
        <f>IF('Planilla_General_07-12-2012_8_3'!299:299,"AAAAAHFXIco=",0)</f>
        <v>0</v>
      </c>
      <c r="GV20" t="e">
        <f>AND('Planilla_General_07-12-2012_8_3'!A299,"AAAAAHFXIcs=")</f>
        <v>#VALUE!</v>
      </c>
      <c r="GW20" t="e">
        <f>AND('Planilla_General_07-12-2012_8_3'!B299,"AAAAAHFXIcw=")</f>
        <v>#VALUE!</v>
      </c>
      <c r="GX20" t="e">
        <f>AND('Planilla_General_07-12-2012_8_3'!C299,"AAAAAHFXIc0=")</f>
        <v>#VALUE!</v>
      </c>
      <c r="GY20" t="e">
        <f>AND('Planilla_General_07-12-2012_8_3'!D299,"AAAAAHFXIc4=")</f>
        <v>#VALUE!</v>
      </c>
      <c r="GZ20" t="e">
        <f>AND('Planilla_General_07-12-2012_8_3'!E299,"AAAAAHFXIc8=")</f>
        <v>#VALUE!</v>
      </c>
      <c r="HA20" t="e">
        <f>AND('Planilla_General_07-12-2012_8_3'!F299,"AAAAAHFXIdA=")</f>
        <v>#VALUE!</v>
      </c>
      <c r="HB20" t="e">
        <f>AND('Planilla_General_07-12-2012_8_3'!G299,"AAAAAHFXIdE=")</f>
        <v>#VALUE!</v>
      </c>
      <c r="HC20" t="e">
        <f>AND('Planilla_General_07-12-2012_8_3'!H299,"AAAAAHFXIdI=")</f>
        <v>#VALUE!</v>
      </c>
      <c r="HD20" t="e">
        <f>AND('Planilla_General_07-12-2012_8_3'!I299,"AAAAAHFXIdM=")</f>
        <v>#VALUE!</v>
      </c>
      <c r="HE20" t="e">
        <f>AND('Planilla_General_07-12-2012_8_3'!J299,"AAAAAHFXIdQ=")</f>
        <v>#VALUE!</v>
      </c>
      <c r="HF20" t="e">
        <f>AND('Planilla_General_07-12-2012_8_3'!K299,"AAAAAHFXIdU=")</f>
        <v>#VALUE!</v>
      </c>
      <c r="HG20" t="e">
        <f>AND('Planilla_General_07-12-2012_8_3'!L299,"AAAAAHFXIdY=")</f>
        <v>#VALUE!</v>
      </c>
      <c r="HH20" t="e">
        <f>AND('Planilla_General_07-12-2012_8_3'!M299,"AAAAAHFXIdc=")</f>
        <v>#VALUE!</v>
      </c>
      <c r="HI20" t="e">
        <f>AND('Planilla_General_07-12-2012_8_3'!N299,"AAAAAHFXIdg=")</f>
        <v>#VALUE!</v>
      </c>
      <c r="HJ20" t="e">
        <f>AND('Planilla_General_07-12-2012_8_3'!O299,"AAAAAHFXIdk=")</f>
        <v>#VALUE!</v>
      </c>
      <c r="HK20" t="e">
        <f>AND('Planilla_General_07-12-2012_8_3'!P299,"AAAAAHFXIdo=")</f>
        <v>#VALUE!</v>
      </c>
      <c r="HL20">
        <f>IF('Planilla_General_07-12-2012_8_3'!300:300,"AAAAAHFXIds=",0)</f>
        <v>0</v>
      </c>
      <c r="HM20" t="e">
        <f>AND('Planilla_General_07-12-2012_8_3'!A300,"AAAAAHFXIdw=")</f>
        <v>#VALUE!</v>
      </c>
      <c r="HN20" t="e">
        <f>AND('Planilla_General_07-12-2012_8_3'!B300,"AAAAAHFXId0=")</f>
        <v>#VALUE!</v>
      </c>
      <c r="HO20" t="e">
        <f>AND('Planilla_General_07-12-2012_8_3'!C300,"AAAAAHFXId4=")</f>
        <v>#VALUE!</v>
      </c>
      <c r="HP20" t="e">
        <f>AND('Planilla_General_07-12-2012_8_3'!D300,"AAAAAHFXId8=")</f>
        <v>#VALUE!</v>
      </c>
      <c r="HQ20" t="e">
        <f>AND('Planilla_General_07-12-2012_8_3'!E300,"AAAAAHFXIeA=")</f>
        <v>#VALUE!</v>
      </c>
      <c r="HR20" t="e">
        <f>AND('Planilla_General_07-12-2012_8_3'!F300,"AAAAAHFXIeE=")</f>
        <v>#VALUE!</v>
      </c>
      <c r="HS20" t="e">
        <f>AND('Planilla_General_07-12-2012_8_3'!G300,"AAAAAHFXIeI=")</f>
        <v>#VALUE!</v>
      </c>
      <c r="HT20" t="e">
        <f>AND('Planilla_General_07-12-2012_8_3'!H300,"AAAAAHFXIeM=")</f>
        <v>#VALUE!</v>
      </c>
      <c r="HU20" t="e">
        <f>AND('Planilla_General_07-12-2012_8_3'!I300,"AAAAAHFXIeQ=")</f>
        <v>#VALUE!</v>
      </c>
      <c r="HV20" t="e">
        <f>AND('Planilla_General_07-12-2012_8_3'!J300,"AAAAAHFXIeU=")</f>
        <v>#VALUE!</v>
      </c>
      <c r="HW20" t="e">
        <f>AND('Planilla_General_07-12-2012_8_3'!K300,"AAAAAHFXIeY=")</f>
        <v>#VALUE!</v>
      </c>
      <c r="HX20" t="e">
        <f>AND('Planilla_General_07-12-2012_8_3'!L300,"AAAAAHFXIec=")</f>
        <v>#VALUE!</v>
      </c>
      <c r="HY20" t="e">
        <f>AND('Planilla_General_07-12-2012_8_3'!M300,"AAAAAHFXIeg=")</f>
        <v>#VALUE!</v>
      </c>
      <c r="HZ20" t="e">
        <f>AND('Planilla_General_07-12-2012_8_3'!N300,"AAAAAHFXIek=")</f>
        <v>#VALUE!</v>
      </c>
      <c r="IA20" t="e">
        <f>AND('Planilla_General_07-12-2012_8_3'!O300,"AAAAAHFXIeo=")</f>
        <v>#VALUE!</v>
      </c>
      <c r="IB20" t="e">
        <f>AND('Planilla_General_07-12-2012_8_3'!P300,"AAAAAHFXIes=")</f>
        <v>#VALUE!</v>
      </c>
      <c r="IC20">
        <f>IF('Planilla_General_07-12-2012_8_3'!301:301,"AAAAAHFXIew=",0)</f>
        <v>0</v>
      </c>
      <c r="ID20" t="e">
        <f>AND('Planilla_General_07-12-2012_8_3'!A301,"AAAAAHFXIe0=")</f>
        <v>#VALUE!</v>
      </c>
      <c r="IE20" t="e">
        <f>AND('Planilla_General_07-12-2012_8_3'!B301,"AAAAAHFXIe4=")</f>
        <v>#VALUE!</v>
      </c>
      <c r="IF20" t="e">
        <f>AND('Planilla_General_07-12-2012_8_3'!C301,"AAAAAHFXIe8=")</f>
        <v>#VALUE!</v>
      </c>
      <c r="IG20" t="e">
        <f>AND('Planilla_General_07-12-2012_8_3'!D301,"AAAAAHFXIfA=")</f>
        <v>#VALUE!</v>
      </c>
      <c r="IH20" t="e">
        <f>AND('Planilla_General_07-12-2012_8_3'!E301,"AAAAAHFXIfE=")</f>
        <v>#VALUE!</v>
      </c>
      <c r="II20" t="e">
        <f>AND('Planilla_General_07-12-2012_8_3'!F301,"AAAAAHFXIfI=")</f>
        <v>#VALUE!</v>
      </c>
      <c r="IJ20" t="e">
        <f>AND('Planilla_General_07-12-2012_8_3'!G301,"AAAAAHFXIfM=")</f>
        <v>#VALUE!</v>
      </c>
      <c r="IK20" t="e">
        <f>AND('Planilla_General_07-12-2012_8_3'!H301,"AAAAAHFXIfQ=")</f>
        <v>#VALUE!</v>
      </c>
      <c r="IL20" t="e">
        <f>AND('Planilla_General_07-12-2012_8_3'!I301,"AAAAAHFXIfU=")</f>
        <v>#VALUE!</v>
      </c>
      <c r="IM20" t="e">
        <f>AND('Planilla_General_07-12-2012_8_3'!J301,"AAAAAHFXIfY=")</f>
        <v>#VALUE!</v>
      </c>
      <c r="IN20" t="e">
        <f>AND('Planilla_General_07-12-2012_8_3'!K301,"AAAAAHFXIfc=")</f>
        <v>#VALUE!</v>
      </c>
      <c r="IO20" t="e">
        <f>AND('Planilla_General_07-12-2012_8_3'!L301,"AAAAAHFXIfg=")</f>
        <v>#VALUE!</v>
      </c>
      <c r="IP20" t="e">
        <f>AND('Planilla_General_07-12-2012_8_3'!M301,"AAAAAHFXIfk=")</f>
        <v>#VALUE!</v>
      </c>
      <c r="IQ20" t="e">
        <f>AND('Planilla_General_07-12-2012_8_3'!N301,"AAAAAHFXIfo=")</f>
        <v>#VALUE!</v>
      </c>
      <c r="IR20" t="e">
        <f>AND('Planilla_General_07-12-2012_8_3'!O301,"AAAAAHFXIfs=")</f>
        <v>#VALUE!</v>
      </c>
      <c r="IS20" t="e">
        <f>AND('Planilla_General_07-12-2012_8_3'!P301,"AAAAAHFXIfw=")</f>
        <v>#VALUE!</v>
      </c>
      <c r="IT20">
        <f>IF('Planilla_General_07-12-2012_8_3'!302:302,"AAAAAHFXIf0=",0)</f>
        <v>0</v>
      </c>
      <c r="IU20" t="e">
        <f>AND('Planilla_General_07-12-2012_8_3'!A302,"AAAAAHFXIf4=")</f>
        <v>#VALUE!</v>
      </c>
      <c r="IV20" t="e">
        <f>AND('Planilla_General_07-12-2012_8_3'!B302,"AAAAAHFXIf8=")</f>
        <v>#VALUE!</v>
      </c>
    </row>
    <row r="21" spans="1:256" x14ac:dyDescent="0.25">
      <c r="A21" t="e">
        <f>AND('Planilla_General_07-12-2012_8_3'!C302,"AAAAAE/fZQA=")</f>
        <v>#VALUE!</v>
      </c>
      <c r="B21" t="e">
        <f>AND('Planilla_General_07-12-2012_8_3'!D302,"AAAAAE/fZQE=")</f>
        <v>#VALUE!</v>
      </c>
      <c r="C21" t="e">
        <f>AND('Planilla_General_07-12-2012_8_3'!E302,"AAAAAE/fZQI=")</f>
        <v>#VALUE!</v>
      </c>
      <c r="D21" t="e">
        <f>AND('Planilla_General_07-12-2012_8_3'!F302,"AAAAAE/fZQM=")</f>
        <v>#VALUE!</v>
      </c>
      <c r="E21" t="e">
        <f>AND('Planilla_General_07-12-2012_8_3'!G302,"AAAAAE/fZQQ=")</f>
        <v>#VALUE!</v>
      </c>
      <c r="F21" t="e">
        <f>AND('Planilla_General_07-12-2012_8_3'!H302,"AAAAAE/fZQU=")</f>
        <v>#VALUE!</v>
      </c>
      <c r="G21" t="e">
        <f>AND('Planilla_General_07-12-2012_8_3'!I302,"AAAAAE/fZQY=")</f>
        <v>#VALUE!</v>
      </c>
      <c r="H21" t="e">
        <f>AND('Planilla_General_07-12-2012_8_3'!J302,"AAAAAE/fZQc=")</f>
        <v>#VALUE!</v>
      </c>
      <c r="I21" t="e">
        <f>AND('Planilla_General_07-12-2012_8_3'!K302,"AAAAAE/fZQg=")</f>
        <v>#VALUE!</v>
      </c>
      <c r="J21" t="e">
        <f>AND('Planilla_General_07-12-2012_8_3'!L302,"AAAAAE/fZQk=")</f>
        <v>#VALUE!</v>
      </c>
      <c r="K21" t="e">
        <f>AND('Planilla_General_07-12-2012_8_3'!M302,"AAAAAE/fZQo=")</f>
        <v>#VALUE!</v>
      </c>
      <c r="L21" t="e">
        <f>AND('Planilla_General_07-12-2012_8_3'!N302,"AAAAAE/fZQs=")</f>
        <v>#VALUE!</v>
      </c>
      <c r="M21" t="e">
        <f>AND('Planilla_General_07-12-2012_8_3'!O302,"AAAAAE/fZQw=")</f>
        <v>#VALUE!</v>
      </c>
      <c r="N21" t="e">
        <f>AND('Planilla_General_07-12-2012_8_3'!P302,"AAAAAE/fZQ0=")</f>
        <v>#VALUE!</v>
      </c>
      <c r="O21" t="str">
        <f>IF('Planilla_General_07-12-2012_8_3'!303:303,"AAAAAE/fZQ4=",0)</f>
        <v>AAAAAE/fZQ4=</v>
      </c>
      <c r="P21" t="e">
        <f>AND('Planilla_General_07-12-2012_8_3'!A303,"AAAAAE/fZQ8=")</f>
        <v>#VALUE!</v>
      </c>
      <c r="Q21" t="e">
        <f>AND('Planilla_General_07-12-2012_8_3'!B303,"AAAAAE/fZRA=")</f>
        <v>#VALUE!</v>
      </c>
      <c r="R21" t="e">
        <f>AND('Planilla_General_07-12-2012_8_3'!C303,"AAAAAE/fZRE=")</f>
        <v>#VALUE!</v>
      </c>
      <c r="S21" t="e">
        <f>AND('Planilla_General_07-12-2012_8_3'!D303,"AAAAAE/fZRI=")</f>
        <v>#VALUE!</v>
      </c>
      <c r="T21" t="e">
        <f>AND('Planilla_General_07-12-2012_8_3'!E303,"AAAAAE/fZRM=")</f>
        <v>#VALUE!</v>
      </c>
      <c r="U21" t="e">
        <f>AND('Planilla_General_07-12-2012_8_3'!F303,"AAAAAE/fZRQ=")</f>
        <v>#VALUE!</v>
      </c>
      <c r="V21" t="e">
        <f>AND('Planilla_General_07-12-2012_8_3'!G303,"AAAAAE/fZRU=")</f>
        <v>#VALUE!</v>
      </c>
      <c r="W21" t="e">
        <f>AND('Planilla_General_07-12-2012_8_3'!H303,"AAAAAE/fZRY=")</f>
        <v>#VALUE!</v>
      </c>
      <c r="X21" t="e">
        <f>AND('Planilla_General_07-12-2012_8_3'!I303,"AAAAAE/fZRc=")</f>
        <v>#VALUE!</v>
      </c>
      <c r="Y21" t="e">
        <f>AND('Planilla_General_07-12-2012_8_3'!J303,"AAAAAE/fZRg=")</f>
        <v>#VALUE!</v>
      </c>
      <c r="Z21" t="e">
        <f>AND('Planilla_General_07-12-2012_8_3'!K303,"AAAAAE/fZRk=")</f>
        <v>#VALUE!</v>
      </c>
      <c r="AA21" t="e">
        <f>AND('Planilla_General_07-12-2012_8_3'!L303,"AAAAAE/fZRo=")</f>
        <v>#VALUE!</v>
      </c>
      <c r="AB21" t="e">
        <f>AND('Planilla_General_07-12-2012_8_3'!M303,"AAAAAE/fZRs=")</f>
        <v>#VALUE!</v>
      </c>
      <c r="AC21" t="e">
        <f>AND('Planilla_General_07-12-2012_8_3'!N303,"AAAAAE/fZRw=")</f>
        <v>#VALUE!</v>
      </c>
      <c r="AD21" t="e">
        <f>AND('Planilla_General_07-12-2012_8_3'!O303,"AAAAAE/fZR0=")</f>
        <v>#VALUE!</v>
      </c>
      <c r="AE21" t="e">
        <f>AND('Planilla_General_07-12-2012_8_3'!P303,"AAAAAE/fZR4=")</f>
        <v>#VALUE!</v>
      </c>
      <c r="AF21">
        <f>IF('Planilla_General_07-12-2012_8_3'!304:304,"AAAAAE/fZR8=",0)</f>
        <v>0</v>
      </c>
      <c r="AG21" t="e">
        <f>AND('Planilla_General_07-12-2012_8_3'!A304,"AAAAAE/fZSA=")</f>
        <v>#VALUE!</v>
      </c>
      <c r="AH21" t="e">
        <f>AND('Planilla_General_07-12-2012_8_3'!B304,"AAAAAE/fZSE=")</f>
        <v>#VALUE!</v>
      </c>
      <c r="AI21" t="e">
        <f>AND('Planilla_General_07-12-2012_8_3'!C304,"AAAAAE/fZSI=")</f>
        <v>#VALUE!</v>
      </c>
      <c r="AJ21" t="e">
        <f>AND('Planilla_General_07-12-2012_8_3'!D304,"AAAAAE/fZSM=")</f>
        <v>#VALUE!</v>
      </c>
      <c r="AK21" t="e">
        <f>AND('Planilla_General_07-12-2012_8_3'!E304,"AAAAAE/fZSQ=")</f>
        <v>#VALUE!</v>
      </c>
      <c r="AL21" t="e">
        <f>AND('Planilla_General_07-12-2012_8_3'!F304,"AAAAAE/fZSU=")</f>
        <v>#VALUE!</v>
      </c>
      <c r="AM21" t="e">
        <f>AND('Planilla_General_07-12-2012_8_3'!G304,"AAAAAE/fZSY=")</f>
        <v>#VALUE!</v>
      </c>
      <c r="AN21" t="e">
        <f>AND('Planilla_General_07-12-2012_8_3'!H304,"AAAAAE/fZSc=")</f>
        <v>#VALUE!</v>
      </c>
      <c r="AO21" t="e">
        <f>AND('Planilla_General_07-12-2012_8_3'!I304,"AAAAAE/fZSg=")</f>
        <v>#VALUE!</v>
      </c>
      <c r="AP21" t="e">
        <f>AND('Planilla_General_07-12-2012_8_3'!J304,"AAAAAE/fZSk=")</f>
        <v>#VALUE!</v>
      </c>
      <c r="AQ21" t="e">
        <f>AND('Planilla_General_07-12-2012_8_3'!K304,"AAAAAE/fZSo=")</f>
        <v>#VALUE!</v>
      </c>
      <c r="AR21" t="e">
        <f>AND('Planilla_General_07-12-2012_8_3'!L304,"AAAAAE/fZSs=")</f>
        <v>#VALUE!</v>
      </c>
      <c r="AS21" t="e">
        <f>AND('Planilla_General_07-12-2012_8_3'!M304,"AAAAAE/fZSw=")</f>
        <v>#VALUE!</v>
      </c>
      <c r="AT21" t="e">
        <f>AND('Planilla_General_07-12-2012_8_3'!N304,"AAAAAE/fZS0=")</f>
        <v>#VALUE!</v>
      </c>
      <c r="AU21" t="e">
        <f>AND('Planilla_General_07-12-2012_8_3'!O304,"AAAAAE/fZS4=")</f>
        <v>#VALUE!</v>
      </c>
      <c r="AV21" t="e">
        <f>AND('Planilla_General_07-12-2012_8_3'!P304,"AAAAAE/fZS8=")</f>
        <v>#VALUE!</v>
      </c>
      <c r="AW21">
        <f>IF('Planilla_General_07-12-2012_8_3'!305:305,"AAAAAE/fZTA=",0)</f>
        <v>0</v>
      </c>
      <c r="AX21" t="e">
        <f>AND('Planilla_General_07-12-2012_8_3'!A305,"AAAAAE/fZTE=")</f>
        <v>#VALUE!</v>
      </c>
      <c r="AY21" t="e">
        <f>AND('Planilla_General_07-12-2012_8_3'!B305,"AAAAAE/fZTI=")</f>
        <v>#VALUE!</v>
      </c>
      <c r="AZ21" t="e">
        <f>AND('Planilla_General_07-12-2012_8_3'!C305,"AAAAAE/fZTM=")</f>
        <v>#VALUE!</v>
      </c>
      <c r="BA21" t="e">
        <f>AND('Planilla_General_07-12-2012_8_3'!D305,"AAAAAE/fZTQ=")</f>
        <v>#VALUE!</v>
      </c>
      <c r="BB21" t="e">
        <f>AND('Planilla_General_07-12-2012_8_3'!E305,"AAAAAE/fZTU=")</f>
        <v>#VALUE!</v>
      </c>
      <c r="BC21" t="e">
        <f>AND('Planilla_General_07-12-2012_8_3'!F305,"AAAAAE/fZTY=")</f>
        <v>#VALUE!</v>
      </c>
      <c r="BD21" t="e">
        <f>AND('Planilla_General_07-12-2012_8_3'!G305,"AAAAAE/fZTc=")</f>
        <v>#VALUE!</v>
      </c>
      <c r="BE21" t="e">
        <f>AND('Planilla_General_07-12-2012_8_3'!H305,"AAAAAE/fZTg=")</f>
        <v>#VALUE!</v>
      </c>
      <c r="BF21" t="e">
        <f>AND('Planilla_General_07-12-2012_8_3'!I305,"AAAAAE/fZTk=")</f>
        <v>#VALUE!</v>
      </c>
      <c r="BG21" t="e">
        <f>AND('Planilla_General_07-12-2012_8_3'!J305,"AAAAAE/fZTo=")</f>
        <v>#VALUE!</v>
      </c>
      <c r="BH21" t="e">
        <f>AND('Planilla_General_07-12-2012_8_3'!K305,"AAAAAE/fZTs=")</f>
        <v>#VALUE!</v>
      </c>
      <c r="BI21" t="e">
        <f>AND('Planilla_General_07-12-2012_8_3'!L305,"AAAAAE/fZTw=")</f>
        <v>#VALUE!</v>
      </c>
      <c r="BJ21" t="e">
        <f>AND('Planilla_General_07-12-2012_8_3'!M305,"AAAAAE/fZT0=")</f>
        <v>#VALUE!</v>
      </c>
      <c r="BK21" t="e">
        <f>AND('Planilla_General_07-12-2012_8_3'!N305,"AAAAAE/fZT4=")</f>
        <v>#VALUE!</v>
      </c>
      <c r="BL21" t="e">
        <f>AND('Planilla_General_07-12-2012_8_3'!O305,"AAAAAE/fZT8=")</f>
        <v>#VALUE!</v>
      </c>
      <c r="BM21" t="e">
        <f>AND('Planilla_General_07-12-2012_8_3'!P305,"AAAAAE/fZUA=")</f>
        <v>#VALUE!</v>
      </c>
      <c r="BN21">
        <f>IF('Planilla_General_07-12-2012_8_3'!306:306,"AAAAAE/fZUE=",0)</f>
        <v>0</v>
      </c>
      <c r="BO21" t="e">
        <f>AND('Planilla_General_07-12-2012_8_3'!A306,"AAAAAE/fZUI=")</f>
        <v>#VALUE!</v>
      </c>
      <c r="BP21" t="e">
        <f>AND('Planilla_General_07-12-2012_8_3'!B306,"AAAAAE/fZUM=")</f>
        <v>#VALUE!</v>
      </c>
      <c r="BQ21" t="e">
        <f>AND('Planilla_General_07-12-2012_8_3'!C306,"AAAAAE/fZUQ=")</f>
        <v>#VALUE!</v>
      </c>
      <c r="BR21" t="e">
        <f>AND('Planilla_General_07-12-2012_8_3'!D306,"AAAAAE/fZUU=")</f>
        <v>#VALUE!</v>
      </c>
      <c r="BS21" t="e">
        <f>AND('Planilla_General_07-12-2012_8_3'!E306,"AAAAAE/fZUY=")</f>
        <v>#VALUE!</v>
      </c>
      <c r="BT21" t="e">
        <f>AND('Planilla_General_07-12-2012_8_3'!F306,"AAAAAE/fZUc=")</f>
        <v>#VALUE!</v>
      </c>
      <c r="BU21" t="e">
        <f>AND('Planilla_General_07-12-2012_8_3'!G306,"AAAAAE/fZUg=")</f>
        <v>#VALUE!</v>
      </c>
      <c r="BV21" t="e">
        <f>AND('Planilla_General_07-12-2012_8_3'!H306,"AAAAAE/fZUk=")</f>
        <v>#VALUE!</v>
      </c>
      <c r="BW21" t="e">
        <f>AND('Planilla_General_07-12-2012_8_3'!I306,"AAAAAE/fZUo=")</f>
        <v>#VALUE!</v>
      </c>
      <c r="BX21" t="e">
        <f>AND('Planilla_General_07-12-2012_8_3'!J306,"AAAAAE/fZUs=")</f>
        <v>#VALUE!</v>
      </c>
      <c r="BY21" t="e">
        <f>AND('Planilla_General_07-12-2012_8_3'!K306,"AAAAAE/fZUw=")</f>
        <v>#VALUE!</v>
      </c>
      <c r="BZ21" t="e">
        <f>AND('Planilla_General_07-12-2012_8_3'!L306,"AAAAAE/fZU0=")</f>
        <v>#VALUE!</v>
      </c>
      <c r="CA21" t="e">
        <f>AND('Planilla_General_07-12-2012_8_3'!M306,"AAAAAE/fZU4=")</f>
        <v>#VALUE!</v>
      </c>
      <c r="CB21" t="e">
        <f>AND('Planilla_General_07-12-2012_8_3'!N306,"AAAAAE/fZU8=")</f>
        <v>#VALUE!</v>
      </c>
      <c r="CC21" t="e">
        <f>AND('Planilla_General_07-12-2012_8_3'!O306,"AAAAAE/fZVA=")</f>
        <v>#VALUE!</v>
      </c>
      <c r="CD21" t="e">
        <f>AND('Planilla_General_07-12-2012_8_3'!P306,"AAAAAE/fZVE=")</f>
        <v>#VALUE!</v>
      </c>
      <c r="CE21">
        <f>IF('Planilla_General_07-12-2012_8_3'!307:307,"AAAAAE/fZVI=",0)</f>
        <v>0</v>
      </c>
      <c r="CF21" t="e">
        <f>AND('Planilla_General_07-12-2012_8_3'!A307,"AAAAAE/fZVM=")</f>
        <v>#VALUE!</v>
      </c>
      <c r="CG21" t="e">
        <f>AND('Planilla_General_07-12-2012_8_3'!B307,"AAAAAE/fZVQ=")</f>
        <v>#VALUE!</v>
      </c>
      <c r="CH21" t="e">
        <f>AND('Planilla_General_07-12-2012_8_3'!C307,"AAAAAE/fZVU=")</f>
        <v>#VALUE!</v>
      </c>
      <c r="CI21" t="e">
        <f>AND('Planilla_General_07-12-2012_8_3'!D307,"AAAAAE/fZVY=")</f>
        <v>#VALUE!</v>
      </c>
      <c r="CJ21" t="e">
        <f>AND('Planilla_General_07-12-2012_8_3'!E307,"AAAAAE/fZVc=")</f>
        <v>#VALUE!</v>
      </c>
      <c r="CK21" t="e">
        <f>AND('Planilla_General_07-12-2012_8_3'!F307,"AAAAAE/fZVg=")</f>
        <v>#VALUE!</v>
      </c>
      <c r="CL21" t="e">
        <f>AND('Planilla_General_07-12-2012_8_3'!G307,"AAAAAE/fZVk=")</f>
        <v>#VALUE!</v>
      </c>
      <c r="CM21" t="e">
        <f>AND('Planilla_General_07-12-2012_8_3'!H307,"AAAAAE/fZVo=")</f>
        <v>#VALUE!</v>
      </c>
      <c r="CN21" t="e">
        <f>AND('Planilla_General_07-12-2012_8_3'!I307,"AAAAAE/fZVs=")</f>
        <v>#VALUE!</v>
      </c>
      <c r="CO21" t="e">
        <f>AND('Planilla_General_07-12-2012_8_3'!J307,"AAAAAE/fZVw=")</f>
        <v>#VALUE!</v>
      </c>
      <c r="CP21" t="e">
        <f>AND('Planilla_General_07-12-2012_8_3'!K307,"AAAAAE/fZV0=")</f>
        <v>#VALUE!</v>
      </c>
      <c r="CQ21" t="e">
        <f>AND('Planilla_General_07-12-2012_8_3'!L307,"AAAAAE/fZV4=")</f>
        <v>#VALUE!</v>
      </c>
      <c r="CR21" t="e">
        <f>AND('Planilla_General_07-12-2012_8_3'!M307,"AAAAAE/fZV8=")</f>
        <v>#VALUE!</v>
      </c>
      <c r="CS21" t="e">
        <f>AND('Planilla_General_07-12-2012_8_3'!N307,"AAAAAE/fZWA=")</f>
        <v>#VALUE!</v>
      </c>
      <c r="CT21" t="e">
        <f>AND('Planilla_General_07-12-2012_8_3'!O307,"AAAAAE/fZWE=")</f>
        <v>#VALUE!</v>
      </c>
      <c r="CU21" t="e">
        <f>AND('Planilla_General_07-12-2012_8_3'!P307,"AAAAAE/fZWI=")</f>
        <v>#VALUE!</v>
      </c>
      <c r="CV21">
        <f>IF('Planilla_General_07-12-2012_8_3'!308:308,"AAAAAE/fZWM=",0)</f>
        <v>0</v>
      </c>
      <c r="CW21" t="e">
        <f>AND('Planilla_General_07-12-2012_8_3'!A308,"AAAAAE/fZWQ=")</f>
        <v>#VALUE!</v>
      </c>
      <c r="CX21" t="e">
        <f>AND('Planilla_General_07-12-2012_8_3'!B308,"AAAAAE/fZWU=")</f>
        <v>#VALUE!</v>
      </c>
      <c r="CY21" t="e">
        <f>AND('Planilla_General_07-12-2012_8_3'!C308,"AAAAAE/fZWY=")</f>
        <v>#VALUE!</v>
      </c>
      <c r="CZ21" t="e">
        <f>AND('Planilla_General_07-12-2012_8_3'!D308,"AAAAAE/fZWc=")</f>
        <v>#VALUE!</v>
      </c>
      <c r="DA21" t="e">
        <f>AND('Planilla_General_07-12-2012_8_3'!E308,"AAAAAE/fZWg=")</f>
        <v>#VALUE!</v>
      </c>
      <c r="DB21" t="e">
        <f>AND('Planilla_General_07-12-2012_8_3'!F308,"AAAAAE/fZWk=")</f>
        <v>#VALUE!</v>
      </c>
      <c r="DC21" t="e">
        <f>AND('Planilla_General_07-12-2012_8_3'!G308,"AAAAAE/fZWo=")</f>
        <v>#VALUE!</v>
      </c>
      <c r="DD21" t="e">
        <f>AND('Planilla_General_07-12-2012_8_3'!H308,"AAAAAE/fZWs=")</f>
        <v>#VALUE!</v>
      </c>
      <c r="DE21" t="e">
        <f>AND('Planilla_General_07-12-2012_8_3'!I308,"AAAAAE/fZWw=")</f>
        <v>#VALUE!</v>
      </c>
      <c r="DF21" t="e">
        <f>AND('Planilla_General_07-12-2012_8_3'!J308,"AAAAAE/fZW0=")</f>
        <v>#VALUE!</v>
      </c>
      <c r="DG21" t="e">
        <f>AND('Planilla_General_07-12-2012_8_3'!K308,"AAAAAE/fZW4=")</f>
        <v>#VALUE!</v>
      </c>
      <c r="DH21" t="e">
        <f>AND('Planilla_General_07-12-2012_8_3'!L308,"AAAAAE/fZW8=")</f>
        <v>#VALUE!</v>
      </c>
      <c r="DI21" t="e">
        <f>AND('Planilla_General_07-12-2012_8_3'!M308,"AAAAAE/fZXA=")</f>
        <v>#VALUE!</v>
      </c>
      <c r="DJ21" t="e">
        <f>AND('Planilla_General_07-12-2012_8_3'!N308,"AAAAAE/fZXE=")</f>
        <v>#VALUE!</v>
      </c>
      <c r="DK21" t="e">
        <f>AND('Planilla_General_07-12-2012_8_3'!O308,"AAAAAE/fZXI=")</f>
        <v>#VALUE!</v>
      </c>
      <c r="DL21" t="e">
        <f>AND('Planilla_General_07-12-2012_8_3'!P308,"AAAAAE/fZXM=")</f>
        <v>#VALUE!</v>
      </c>
      <c r="DM21">
        <f>IF('Planilla_General_07-12-2012_8_3'!309:309,"AAAAAE/fZXQ=",0)</f>
        <v>0</v>
      </c>
      <c r="DN21" t="e">
        <f>AND('Planilla_General_07-12-2012_8_3'!A309,"AAAAAE/fZXU=")</f>
        <v>#VALUE!</v>
      </c>
      <c r="DO21" t="e">
        <f>AND('Planilla_General_07-12-2012_8_3'!B309,"AAAAAE/fZXY=")</f>
        <v>#VALUE!</v>
      </c>
      <c r="DP21" t="e">
        <f>AND('Planilla_General_07-12-2012_8_3'!C309,"AAAAAE/fZXc=")</f>
        <v>#VALUE!</v>
      </c>
      <c r="DQ21" t="e">
        <f>AND('Planilla_General_07-12-2012_8_3'!D309,"AAAAAE/fZXg=")</f>
        <v>#VALUE!</v>
      </c>
      <c r="DR21" t="e">
        <f>AND('Planilla_General_07-12-2012_8_3'!E309,"AAAAAE/fZXk=")</f>
        <v>#VALUE!</v>
      </c>
      <c r="DS21" t="e">
        <f>AND('Planilla_General_07-12-2012_8_3'!F309,"AAAAAE/fZXo=")</f>
        <v>#VALUE!</v>
      </c>
      <c r="DT21" t="e">
        <f>AND('Planilla_General_07-12-2012_8_3'!G309,"AAAAAE/fZXs=")</f>
        <v>#VALUE!</v>
      </c>
      <c r="DU21" t="e">
        <f>AND('Planilla_General_07-12-2012_8_3'!H309,"AAAAAE/fZXw=")</f>
        <v>#VALUE!</v>
      </c>
      <c r="DV21" t="e">
        <f>AND('Planilla_General_07-12-2012_8_3'!I309,"AAAAAE/fZX0=")</f>
        <v>#VALUE!</v>
      </c>
      <c r="DW21" t="e">
        <f>AND('Planilla_General_07-12-2012_8_3'!J309,"AAAAAE/fZX4=")</f>
        <v>#VALUE!</v>
      </c>
      <c r="DX21" t="e">
        <f>AND('Planilla_General_07-12-2012_8_3'!K309,"AAAAAE/fZX8=")</f>
        <v>#VALUE!</v>
      </c>
      <c r="DY21" t="e">
        <f>AND('Planilla_General_07-12-2012_8_3'!L309,"AAAAAE/fZYA=")</f>
        <v>#VALUE!</v>
      </c>
      <c r="DZ21" t="e">
        <f>AND('Planilla_General_07-12-2012_8_3'!M309,"AAAAAE/fZYE=")</f>
        <v>#VALUE!</v>
      </c>
      <c r="EA21" t="e">
        <f>AND('Planilla_General_07-12-2012_8_3'!N309,"AAAAAE/fZYI=")</f>
        <v>#VALUE!</v>
      </c>
      <c r="EB21" t="e">
        <f>AND('Planilla_General_07-12-2012_8_3'!O309,"AAAAAE/fZYM=")</f>
        <v>#VALUE!</v>
      </c>
      <c r="EC21" t="e">
        <f>AND('Planilla_General_07-12-2012_8_3'!P309,"AAAAAE/fZYQ=")</f>
        <v>#VALUE!</v>
      </c>
      <c r="ED21">
        <f>IF('Planilla_General_07-12-2012_8_3'!310:310,"AAAAAE/fZYU=",0)</f>
        <v>0</v>
      </c>
      <c r="EE21" t="e">
        <f>AND('Planilla_General_07-12-2012_8_3'!A310,"AAAAAE/fZYY=")</f>
        <v>#VALUE!</v>
      </c>
      <c r="EF21" t="e">
        <f>AND('Planilla_General_07-12-2012_8_3'!B310,"AAAAAE/fZYc=")</f>
        <v>#VALUE!</v>
      </c>
      <c r="EG21" t="e">
        <f>AND('Planilla_General_07-12-2012_8_3'!C310,"AAAAAE/fZYg=")</f>
        <v>#VALUE!</v>
      </c>
      <c r="EH21" t="e">
        <f>AND('Planilla_General_07-12-2012_8_3'!D310,"AAAAAE/fZYk=")</f>
        <v>#VALUE!</v>
      </c>
      <c r="EI21" t="e">
        <f>AND('Planilla_General_07-12-2012_8_3'!E310,"AAAAAE/fZYo=")</f>
        <v>#VALUE!</v>
      </c>
      <c r="EJ21" t="e">
        <f>AND('Planilla_General_07-12-2012_8_3'!F310,"AAAAAE/fZYs=")</f>
        <v>#VALUE!</v>
      </c>
      <c r="EK21" t="e">
        <f>AND('Planilla_General_07-12-2012_8_3'!G310,"AAAAAE/fZYw=")</f>
        <v>#VALUE!</v>
      </c>
      <c r="EL21" t="e">
        <f>AND('Planilla_General_07-12-2012_8_3'!H310,"AAAAAE/fZY0=")</f>
        <v>#VALUE!</v>
      </c>
      <c r="EM21" t="e">
        <f>AND('Planilla_General_07-12-2012_8_3'!I310,"AAAAAE/fZY4=")</f>
        <v>#VALUE!</v>
      </c>
      <c r="EN21" t="e">
        <f>AND('Planilla_General_07-12-2012_8_3'!J310,"AAAAAE/fZY8=")</f>
        <v>#VALUE!</v>
      </c>
      <c r="EO21" t="e">
        <f>AND('Planilla_General_07-12-2012_8_3'!K310,"AAAAAE/fZZA=")</f>
        <v>#VALUE!</v>
      </c>
      <c r="EP21" t="e">
        <f>AND('Planilla_General_07-12-2012_8_3'!L310,"AAAAAE/fZZE=")</f>
        <v>#VALUE!</v>
      </c>
      <c r="EQ21" t="e">
        <f>AND('Planilla_General_07-12-2012_8_3'!M310,"AAAAAE/fZZI=")</f>
        <v>#VALUE!</v>
      </c>
      <c r="ER21" t="e">
        <f>AND('Planilla_General_07-12-2012_8_3'!N310,"AAAAAE/fZZM=")</f>
        <v>#VALUE!</v>
      </c>
      <c r="ES21" t="e">
        <f>AND('Planilla_General_07-12-2012_8_3'!O310,"AAAAAE/fZZQ=")</f>
        <v>#VALUE!</v>
      </c>
      <c r="ET21" t="e">
        <f>AND('Planilla_General_07-12-2012_8_3'!P310,"AAAAAE/fZZU=")</f>
        <v>#VALUE!</v>
      </c>
      <c r="EU21">
        <f>IF('Planilla_General_07-12-2012_8_3'!311:311,"AAAAAE/fZZY=",0)</f>
        <v>0</v>
      </c>
      <c r="EV21" t="e">
        <f>AND('Planilla_General_07-12-2012_8_3'!A311,"AAAAAE/fZZc=")</f>
        <v>#VALUE!</v>
      </c>
      <c r="EW21" t="e">
        <f>AND('Planilla_General_07-12-2012_8_3'!B311,"AAAAAE/fZZg=")</f>
        <v>#VALUE!</v>
      </c>
      <c r="EX21" t="e">
        <f>AND('Planilla_General_07-12-2012_8_3'!C311,"AAAAAE/fZZk=")</f>
        <v>#VALUE!</v>
      </c>
      <c r="EY21" t="e">
        <f>AND('Planilla_General_07-12-2012_8_3'!D311,"AAAAAE/fZZo=")</f>
        <v>#VALUE!</v>
      </c>
      <c r="EZ21" t="e">
        <f>AND('Planilla_General_07-12-2012_8_3'!E311,"AAAAAE/fZZs=")</f>
        <v>#VALUE!</v>
      </c>
      <c r="FA21" t="e">
        <f>AND('Planilla_General_07-12-2012_8_3'!F311,"AAAAAE/fZZw=")</f>
        <v>#VALUE!</v>
      </c>
      <c r="FB21" t="e">
        <f>AND('Planilla_General_07-12-2012_8_3'!G311,"AAAAAE/fZZ0=")</f>
        <v>#VALUE!</v>
      </c>
      <c r="FC21" t="e">
        <f>AND('Planilla_General_07-12-2012_8_3'!H311,"AAAAAE/fZZ4=")</f>
        <v>#VALUE!</v>
      </c>
      <c r="FD21" t="e">
        <f>AND('Planilla_General_07-12-2012_8_3'!I311,"AAAAAE/fZZ8=")</f>
        <v>#VALUE!</v>
      </c>
      <c r="FE21" t="e">
        <f>AND('Planilla_General_07-12-2012_8_3'!J311,"AAAAAE/fZaA=")</f>
        <v>#VALUE!</v>
      </c>
      <c r="FF21" t="e">
        <f>AND('Planilla_General_07-12-2012_8_3'!K311,"AAAAAE/fZaE=")</f>
        <v>#VALUE!</v>
      </c>
      <c r="FG21" t="e">
        <f>AND('Planilla_General_07-12-2012_8_3'!L311,"AAAAAE/fZaI=")</f>
        <v>#VALUE!</v>
      </c>
      <c r="FH21" t="e">
        <f>AND('Planilla_General_07-12-2012_8_3'!M311,"AAAAAE/fZaM=")</f>
        <v>#VALUE!</v>
      </c>
      <c r="FI21" t="e">
        <f>AND('Planilla_General_07-12-2012_8_3'!N311,"AAAAAE/fZaQ=")</f>
        <v>#VALUE!</v>
      </c>
      <c r="FJ21" t="e">
        <f>AND('Planilla_General_07-12-2012_8_3'!O311,"AAAAAE/fZaU=")</f>
        <v>#VALUE!</v>
      </c>
      <c r="FK21" t="e">
        <f>AND('Planilla_General_07-12-2012_8_3'!P311,"AAAAAE/fZaY=")</f>
        <v>#VALUE!</v>
      </c>
      <c r="FL21">
        <f>IF('Planilla_General_07-12-2012_8_3'!312:312,"AAAAAE/fZac=",0)</f>
        <v>0</v>
      </c>
      <c r="FM21" t="e">
        <f>AND('Planilla_General_07-12-2012_8_3'!A312,"AAAAAE/fZag=")</f>
        <v>#VALUE!</v>
      </c>
      <c r="FN21" t="e">
        <f>AND('Planilla_General_07-12-2012_8_3'!B312,"AAAAAE/fZak=")</f>
        <v>#VALUE!</v>
      </c>
      <c r="FO21" t="e">
        <f>AND('Planilla_General_07-12-2012_8_3'!C312,"AAAAAE/fZao=")</f>
        <v>#VALUE!</v>
      </c>
      <c r="FP21" t="e">
        <f>AND('Planilla_General_07-12-2012_8_3'!D312,"AAAAAE/fZas=")</f>
        <v>#VALUE!</v>
      </c>
      <c r="FQ21" t="e">
        <f>AND('Planilla_General_07-12-2012_8_3'!E312,"AAAAAE/fZaw=")</f>
        <v>#VALUE!</v>
      </c>
      <c r="FR21" t="e">
        <f>AND('Planilla_General_07-12-2012_8_3'!F312,"AAAAAE/fZa0=")</f>
        <v>#VALUE!</v>
      </c>
      <c r="FS21" t="e">
        <f>AND('Planilla_General_07-12-2012_8_3'!G312,"AAAAAE/fZa4=")</f>
        <v>#VALUE!</v>
      </c>
      <c r="FT21" t="e">
        <f>AND('Planilla_General_07-12-2012_8_3'!H312,"AAAAAE/fZa8=")</f>
        <v>#VALUE!</v>
      </c>
      <c r="FU21" t="e">
        <f>AND('Planilla_General_07-12-2012_8_3'!I312,"AAAAAE/fZbA=")</f>
        <v>#VALUE!</v>
      </c>
      <c r="FV21" t="e">
        <f>AND('Planilla_General_07-12-2012_8_3'!J312,"AAAAAE/fZbE=")</f>
        <v>#VALUE!</v>
      </c>
      <c r="FW21" t="e">
        <f>AND('Planilla_General_07-12-2012_8_3'!K312,"AAAAAE/fZbI=")</f>
        <v>#VALUE!</v>
      </c>
      <c r="FX21" t="e">
        <f>AND('Planilla_General_07-12-2012_8_3'!L312,"AAAAAE/fZbM=")</f>
        <v>#VALUE!</v>
      </c>
      <c r="FY21" t="e">
        <f>AND('Planilla_General_07-12-2012_8_3'!M312,"AAAAAE/fZbQ=")</f>
        <v>#VALUE!</v>
      </c>
      <c r="FZ21" t="e">
        <f>AND('Planilla_General_07-12-2012_8_3'!N312,"AAAAAE/fZbU=")</f>
        <v>#VALUE!</v>
      </c>
      <c r="GA21" t="e">
        <f>AND('Planilla_General_07-12-2012_8_3'!O312,"AAAAAE/fZbY=")</f>
        <v>#VALUE!</v>
      </c>
      <c r="GB21" t="e">
        <f>AND('Planilla_General_07-12-2012_8_3'!P312,"AAAAAE/fZbc=")</f>
        <v>#VALUE!</v>
      </c>
      <c r="GC21">
        <f>IF('Planilla_General_07-12-2012_8_3'!313:313,"AAAAAE/fZbg=",0)</f>
        <v>0</v>
      </c>
      <c r="GD21" t="e">
        <f>AND('Planilla_General_07-12-2012_8_3'!A313,"AAAAAE/fZbk=")</f>
        <v>#VALUE!</v>
      </c>
      <c r="GE21" t="e">
        <f>AND('Planilla_General_07-12-2012_8_3'!B313,"AAAAAE/fZbo=")</f>
        <v>#VALUE!</v>
      </c>
      <c r="GF21" t="e">
        <f>AND('Planilla_General_07-12-2012_8_3'!C313,"AAAAAE/fZbs=")</f>
        <v>#VALUE!</v>
      </c>
      <c r="GG21" t="e">
        <f>AND('Planilla_General_07-12-2012_8_3'!D313,"AAAAAE/fZbw=")</f>
        <v>#VALUE!</v>
      </c>
      <c r="GH21" t="e">
        <f>AND('Planilla_General_07-12-2012_8_3'!E313,"AAAAAE/fZb0=")</f>
        <v>#VALUE!</v>
      </c>
      <c r="GI21" t="e">
        <f>AND('Planilla_General_07-12-2012_8_3'!F313,"AAAAAE/fZb4=")</f>
        <v>#VALUE!</v>
      </c>
      <c r="GJ21" t="e">
        <f>AND('Planilla_General_07-12-2012_8_3'!G313,"AAAAAE/fZb8=")</f>
        <v>#VALUE!</v>
      </c>
      <c r="GK21" t="e">
        <f>AND('Planilla_General_07-12-2012_8_3'!H313,"AAAAAE/fZcA=")</f>
        <v>#VALUE!</v>
      </c>
      <c r="GL21" t="e">
        <f>AND('Planilla_General_07-12-2012_8_3'!I313,"AAAAAE/fZcE=")</f>
        <v>#VALUE!</v>
      </c>
      <c r="GM21" t="e">
        <f>AND('Planilla_General_07-12-2012_8_3'!J313,"AAAAAE/fZcI=")</f>
        <v>#VALUE!</v>
      </c>
      <c r="GN21" t="e">
        <f>AND('Planilla_General_07-12-2012_8_3'!K313,"AAAAAE/fZcM=")</f>
        <v>#VALUE!</v>
      </c>
      <c r="GO21" t="e">
        <f>AND('Planilla_General_07-12-2012_8_3'!L313,"AAAAAE/fZcQ=")</f>
        <v>#VALUE!</v>
      </c>
      <c r="GP21" t="e">
        <f>AND('Planilla_General_07-12-2012_8_3'!M313,"AAAAAE/fZcU=")</f>
        <v>#VALUE!</v>
      </c>
      <c r="GQ21" t="e">
        <f>AND('Planilla_General_07-12-2012_8_3'!N313,"AAAAAE/fZcY=")</f>
        <v>#VALUE!</v>
      </c>
      <c r="GR21" t="e">
        <f>AND('Planilla_General_07-12-2012_8_3'!O313,"AAAAAE/fZcc=")</f>
        <v>#VALUE!</v>
      </c>
      <c r="GS21" t="e">
        <f>AND('Planilla_General_07-12-2012_8_3'!P313,"AAAAAE/fZcg=")</f>
        <v>#VALUE!</v>
      </c>
      <c r="GT21">
        <f>IF('Planilla_General_07-12-2012_8_3'!314:314,"AAAAAE/fZck=",0)</f>
        <v>0</v>
      </c>
      <c r="GU21" t="e">
        <f>AND('Planilla_General_07-12-2012_8_3'!A314,"AAAAAE/fZco=")</f>
        <v>#VALUE!</v>
      </c>
      <c r="GV21" t="e">
        <f>AND('Planilla_General_07-12-2012_8_3'!B314,"AAAAAE/fZcs=")</f>
        <v>#VALUE!</v>
      </c>
      <c r="GW21" t="e">
        <f>AND('Planilla_General_07-12-2012_8_3'!C314,"AAAAAE/fZcw=")</f>
        <v>#VALUE!</v>
      </c>
      <c r="GX21" t="e">
        <f>AND('Planilla_General_07-12-2012_8_3'!D314,"AAAAAE/fZc0=")</f>
        <v>#VALUE!</v>
      </c>
      <c r="GY21" t="e">
        <f>AND('Planilla_General_07-12-2012_8_3'!E314,"AAAAAE/fZc4=")</f>
        <v>#VALUE!</v>
      </c>
      <c r="GZ21" t="e">
        <f>AND('Planilla_General_07-12-2012_8_3'!F314,"AAAAAE/fZc8=")</f>
        <v>#VALUE!</v>
      </c>
      <c r="HA21" t="e">
        <f>AND('Planilla_General_07-12-2012_8_3'!G314,"AAAAAE/fZdA=")</f>
        <v>#VALUE!</v>
      </c>
      <c r="HB21" t="e">
        <f>AND('Planilla_General_07-12-2012_8_3'!H314,"AAAAAE/fZdE=")</f>
        <v>#VALUE!</v>
      </c>
      <c r="HC21" t="e">
        <f>AND('Planilla_General_07-12-2012_8_3'!I314,"AAAAAE/fZdI=")</f>
        <v>#VALUE!</v>
      </c>
      <c r="HD21" t="e">
        <f>AND('Planilla_General_07-12-2012_8_3'!J314,"AAAAAE/fZdM=")</f>
        <v>#VALUE!</v>
      </c>
      <c r="HE21" t="e">
        <f>AND('Planilla_General_07-12-2012_8_3'!K314,"AAAAAE/fZdQ=")</f>
        <v>#VALUE!</v>
      </c>
      <c r="HF21" t="e">
        <f>AND('Planilla_General_07-12-2012_8_3'!L314,"AAAAAE/fZdU=")</f>
        <v>#VALUE!</v>
      </c>
      <c r="HG21" t="e">
        <f>AND('Planilla_General_07-12-2012_8_3'!M314,"AAAAAE/fZdY=")</f>
        <v>#VALUE!</v>
      </c>
      <c r="HH21" t="e">
        <f>AND('Planilla_General_07-12-2012_8_3'!N314,"AAAAAE/fZdc=")</f>
        <v>#VALUE!</v>
      </c>
      <c r="HI21" t="e">
        <f>AND('Planilla_General_07-12-2012_8_3'!O314,"AAAAAE/fZdg=")</f>
        <v>#VALUE!</v>
      </c>
      <c r="HJ21" t="e">
        <f>AND('Planilla_General_07-12-2012_8_3'!P314,"AAAAAE/fZdk=")</f>
        <v>#VALUE!</v>
      </c>
      <c r="HK21">
        <f>IF('Planilla_General_07-12-2012_8_3'!315:315,"AAAAAE/fZdo=",0)</f>
        <v>0</v>
      </c>
      <c r="HL21" t="e">
        <f>AND('Planilla_General_07-12-2012_8_3'!A315,"AAAAAE/fZds=")</f>
        <v>#VALUE!</v>
      </c>
      <c r="HM21" t="e">
        <f>AND('Planilla_General_07-12-2012_8_3'!B315,"AAAAAE/fZdw=")</f>
        <v>#VALUE!</v>
      </c>
      <c r="HN21" t="e">
        <f>AND('Planilla_General_07-12-2012_8_3'!C315,"AAAAAE/fZd0=")</f>
        <v>#VALUE!</v>
      </c>
      <c r="HO21" t="e">
        <f>AND('Planilla_General_07-12-2012_8_3'!D315,"AAAAAE/fZd4=")</f>
        <v>#VALUE!</v>
      </c>
      <c r="HP21" t="e">
        <f>AND('Planilla_General_07-12-2012_8_3'!E315,"AAAAAE/fZd8=")</f>
        <v>#VALUE!</v>
      </c>
      <c r="HQ21" t="e">
        <f>AND('Planilla_General_07-12-2012_8_3'!F315,"AAAAAE/fZeA=")</f>
        <v>#VALUE!</v>
      </c>
      <c r="HR21" t="e">
        <f>AND('Planilla_General_07-12-2012_8_3'!G315,"AAAAAE/fZeE=")</f>
        <v>#VALUE!</v>
      </c>
      <c r="HS21" t="e">
        <f>AND('Planilla_General_07-12-2012_8_3'!H315,"AAAAAE/fZeI=")</f>
        <v>#VALUE!</v>
      </c>
      <c r="HT21" t="e">
        <f>AND('Planilla_General_07-12-2012_8_3'!I315,"AAAAAE/fZeM=")</f>
        <v>#VALUE!</v>
      </c>
      <c r="HU21" t="e">
        <f>AND('Planilla_General_07-12-2012_8_3'!J315,"AAAAAE/fZeQ=")</f>
        <v>#VALUE!</v>
      </c>
      <c r="HV21" t="e">
        <f>AND('Planilla_General_07-12-2012_8_3'!K315,"AAAAAE/fZeU=")</f>
        <v>#VALUE!</v>
      </c>
      <c r="HW21" t="e">
        <f>AND('Planilla_General_07-12-2012_8_3'!L315,"AAAAAE/fZeY=")</f>
        <v>#VALUE!</v>
      </c>
      <c r="HX21" t="e">
        <f>AND('Planilla_General_07-12-2012_8_3'!M315,"AAAAAE/fZec=")</f>
        <v>#VALUE!</v>
      </c>
      <c r="HY21" t="e">
        <f>AND('Planilla_General_07-12-2012_8_3'!N315,"AAAAAE/fZeg=")</f>
        <v>#VALUE!</v>
      </c>
      <c r="HZ21" t="e">
        <f>AND('Planilla_General_07-12-2012_8_3'!O315,"AAAAAE/fZek=")</f>
        <v>#VALUE!</v>
      </c>
      <c r="IA21" t="e">
        <f>AND('Planilla_General_07-12-2012_8_3'!P315,"AAAAAE/fZeo=")</f>
        <v>#VALUE!</v>
      </c>
      <c r="IB21">
        <f>IF('Planilla_General_07-12-2012_8_3'!316:316,"AAAAAE/fZes=",0)</f>
        <v>0</v>
      </c>
      <c r="IC21" t="e">
        <f>AND('Planilla_General_07-12-2012_8_3'!A316,"AAAAAE/fZew=")</f>
        <v>#VALUE!</v>
      </c>
      <c r="ID21" t="e">
        <f>AND('Planilla_General_07-12-2012_8_3'!B316,"AAAAAE/fZe0=")</f>
        <v>#VALUE!</v>
      </c>
      <c r="IE21" t="e">
        <f>AND('Planilla_General_07-12-2012_8_3'!C316,"AAAAAE/fZe4=")</f>
        <v>#VALUE!</v>
      </c>
      <c r="IF21" t="e">
        <f>AND('Planilla_General_07-12-2012_8_3'!D316,"AAAAAE/fZe8=")</f>
        <v>#VALUE!</v>
      </c>
      <c r="IG21" t="e">
        <f>AND('Planilla_General_07-12-2012_8_3'!E316,"AAAAAE/fZfA=")</f>
        <v>#VALUE!</v>
      </c>
      <c r="IH21" t="e">
        <f>AND('Planilla_General_07-12-2012_8_3'!F316,"AAAAAE/fZfE=")</f>
        <v>#VALUE!</v>
      </c>
      <c r="II21" t="e">
        <f>AND('Planilla_General_07-12-2012_8_3'!G316,"AAAAAE/fZfI=")</f>
        <v>#VALUE!</v>
      </c>
      <c r="IJ21" t="e">
        <f>AND('Planilla_General_07-12-2012_8_3'!H316,"AAAAAE/fZfM=")</f>
        <v>#VALUE!</v>
      </c>
      <c r="IK21" t="e">
        <f>AND('Planilla_General_07-12-2012_8_3'!I316,"AAAAAE/fZfQ=")</f>
        <v>#VALUE!</v>
      </c>
      <c r="IL21" t="e">
        <f>AND('Planilla_General_07-12-2012_8_3'!J316,"AAAAAE/fZfU=")</f>
        <v>#VALUE!</v>
      </c>
      <c r="IM21" t="e">
        <f>AND('Planilla_General_07-12-2012_8_3'!K316,"AAAAAE/fZfY=")</f>
        <v>#VALUE!</v>
      </c>
      <c r="IN21" t="e">
        <f>AND('Planilla_General_07-12-2012_8_3'!L316,"AAAAAE/fZfc=")</f>
        <v>#VALUE!</v>
      </c>
      <c r="IO21" t="e">
        <f>AND('Planilla_General_07-12-2012_8_3'!M316,"AAAAAE/fZfg=")</f>
        <v>#VALUE!</v>
      </c>
      <c r="IP21" t="e">
        <f>AND('Planilla_General_07-12-2012_8_3'!N316,"AAAAAE/fZfk=")</f>
        <v>#VALUE!</v>
      </c>
      <c r="IQ21" t="e">
        <f>AND('Planilla_General_07-12-2012_8_3'!O316,"AAAAAE/fZfo=")</f>
        <v>#VALUE!</v>
      </c>
      <c r="IR21" t="e">
        <f>AND('Planilla_General_07-12-2012_8_3'!P316,"AAAAAE/fZfs=")</f>
        <v>#VALUE!</v>
      </c>
      <c r="IS21">
        <f>IF('Planilla_General_07-12-2012_8_3'!317:317,"AAAAAE/fZfw=",0)</f>
        <v>0</v>
      </c>
      <c r="IT21" t="e">
        <f>AND('Planilla_General_07-12-2012_8_3'!A317,"AAAAAE/fZf0=")</f>
        <v>#VALUE!</v>
      </c>
      <c r="IU21" t="e">
        <f>AND('Planilla_General_07-12-2012_8_3'!B317,"AAAAAE/fZf4=")</f>
        <v>#VALUE!</v>
      </c>
      <c r="IV21" t="e">
        <f>AND('Planilla_General_07-12-2012_8_3'!C317,"AAAAAE/fZf8=")</f>
        <v>#VALUE!</v>
      </c>
    </row>
    <row r="22" spans="1:256" x14ac:dyDescent="0.25">
      <c r="A22" t="e">
        <f>AND('Planilla_General_07-12-2012_8_3'!D317,"AAAAABfvtQA=")</f>
        <v>#VALUE!</v>
      </c>
      <c r="B22" t="e">
        <f>AND('Planilla_General_07-12-2012_8_3'!E317,"AAAAABfvtQE=")</f>
        <v>#VALUE!</v>
      </c>
      <c r="C22" t="e">
        <f>AND('Planilla_General_07-12-2012_8_3'!F317,"AAAAABfvtQI=")</f>
        <v>#VALUE!</v>
      </c>
      <c r="D22" t="e">
        <f>AND('Planilla_General_07-12-2012_8_3'!G317,"AAAAABfvtQM=")</f>
        <v>#VALUE!</v>
      </c>
      <c r="E22" t="e">
        <f>AND('Planilla_General_07-12-2012_8_3'!H317,"AAAAABfvtQQ=")</f>
        <v>#VALUE!</v>
      </c>
      <c r="F22" t="e">
        <f>AND('Planilla_General_07-12-2012_8_3'!I317,"AAAAABfvtQU=")</f>
        <v>#VALUE!</v>
      </c>
      <c r="G22" t="e">
        <f>AND('Planilla_General_07-12-2012_8_3'!J317,"AAAAABfvtQY=")</f>
        <v>#VALUE!</v>
      </c>
      <c r="H22" t="e">
        <f>AND('Planilla_General_07-12-2012_8_3'!K317,"AAAAABfvtQc=")</f>
        <v>#VALUE!</v>
      </c>
      <c r="I22" t="e">
        <f>AND('Planilla_General_07-12-2012_8_3'!L317,"AAAAABfvtQg=")</f>
        <v>#VALUE!</v>
      </c>
      <c r="J22" t="e">
        <f>AND('Planilla_General_07-12-2012_8_3'!M317,"AAAAABfvtQk=")</f>
        <v>#VALUE!</v>
      </c>
      <c r="K22" t="e">
        <f>AND('Planilla_General_07-12-2012_8_3'!N317,"AAAAABfvtQo=")</f>
        <v>#VALUE!</v>
      </c>
      <c r="L22" t="e">
        <f>AND('Planilla_General_07-12-2012_8_3'!O317,"AAAAABfvtQs=")</f>
        <v>#VALUE!</v>
      </c>
      <c r="M22" t="e">
        <f>AND('Planilla_General_07-12-2012_8_3'!P317,"AAAAABfvtQw=")</f>
        <v>#VALUE!</v>
      </c>
      <c r="N22" t="str">
        <f>IF('Planilla_General_07-12-2012_8_3'!318:318,"AAAAABfvtQ0=",0)</f>
        <v>AAAAABfvtQ0=</v>
      </c>
      <c r="O22" t="e">
        <f>AND('Planilla_General_07-12-2012_8_3'!A318,"AAAAABfvtQ4=")</f>
        <v>#VALUE!</v>
      </c>
      <c r="P22" t="e">
        <f>AND('Planilla_General_07-12-2012_8_3'!B318,"AAAAABfvtQ8=")</f>
        <v>#VALUE!</v>
      </c>
      <c r="Q22" t="e">
        <f>AND('Planilla_General_07-12-2012_8_3'!C318,"AAAAABfvtRA=")</f>
        <v>#VALUE!</v>
      </c>
      <c r="R22" t="e">
        <f>AND('Planilla_General_07-12-2012_8_3'!D318,"AAAAABfvtRE=")</f>
        <v>#VALUE!</v>
      </c>
      <c r="S22" t="e">
        <f>AND('Planilla_General_07-12-2012_8_3'!E318,"AAAAABfvtRI=")</f>
        <v>#VALUE!</v>
      </c>
      <c r="T22" t="e">
        <f>AND('Planilla_General_07-12-2012_8_3'!F318,"AAAAABfvtRM=")</f>
        <v>#VALUE!</v>
      </c>
      <c r="U22" t="e">
        <f>AND('Planilla_General_07-12-2012_8_3'!G318,"AAAAABfvtRQ=")</f>
        <v>#VALUE!</v>
      </c>
      <c r="V22" t="e">
        <f>AND('Planilla_General_07-12-2012_8_3'!H318,"AAAAABfvtRU=")</f>
        <v>#VALUE!</v>
      </c>
      <c r="W22" t="e">
        <f>AND('Planilla_General_07-12-2012_8_3'!I318,"AAAAABfvtRY=")</f>
        <v>#VALUE!</v>
      </c>
      <c r="X22" t="e">
        <f>AND('Planilla_General_07-12-2012_8_3'!J318,"AAAAABfvtRc=")</f>
        <v>#VALUE!</v>
      </c>
      <c r="Y22" t="e">
        <f>AND('Planilla_General_07-12-2012_8_3'!K318,"AAAAABfvtRg=")</f>
        <v>#VALUE!</v>
      </c>
      <c r="Z22" t="e">
        <f>AND('Planilla_General_07-12-2012_8_3'!L318,"AAAAABfvtRk=")</f>
        <v>#VALUE!</v>
      </c>
      <c r="AA22" t="e">
        <f>AND('Planilla_General_07-12-2012_8_3'!M318,"AAAAABfvtRo=")</f>
        <v>#VALUE!</v>
      </c>
      <c r="AB22" t="e">
        <f>AND('Planilla_General_07-12-2012_8_3'!N318,"AAAAABfvtRs=")</f>
        <v>#VALUE!</v>
      </c>
      <c r="AC22" t="e">
        <f>AND('Planilla_General_07-12-2012_8_3'!O318,"AAAAABfvtRw=")</f>
        <v>#VALUE!</v>
      </c>
      <c r="AD22" t="e">
        <f>AND('Planilla_General_07-12-2012_8_3'!P318,"AAAAABfvtR0=")</f>
        <v>#VALUE!</v>
      </c>
      <c r="AE22">
        <f>IF('Planilla_General_07-12-2012_8_3'!319:319,"AAAAABfvtR4=",0)</f>
        <v>0</v>
      </c>
      <c r="AF22" t="e">
        <f>AND('Planilla_General_07-12-2012_8_3'!A319,"AAAAABfvtR8=")</f>
        <v>#VALUE!</v>
      </c>
      <c r="AG22" t="e">
        <f>AND('Planilla_General_07-12-2012_8_3'!B319,"AAAAABfvtSA=")</f>
        <v>#VALUE!</v>
      </c>
      <c r="AH22" t="e">
        <f>AND('Planilla_General_07-12-2012_8_3'!C319,"AAAAABfvtSE=")</f>
        <v>#VALUE!</v>
      </c>
      <c r="AI22" t="e">
        <f>AND('Planilla_General_07-12-2012_8_3'!D319,"AAAAABfvtSI=")</f>
        <v>#VALUE!</v>
      </c>
      <c r="AJ22" t="e">
        <f>AND('Planilla_General_07-12-2012_8_3'!E319,"AAAAABfvtSM=")</f>
        <v>#VALUE!</v>
      </c>
      <c r="AK22" t="e">
        <f>AND('Planilla_General_07-12-2012_8_3'!F319,"AAAAABfvtSQ=")</f>
        <v>#VALUE!</v>
      </c>
      <c r="AL22" t="e">
        <f>AND('Planilla_General_07-12-2012_8_3'!G319,"AAAAABfvtSU=")</f>
        <v>#VALUE!</v>
      </c>
      <c r="AM22" t="e">
        <f>AND('Planilla_General_07-12-2012_8_3'!H319,"AAAAABfvtSY=")</f>
        <v>#VALUE!</v>
      </c>
      <c r="AN22" t="e">
        <f>AND('Planilla_General_07-12-2012_8_3'!I319,"AAAAABfvtSc=")</f>
        <v>#VALUE!</v>
      </c>
      <c r="AO22" t="e">
        <f>AND('Planilla_General_07-12-2012_8_3'!J319,"AAAAABfvtSg=")</f>
        <v>#VALUE!</v>
      </c>
      <c r="AP22" t="e">
        <f>AND('Planilla_General_07-12-2012_8_3'!K319,"AAAAABfvtSk=")</f>
        <v>#VALUE!</v>
      </c>
      <c r="AQ22" t="e">
        <f>AND('Planilla_General_07-12-2012_8_3'!L319,"AAAAABfvtSo=")</f>
        <v>#VALUE!</v>
      </c>
      <c r="AR22" t="e">
        <f>AND('Planilla_General_07-12-2012_8_3'!M319,"AAAAABfvtSs=")</f>
        <v>#VALUE!</v>
      </c>
      <c r="AS22" t="e">
        <f>AND('Planilla_General_07-12-2012_8_3'!N319,"AAAAABfvtSw=")</f>
        <v>#VALUE!</v>
      </c>
      <c r="AT22" t="e">
        <f>AND('Planilla_General_07-12-2012_8_3'!O319,"AAAAABfvtS0=")</f>
        <v>#VALUE!</v>
      </c>
      <c r="AU22" t="e">
        <f>AND('Planilla_General_07-12-2012_8_3'!P319,"AAAAABfvtS4=")</f>
        <v>#VALUE!</v>
      </c>
      <c r="AV22">
        <f>IF('Planilla_General_07-12-2012_8_3'!320:320,"AAAAABfvtS8=",0)</f>
        <v>0</v>
      </c>
      <c r="AW22" t="e">
        <f>AND('Planilla_General_07-12-2012_8_3'!A320,"AAAAABfvtTA=")</f>
        <v>#VALUE!</v>
      </c>
      <c r="AX22" t="e">
        <f>AND('Planilla_General_07-12-2012_8_3'!B320,"AAAAABfvtTE=")</f>
        <v>#VALUE!</v>
      </c>
      <c r="AY22" t="e">
        <f>AND('Planilla_General_07-12-2012_8_3'!C320,"AAAAABfvtTI=")</f>
        <v>#VALUE!</v>
      </c>
      <c r="AZ22" t="e">
        <f>AND('Planilla_General_07-12-2012_8_3'!D320,"AAAAABfvtTM=")</f>
        <v>#VALUE!</v>
      </c>
      <c r="BA22" t="e">
        <f>AND('Planilla_General_07-12-2012_8_3'!E320,"AAAAABfvtTQ=")</f>
        <v>#VALUE!</v>
      </c>
      <c r="BB22" t="e">
        <f>AND('Planilla_General_07-12-2012_8_3'!F320,"AAAAABfvtTU=")</f>
        <v>#VALUE!</v>
      </c>
      <c r="BC22" t="e">
        <f>AND('Planilla_General_07-12-2012_8_3'!G320,"AAAAABfvtTY=")</f>
        <v>#VALUE!</v>
      </c>
      <c r="BD22" t="e">
        <f>AND('Planilla_General_07-12-2012_8_3'!H320,"AAAAABfvtTc=")</f>
        <v>#VALUE!</v>
      </c>
      <c r="BE22" t="e">
        <f>AND('Planilla_General_07-12-2012_8_3'!I320,"AAAAABfvtTg=")</f>
        <v>#VALUE!</v>
      </c>
      <c r="BF22" t="e">
        <f>AND('Planilla_General_07-12-2012_8_3'!J320,"AAAAABfvtTk=")</f>
        <v>#VALUE!</v>
      </c>
      <c r="BG22" t="e">
        <f>AND('Planilla_General_07-12-2012_8_3'!K320,"AAAAABfvtTo=")</f>
        <v>#VALUE!</v>
      </c>
      <c r="BH22" t="e">
        <f>AND('Planilla_General_07-12-2012_8_3'!L320,"AAAAABfvtTs=")</f>
        <v>#VALUE!</v>
      </c>
      <c r="BI22" t="e">
        <f>AND('Planilla_General_07-12-2012_8_3'!M320,"AAAAABfvtTw=")</f>
        <v>#VALUE!</v>
      </c>
      <c r="BJ22" t="e">
        <f>AND('Planilla_General_07-12-2012_8_3'!N320,"AAAAABfvtT0=")</f>
        <v>#VALUE!</v>
      </c>
      <c r="BK22" t="e">
        <f>AND('Planilla_General_07-12-2012_8_3'!O320,"AAAAABfvtT4=")</f>
        <v>#VALUE!</v>
      </c>
      <c r="BL22" t="e">
        <f>AND('Planilla_General_07-12-2012_8_3'!P320,"AAAAABfvtT8=")</f>
        <v>#VALUE!</v>
      </c>
      <c r="BM22">
        <f>IF('Planilla_General_07-12-2012_8_3'!321:321,"AAAAABfvtUA=",0)</f>
        <v>0</v>
      </c>
      <c r="BN22" t="e">
        <f>AND('Planilla_General_07-12-2012_8_3'!A321,"AAAAABfvtUE=")</f>
        <v>#VALUE!</v>
      </c>
      <c r="BO22" t="e">
        <f>AND('Planilla_General_07-12-2012_8_3'!B321,"AAAAABfvtUI=")</f>
        <v>#VALUE!</v>
      </c>
      <c r="BP22" t="e">
        <f>AND('Planilla_General_07-12-2012_8_3'!C321,"AAAAABfvtUM=")</f>
        <v>#VALUE!</v>
      </c>
      <c r="BQ22" t="e">
        <f>AND('Planilla_General_07-12-2012_8_3'!D321,"AAAAABfvtUQ=")</f>
        <v>#VALUE!</v>
      </c>
      <c r="BR22" t="e">
        <f>AND('Planilla_General_07-12-2012_8_3'!E321,"AAAAABfvtUU=")</f>
        <v>#VALUE!</v>
      </c>
      <c r="BS22" t="e">
        <f>AND('Planilla_General_07-12-2012_8_3'!F321,"AAAAABfvtUY=")</f>
        <v>#VALUE!</v>
      </c>
      <c r="BT22" t="e">
        <f>AND('Planilla_General_07-12-2012_8_3'!G321,"AAAAABfvtUc=")</f>
        <v>#VALUE!</v>
      </c>
      <c r="BU22" t="e">
        <f>AND('Planilla_General_07-12-2012_8_3'!H321,"AAAAABfvtUg=")</f>
        <v>#VALUE!</v>
      </c>
      <c r="BV22" t="e">
        <f>AND('Planilla_General_07-12-2012_8_3'!I321,"AAAAABfvtUk=")</f>
        <v>#VALUE!</v>
      </c>
      <c r="BW22" t="e">
        <f>AND('Planilla_General_07-12-2012_8_3'!J321,"AAAAABfvtUo=")</f>
        <v>#VALUE!</v>
      </c>
      <c r="BX22" t="e">
        <f>AND('Planilla_General_07-12-2012_8_3'!K321,"AAAAABfvtUs=")</f>
        <v>#VALUE!</v>
      </c>
      <c r="BY22" t="e">
        <f>AND('Planilla_General_07-12-2012_8_3'!L321,"AAAAABfvtUw=")</f>
        <v>#VALUE!</v>
      </c>
      <c r="BZ22" t="e">
        <f>AND('Planilla_General_07-12-2012_8_3'!M321,"AAAAABfvtU0=")</f>
        <v>#VALUE!</v>
      </c>
      <c r="CA22" t="e">
        <f>AND('Planilla_General_07-12-2012_8_3'!N321,"AAAAABfvtU4=")</f>
        <v>#VALUE!</v>
      </c>
      <c r="CB22" t="e">
        <f>AND('Planilla_General_07-12-2012_8_3'!O321,"AAAAABfvtU8=")</f>
        <v>#VALUE!</v>
      </c>
      <c r="CC22" t="e">
        <f>AND('Planilla_General_07-12-2012_8_3'!P321,"AAAAABfvtVA=")</f>
        <v>#VALUE!</v>
      </c>
      <c r="CD22">
        <f>IF('Planilla_General_07-12-2012_8_3'!322:322,"AAAAABfvtVE=",0)</f>
        <v>0</v>
      </c>
      <c r="CE22" t="e">
        <f>AND('Planilla_General_07-12-2012_8_3'!A322,"AAAAABfvtVI=")</f>
        <v>#VALUE!</v>
      </c>
      <c r="CF22" t="e">
        <f>AND('Planilla_General_07-12-2012_8_3'!B322,"AAAAABfvtVM=")</f>
        <v>#VALUE!</v>
      </c>
      <c r="CG22" t="e">
        <f>AND('Planilla_General_07-12-2012_8_3'!C322,"AAAAABfvtVQ=")</f>
        <v>#VALUE!</v>
      </c>
      <c r="CH22" t="e">
        <f>AND('Planilla_General_07-12-2012_8_3'!D322,"AAAAABfvtVU=")</f>
        <v>#VALUE!</v>
      </c>
      <c r="CI22" t="e">
        <f>AND('Planilla_General_07-12-2012_8_3'!E322,"AAAAABfvtVY=")</f>
        <v>#VALUE!</v>
      </c>
      <c r="CJ22" t="e">
        <f>AND('Planilla_General_07-12-2012_8_3'!F322,"AAAAABfvtVc=")</f>
        <v>#VALUE!</v>
      </c>
      <c r="CK22" t="e">
        <f>AND('Planilla_General_07-12-2012_8_3'!G322,"AAAAABfvtVg=")</f>
        <v>#VALUE!</v>
      </c>
      <c r="CL22" t="e">
        <f>AND('Planilla_General_07-12-2012_8_3'!H322,"AAAAABfvtVk=")</f>
        <v>#VALUE!</v>
      </c>
      <c r="CM22" t="e">
        <f>AND('Planilla_General_07-12-2012_8_3'!I322,"AAAAABfvtVo=")</f>
        <v>#VALUE!</v>
      </c>
      <c r="CN22" t="e">
        <f>AND('Planilla_General_07-12-2012_8_3'!J322,"AAAAABfvtVs=")</f>
        <v>#VALUE!</v>
      </c>
      <c r="CO22" t="e">
        <f>AND('Planilla_General_07-12-2012_8_3'!K322,"AAAAABfvtVw=")</f>
        <v>#VALUE!</v>
      </c>
      <c r="CP22" t="e">
        <f>AND('Planilla_General_07-12-2012_8_3'!L322,"AAAAABfvtV0=")</f>
        <v>#VALUE!</v>
      </c>
      <c r="CQ22" t="e">
        <f>AND('Planilla_General_07-12-2012_8_3'!M322,"AAAAABfvtV4=")</f>
        <v>#VALUE!</v>
      </c>
      <c r="CR22" t="e">
        <f>AND('Planilla_General_07-12-2012_8_3'!N322,"AAAAABfvtV8=")</f>
        <v>#VALUE!</v>
      </c>
      <c r="CS22" t="e">
        <f>AND('Planilla_General_07-12-2012_8_3'!O322,"AAAAABfvtWA=")</f>
        <v>#VALUE!</v>
      </c>
      <c r="CT22" t="e">
        <f>AND('Planilla_General_07-12-2012_8_3'!P322,"AAAAABfvtWE=")</f>
        <v>#VALUE!</v>
      </c>
      <c r="CU22">
        <f>IF('Planilla_General_07-12-2012_8_3'!323:323,"AAAAABfvtWI=",0)</f>
        <v>0</v>
      </c>
      <c r="CV22" t="e">
        <f>AND('Planilla_General_07-12-2012_8_3'!A323,"AAAAABfvtWM=")</f>
        <v>#VALUE!</v>
      </c>
      <c r="CW22" t="e">
        <f>AND('Planilla_General_07-12-2012_8_3'!B323,"AAAAABfvtWQ=")</f>
        <v>#VALUE!</v>
      </c>
      <c r="CX22" t="e">
        <f>AND('Planilla_General_07-12-2012_8_3'!C323,"AAAAABfvtWU=")</f>
        <v>#VALUE!</v>
      </c>
      <c r="CY22" t="e">
        <f>AND('Planilla_General_07-12-2012_8_3'!D323,"AAAAABfvtWY=")</f>
        <v>#VALUE!</v>
      </c>
      <c r="CZ22" t="e">
        <f>AND('Planilla_General_07-12-2012_8_3'!E323,"AAAAABfvtWc=")</f>
        <v>#VALUE!</v>
      </c>
      <c r="DA22" t="e">
        <f>AND('Planilla_General_07-12-2012_8_3'!F323,"AAAAABfvtWg=")</f>
        <v>#VALUE!</v>
      </c>
      <c r="DB22" t="e">
        <f>AND('Planilla_General_07-12-2012_8_3'!G323,"AAAAABfvtWk=")</f>
        <v>#VALUE!</v>
      </c>
      <c r="DC22" t="e">
        <f>AND('Planilla_General_07-12-2012_8_3'!H323,"AAAAABfvtWo=")</f>
        <v>#VALUE!</v>
      </c>
      <c r="DD22" t="e">
        <f>AND('Planilla_General_07-12-2012_8_3'!I323,"AAAAABfvtWs=")</f>
        <v>#VALUE!</v>
      </c>
      <c r="DE22" t="e">
        <f>AND('Planilla_General_07-12-2012_8_3'!J323,"AAAAABfvtWw=")</f>
        <v>#VALUE!</v>
      </c>
      <c r="DF22" t="e">
        <f>AND('Planilla_General_07-12-2012_8_3'!K323,"AAAAABfvtW0=")</f>
        <v>#VALUE!</v>
      </c>
      <c r="DG22" t="e">
        <f>AND('Planilla_General_07-12-2012_8_3'!L323,"AAAAABfvtW4=")</f>
        <v>#VALUE!</v>
      </c>
      <c r="DH22" t="e">
        <f>AND('Planilla_General_07-12-2012_8_3'!M323,"AAAAABfvtW8=")</f>
        <v>#VALUE!</v>
      </c>
      <c r="DI22" t="e">
        <f>AND('Planilla_General_07-12-2012_8_3'!N323,"AAAAABfvtXA=")</f>
        <v>#VALUE!</v>
      </c>
      <c r="DJ22" t="e">
        <f>AND('Planilla_General_07-12-2012_8_3'!O323,"AAAAABfvtXE=")</f>
        <v>#VALUE!</v>
      </c>
      <c r="DK22" t="e">
        <f>AND('Planilla_General_07-12-2012_8_3'!P323,"AAAAABfvtXI=")</f>
        <v>#VALUE!</v>
      </c>
      <c r="DL22">
        <f>IF('Planilla_General_07-12-2012_8_3'!324:324,"AAAAABfvtXM=",0)</f>
        <v>0</v>
      </c>
      <c r="DM22" t="e">
        <f>AND('Planilla_General_07-12-2012_8_3'!A324,"AAAAABfvtXQ=")</f>
        <v>#VALUE!</v>
      </c>
      <c r="DN22" t="e">
        <f>AND('Planilla_General_07-12-2012_8_3'!B324,"AAAAABfvtXU=")</f>
        <v>#VALUE!</v>
      </c>
      <c r="DO22" t="e">
        <f>AND('Planilla_General_07-12-2012_8_3'!C324,"AAAAABfvtXY=")</f>
        <v>#VALUE!</v>
      </c>
      <c r="DP22" t="e">
        <f>AND('Planilla_General_07-12-2012_8_3'!D324,"AAAAABfvtXc=")</f>
        <v>#VALUE!</v>
      </c>
      <c r="DQ22" t="e">
        <f>AND('Planilla_General_07-12-2012_8_3'!E324,"AAAAABfvtXg=")</f>
        <v>#VALUE!</v>
      </c>
      <c r="DR22" t="e">
        <f>AND('Planilla_General_07-12-2012_8_3'!F324,"AAAAABfvtXk=")</f>
        <v>#VALUE!</v>
      </c>
      <c r="DS22" t="e">
        <f>AND('Planilla_General_07-12-2012_8_3'!G324,"AAAAABfvtXo=")</f>
        <v>#VALUE!</v>
      </c>
      <c r="DT22" t="e">
        <f>AND('Planilla_General_07-12-2012_8_3'!H324,"AAAAABfvtXs=")</f>
        <v>#VALUE!</v>
      </c>
      <c r="DU22" t="e">
        <f>AND('Planilla_General_07-12-2012_8_3'!I324,"AAAAABfvtXw=")</f>
        <v>#VALUE!</v>
      </c>
      <c r="DV22" t="e">
        <f>AND('Planilla_General_07-12-2012_8_3'!J324,"AAAAABfvtX0=")</f>
        <v>#VALUE!</v>
      </c>
      <c r="DW22" t="e">
        <f>AND('Planilla_General_07-12-2012_8_3'!K324,"AAAAABfvtX4=")</f>
        <v>#VALUE!</v>
      </c>
      <c r="DX22" t="e">
        <f>AND('Planilla_General_07-12-2012_8_3'!L324,"AAAAABfvtX8=")</f>
        <v>#VALUE!</v>
      </c>
      <c r="DY22" t="e">
        <f>AND('Planilla_General_07-12-2012_8_3'!M324,"AAAAABfvtYA=")</f>
        <v>#VALUE!</v>
      </c>
      <c r="DZ22" t="e">
        <f>AND('Planilla_General_07-12-2012_8_3'!N324,"AAAAABfvtYE=")</f>
        <v>#VALUE!</v>
      </c>
      <c r="EA22" t="e">
        <f>AND('Planilla_General_07-12-2012_8_3'!O324,"AAAAABfvtYI=")</f>
        <v>#VALUE!</v>
      </c>
      <c r="EB22" t="e">
        <f>AND('Planilla_General_07-12-2012_8_3'!P324,"AAAAABfvtYM=")</f>
        <v>#VALUE!</v>
      </c>
      <c r="EC22">
        <f>IF('Planilla_General_07-12-2012_8_3'!325:325,"AAAAABfvtYQ=",0)</f>
        <v>0</v>
      </c>
      <c r="ED22" t="e">
        <f>AND('Planilla_General_07-12-2012_8_3'!A325,"AAAAABfvtYU=")</f>
        <v>#VALUE!</v>
      </c>
      <c r="EE22" t="e">
        <f>AND('Planilla_General_07-12-2012_8_3'!B325,"AAAAABfvtYY=")</f>
        <v>#VALUE!</v>
      </c>
      <c r="EF22" t="e">
        <f>AND('Planilla_General_07-12-2012_8_3'!C325,"AAAAABfvtYc=")</f>
        <v>#VALUE!</v>
      </c>
      <c r="EG22" t="e">
        <f>AND('Planilla_General_07-12-2012_8_3'!D325,"AAAAABfvtYg=")</f>
        <v>#VALUE!</v>
      </c>
      <c r="EH22" t="e">
        <f>AND('Planilla_General_07-12-2012_8_3'!E325,"AAAAABfvtYk=")</f>
        <v>#VALUE!</v>
      </c>
      <c r="EI22" t="e">
        <f>AND('Planilla_General_07-12-2012_8_3'!F325,"AAAAABfvtYo=")</f>
        <v>#VALUE!</v>
      </c>
      <c r="EJ22" t="e">
        <f>AND('Planilla_General_07-12-2012_8_3'!G325,"AAAAABfvtYs=")</f>
        <v>#VALUE!</v>
      </c>
      <c r="EK22" t="e">
        <f>AND('Planilla_General_07-12-2012_8_3'!H325,"AAAAABfvtYw=")</f>
        <v>#VALUE!</v>
      </c>
      <c r="EL22" t="e">
        <f>AND('Planilla_General_07-12-2012_8_3'!I325,"AAAAABfvtY0=")</f>
        <v>#VALUE!</v>
      </c>
      <c r="EM22" t="e">
        <f>AND('Planilla_General_07-12-2012_8_3'!J325,"AAAAABfvtY4=")</f>
        <v>#VALUE!</v>
      </c>
      <c r="EN22" t="e">
        <f>AND('Planilla_General_07-12-2012_8_3'!K325,"AAAAABfvtY8=")</f>
        <v>#VALUE!</v>
      </c>
      <c r="EO22" t="e">
        <f>AND('Planilla_General_07-12-2012_8_3'!L325,"AAAAABfvtZA=")</f>
        <v>#VALUE!</v>
      </c>
      <c r="EP22" t="e">
        <f>AND('Planilla_General_07-12-2012_8_3'!M325,"AAAAABfvtZE=")</f>
        <v>#VALUE!</v>
      </c>
      <c r="EQ22" t="e">
        <f>AND('Planilla_General_07-12-2012_8_3'!N325,"AAAAABfvtZI=")</f>
        <v>#VALUE!</v>
      </c>
      <c r="ER22" t="e">
        <f>AND('Planilla_General_07-12-2012_8_3'!O325,"AAAAABfvtZM=")</f>
        <v>#VALUE!</v>
      </c>
      <c r="ES22" t="e">
        <f>AND('Planilla_General_07-12-2012_8_3'!P325,"AAAAABfvtZQ=")</f>
        <v>#VALUE!</v>
      </c>
      <c r="ET22">
        <f>IF('Planilla_General_07-12-2012_8_3'!326:326,"AAAAABfvtZU=",0)</f>
        <v>0</v>
      </c>
      <c r="EU22" t="e">
        <f>AND('Planilla_General_07-12-2012_8_3'!A326,"AAAAABfvtZY=")</f>
        <v>#VALUE!</v>
      </c>
      <c r="EV22" t="e">
        <f>AND('Planilla_General_07-12-2012_8_3'!B326,"AAAAABfvtZc=")</f>
        <v>#VALUE!</v>
      </c>
      <c r="EW22" t="e">
        <f>AND('Planilla_General_07-12-2012_8_3'!C326,"AAAAABfvtZg=")</f>
        <v>#VALUE!</v>
      </c>
      <c r="EX22" t="e">
        <f>AND('Planilla_General_07-12-2012_8_3'!D326,"AAAAABfvtZk=")</f>
        <v>#VALUE!</v>
      </c>
      <c r="EY22" t="e">
        <f>AND('Planilla_General_07-12-2012_8_3'!E326,"AAAAABfvtZo=")</f>
        <v>#VALUE!</v>
      </c>
      <c r="EZ22" t="e">
        <f>AND('Planilla_General_07-12-2012_8_3'!F326,"AAAAABfvtZs=")</f>
        <v>#VALUE!</v>
      </c>
      <c r="FA22" t="e">
        <f>AND('Planilla_General_07-12-2012_8_3'!G326,"AAAAABfvtZw=")</f>
        <v>#VALUE!</v>
      </c>
      <c r="FB22" t="e">
        <f>AND('Planilla_General_07-12-2012_8_3'!H326,"AAAAABfvtZ0=")</f>
        <v>#VALUE!</v>
      </c>
      <c r="FC22" t="e">
        <f>AND('Planilla_General_07-12-2012_8_3'!I326,"AAAAABfvtZ4=")</f>
        <v>#VALUE!</v>
      </c>
      <c r="FD22" t="e">
        <f>AND('Planilla_General_07-12-2012_8_3'!J326,"AAAAABfvtZ8=")</f>
        <v>#VALUE!</v>
      </c>
      <c r="FE22" t="e">
        <f>AND('Planilla_General_07-12-2012_8_3'!K326,"AAAAABfvtaA=")</f>
        <v>#VALUE!</v>
      </c>
      <c r="FF22" t="e">
        <f>AND('Planilla_General_07-12-2012_8_3'!L326,"AAAAABfvtaE=")</f>
        <v>#VALUE!</v>
      </c>
      <c r="FG22" t="e">
        <f>AND('Planilla_General_07-12-2012_8_3'!M326,"AAAAABfvtaI=")</f>
        <v>#VALUE!</v>
      </c>
      <c r="FH22" t="e">
        <f>AND('Planilla_General_07-12-2012_8_3'!N326,"AAAAABfvtaM=")</f>
        <v>#VALUE!</v>
      </c>
      <c r="FI22" t="e">
        <f>AND('Planilla_General_07-12-2012_8_3'!O326,"AAAAABfvtaQ=")</f>
        <v>#VALUE!</v>
      </c>
      <c r="FJ22" t="e">
        <f>AND('Planilla_General_07-12-2012_8_3'!P326,"AAAAABfvtaU=")</f>
        <v>#VALUE!</v>
      </c>
      <c r="FK22">
        <f>IF('Planilla_General_07-12-2012_8_3'!327:327,"AAAAABfvtaY=",0)</f>
        <v>0</v>
      </c>
      <c r="FL22" t="e">
        <f>AND('Planilla_General_07-12-2012_8_3'!A327,"AAAAABfvtac=")</f>
        <v>#VALUE!</v>
      </c>
      <c r="FM22" t="e">
        <f>AND('Planilla_General_07-12-2012_8_3'!B327,"AAAAABfvtag=")</f>
        <v>#VALUE!</v>
      </c>
      <c r="FN22" t="e">
        <f>AND('Planilla_General_07-12-2012_8_3'!C327,"AAAAABfvtak=")</f>
        <v>#VALUE!</v>
      </c>
      <c r="FO22" t="e">
        <f>AND('Planilla_General_07-12-2012_8_3'!D327,"AAAAABfvtao=")</f>
        <v>#VALUE!</v>
      </c>
      <c r="FP22" t="e">
        <f>AND('Planilla_General_07-12-2012_8_3'!E327,"AAAAABfvtas=")</f>
        <v>#VALUE!</v>
      </c>
      <c r="FQ22" t="e">
        <f>AND('Planilla_General_07-12-2012_8_3'!F327,"AAAAABfvtaw=")</f>
        <v>#VALUE!</v>
      </c>
      <c r="FR22" t="e">
        <f>AND('Planilla_General_07-12-2012_8_3'!G327,"AAAAABfvta0=")</f>
        <v>#VALUE!</v>
      </c>
      <c r="FS22" t="e">
        <f>AND('Planilla_General_07-12-2012_8_3'!H327,"AAAAABfvta4=")</f>
        <v>#VALUE!</v>
      </c>
      <c r="FT22" t="e">
        <f>AND('Planilla_General_07-12-2012_8_3'!I327,"AAAAABfvta8=")</f>
        <v>#VALUE!</v>
      </c>
      <c r="FU22" t="e">
        <f>AND('Planilla_General_07-12-2012_8_3'!J327,"AAAAABfvtbA=")</f>
        <v>#VALUE!</v>
      </c>
      <c r="FV22" t="e">
        <f>AND('Planilla_General_07-12-2012_8_3'!K327,"AAAAABfvtbE=")</f>
        <v>#VALUE!</v>
      </c>
      <c r="FW22" t="e">
        <f>AND('Planilla_General_07-12-2012_8_3'!L327,"AAAAABfvtbI=")</f>
        <v>#VALUE!</v>
      </c>
      <c r="FX22" t="e">
        <f>AND('Planilla_General_07-12-2012_8_3'!M327,"AAAAABfvtbM=")</f>
        <v>#VALUE!</v>
      </c>
      <c r="FY22" t="e">
        <f>AND('Planilla_General_07-12-2012_8_3'!N327,"AAAAABfvtbQ=")</f>
        <v>#VALUE!</v>
      </c>
      <c r="FZ22" t="e">
        <f>AND('Planilla_General_07-12-2012_8_3'!O327,"AAAAABfvtbU=")</f>
        <v>#VALUE!</v>
      </c>
      <c r="GA22" t="e">
        <f>AND('Planilla_General_07-12-2012_8_3'!P327,"AAAAABfvtbY=")</f>
        <v>#VALUE!</v>
      </c>
      <c r="GB22">
        <f>IF('Planilla_General_07-12-2012_8_3'!328:328,"AAAAABfvtbc=",0)</f>
        <v>0</v>
      </c>
      <c r="GC22" t="e">
        <f>AND('Planilla_General_07-12-2012_8_3'!A328,"AAAAABfvtbg=")</f>
        <v>#VALUE!</v>
      </c>
      <c r="GD22" t="e">
        <f>AND('Planilla_General_07-12-2012_8_3'!B328,"AAAAABfvtbk=")</f>
        <v>#VALUE!</v>
      </c>
      <c r="GE22" t="e">
        <f>AND('Planilla_General_07-12-2012_8_3'!C328,"AAAAABfvtbo=")</f>
        <v>#VALUE!</v>
      </c>
      <c r="GF22" t="e">
        <f>AND('Planilla_General_07-12-2012_8_3'!D328,"AAAAABfvtbs=")</f>
        <v>#VALUE!</v>
      </c>
      <c r="GG22" t="e">
        <f>AND('Planilla_General_07-12-2012_8_3'!E328,"AAAAABfvtbw=")</f>
        <v>#VALUE!</v>
      </c>
      <c r="GH22" t="e">
        <f>AND('Planilla_General_07-12-2012_8_3'!F328,"AAAAABfvtb0=")</f>
        <v>#VALUE!</v>
      </c>
      <c r="GI22" t="e">
        <f>AND('Planilla_General_07-12-2012_8_3'!G328,"AAAAABfvtb4=")</f>
        <v>#VALUE!</v>
      </c>
      <c r="GJ22" t="e">
        <f>AND('Planilla_General_07-12-2012_8_3'!H328,"AAAAABfvtb8=")</f>
        <v>#VALUE!</v>
      </c>
      <c r="GK22" t="e">
        <f>AND('Planilla_General_07-12-2012_8_3'!I328,"AAAAABfvtcA=")</f>
        <v>#VALUE!</v>
      </c>
      <c r="GL22" t="e">
        <f>AND('Planilla_General_07-12-2012_8_3'!J328,"AAAAABfvtcE=")</f>
        <v>#VALUE!</v>
      </c>
      <c r="GM22" t="e">
        <f>AND('Planilla_General_07-12-2012_8_3'!K328,"AAAAABfvtcI=")</f>
        <v>#VALUE!</v>
      </c>
      <c r="GN22" t="e">
        <f>AND('Planilla_General_07-12-2012_8_3'!L328,"AAAAABfvtcM=")</f>
        <v>#VALUE!</v>
      </c>
      <c r="GO22" t="e">
        <f>AND('Planilla_General_07-12-2012_8_3'!M328,"AAAAABfvtcQ=")</f>
        <v>#VALUE!</v>
      </c>
      <c r="GP22" t="e">
        <f>AND('Planilla_General_07-12-2012_8_3'!N328,"AAAAABfvtcU=")</f>
        <v>#VALUE!</v>
      </c>
      <c r="GQ22" t="e">
        <f>AND('Planilla_General_07-12-2012_8_3'!O328,"AAAAABfvtcY=")</f>
        <v>#VALUE!</v>
      </c>
      <c r="GR22" t="e">
        <f>AND('Planilla_General_07-12-2012_8_3'!P328,"AAAAABfvtcc=")</f>
        <v>#VALUE!</v>
      </c>
      <c r="GS22">
        <f>IF('Planilla_General_07-12-2012_8_3'!329:329,"AAAAABfvtcg=",0)</f>
        <v>0</v>
      </c>
      <c r="GT22" t="e">
        <f>AND('Planilla_General_07-12-2012_8_3'!A329,"AAAAABfvtck=")</f>
        <v>#VALUE!</v>
      </c>
      <c r="GU22" t="e">
        <f>AND('Planilla_General_07-12-2012_8_3'!B329,"AAAAABfvtco=")</f>
        <v>#VALUE!</v>
      </c>
      <c r="GV22" t="e">
        <f>AND('Planilla_General_07-12-2012_8_3'!C329,"AAAAABfvtcs=")</f>
        <v>#VALUE!</v>
      </c>
      <c r="GW22" t="e">
        <f>AND('Planilla_General_07-12-2012_8_3'!D329,"AAAAABfvtcw=")</f>
        <v>#VALUE!</v>
      </c>
      <c r="GX22" t="e">
        <f>AND('Planilla_General_07-12-2012_8_3'!E329,"AAAAABfvtc0=")</f>
        <v>#VALUE!</v>
      </c>
      <c r="GY22" t="e">
        <f>AND('Planilla_General_07-12-2012_8_3'!F329,"AAAAABfvtc4=")</f>
        <v>#VALUE!</v>
      </c>
      <c r="GZ22" t="e">
        <f>AND('Planilla_General_07-12-2012_8_3'!G329,"AAAAABfvtc8=")</f>
        <v>#VALUE!</v>
      </c>
      <c r="HA22" t="e">
        <f>AND('Planilla_General_07-12-2012_8_3'!H329,"AAAAABfvtdA=")</f>
        <v>#VALUE!</v>
      </c>
      <c r="HB22" t="e">
        <f>AND('Planilla_General_07-12-2012_8_3'!I329,"AAAAABfvtdE=")</f>
        <v>#VALUE!</v>
      </c>
      <c r="HC22" t="e">
        <f>AND('Planilla_General_07-12-2012_8_3'!J329,"AAAAABfvtdI=")</f>
        <v>#VALUE!</v>
      </c>
      <c r="HD22" t="e">
        <f>AND('Planilla_General_07-12-2012_8_3'!K329,"AAAAABfvtdM=")</f>
        <v>#VALUE!</v>
      </c>
      <c r="HE22" t="e">
        <f>AND('Planilla_General_07-12-2012_8_3'!L329,"AAAAABfvtdQ=")</f>
        <v>#VALUE!</v>
      </c>
      <c r="HF22" t="e">
        <f>AND('Planilla_General_07-12-2012_8_3'!M329,"AAAAABfvtdU=")</f>
        <v>#VALUE!</v>
      </c>
      <c r="HG22" t="e">
        <f>AND('Planilla_General_07-12-2012_8_3'!N329,"AAAAABfvtdY=")</f>
        <v>#VALUE!</v>
      </c>
      <c r="HH22" t="e">
        <f>AND('Planilla_General_07-12-2012_8_3'!O329,"AAAAABfvtdc=")</f>
        <v>#VALUE!</v>
      </c>
      <c r="HI22" t="e">
        <f>AND('Planilla_General_07-12-2012_8_3'!P329,"AAAAABfvtdg=")</f>
        <v>#VALUE!</v>
      </c>
      <c r="HJ22">
        <f>IF('Planilla_General_07-12-2012_8_3'!330:330,"AAAAABfvtdk=",0)</f>
        <v>0</v>
      </c>
      <c r="HK22" t="e">
        <f>AND('Planilla_General_07-12-2012_8_3'!A330,"AAAAABfvtdo=")</f>
        <v>#VALUE!</v>
      </c>
      <c r="HL22" t="e">
        <f>AND('Planilla_General_07-12-2012_8_3'!B330,"AAAAABfvtds=")</f>
        <v>#VALUE!</v>
      </c>
      <c r="HM22" t="e">
        <f>AND('Planilla_General_07-12-2012_8_3'!C330,"AAAAABfvtdw=")</f>
        <v>#VALUE!</v>
      </c>
      <c r="HN22" t="e">
        <f>AND('Planilla_General_07-12-2012_8_3'!D330,"AAAAABfvtd0=")</f>
        <v>#VALUE!</v>
      </c>
      <c r="HO22" t="e">
        <f>AND('Planilla_General_07-12-2012_8_3'!E330,"AAAAABfvtd4=")</f>
        <v>#VALUE!</v>
      </c>
      <c r="HP22" t="e">
        <f>AND('Planilla_General_07-12-2012_8_3'!F330,"AAAAABfvtd8=")</f>
        <v>#VALUE!</v>
      </c>
      <c r="HQ22" t="e">
        <f>AND('Planilla_General_07-12-2012_8_3'!G330,"AAAAABfvteA=")</f>
        <v>#VALUE!</v>
      </c>
      <c r="HR22" t="e">
        <f>AND('Planilla_General_07-12-2012_8_3'!H330,"AAAAABfvteE=")</f>
        <v>#VALUE!</v>
      </c>
      <c r="HS22" t="e">
        <f>AND('Planilla_General_07-12-2012_8_3'!I330,"AAAAABfvteI=")</f>
        <v>#VALUE!</v>
      </c>
      <c r="HT22" t="e">
        <f>AND('Planilla_General_07-12-2012_8_3'!J330,"AAAAABfvteM=")</f>
        <v>#VALUE!</v>
      </c>
      <c r="HU22" t="e">
        <f>AND('Planilla_General_07-12-2012_8_3'!K330,"AAAAABfvteQ=")</f>
        <v>#VALUE!</v>
      </c>
      <c r="HV22" t="e">
        <f>AND('Planilla_General_07-12-2012_8_3'!L330,"AAAAABfvteU=")</f>
        <v>#VALUE!</v>
      </c>
      <c r="HW22" t="e">
        <f>AND('Planilla_General_07-12-2012_8_3'!M330,"AAAAABfvteY=")</f>
        <v>#VALUE!</v>
      </c>
      <c r="HX22" t="e">
        <f>AND('Planilla_General_07-12-2012_8_3'!N330,"AAAAABfvtec=")</f>
        <v>#VALUE!</v>
      </c>
      <c r="HY22" t="e">
        <f>AND('Planilla_General_07-12-2012_8_3'!O330,"AAAAABfvteg=")</f>
        <v>#VALUE!</v>
      </c>
      <c r="HZ22" t="e">
        <f>AND('Planilla_General_07-12-2012_8_3'!P330,"AAAAABfvtek=")</f>
        <v>#VALUE!</v>
      </c>
      <c r="IA22">
        <f>IF('Planilla_General_07-12-2012_8_3'!331:331,"AAAAABfvteo=",0)</f>
        <v>0</v>
      </c>
      <c r="IB22" t="e">
        <f>AND('Planilla_General_07-12-2012_8_3'!A331,"AAAAABfvtes=")</f>
        <v>#VALUE!</v>
      </c>
      <c r="IC22" t="e">
        <f>AND('Planilla_General_07-12-2012_8_3'!B331,"AAAAABfvtew=")</f>
        <v>#VALUE!</v>
      </c>
      <c r="ID22" t="e">
        <f>AND('Planilla_General_07-12-2012_8_3'!C331,"AAAAABfvte0=")</f>
        <v>#VALUE!</v>
      </c>
      <c r="IE22" t="e">
        <f>AND('Planilla_General_07-12-2012_8_3'!D331,"AAAAABfvte4=")</f>
        <v>#VALUE!</v>
      </c>
      <c r="IF22" t="e">
        <f>AND('Planilla_General_07-12-2012_8_3'!E331,"AAAAABfvte8=")</f>
        <v>#VALUE!</v>
      </c>
      <c r="IG22" t="e">
        <f>AND('Planilla_General_07-12-2012_8_3'!F331,"AAAAABfvtfA=")</f>
        <v>#VALUE!</v>
      </c>
      <c r="IH22" t="e">
        <f>AND('Planilla_General_07-12-2012_8_3'!G331,"AAAAABfvtfE=")</f>
        <v>#VALUE!</v>
      </c>
      <c r="II22" t="e">
        <f>AND('Planilla_General_07-12-2012_8_3'!H331,"AAAAABfvtfI=")</f>
        <v>#VALUE!</v>
      </c>
      <c r="IJ22" t="e">
        <f>AND('Planilla_General_07-12-2012_8_3'!I331,"AAAAABfvtfM=")</f>
        <v>#VALUE!</v>
      </c>
      <c r="IK22" t="e">
        <f>AND('Planilla_General_07-12-2012_8_3'!J331,"AAAAABfvtfQ=")</f>
        <v>#VALUE!</v>
      </c>
      <c r="IL22" t="e">
        <f>AND('Planilla_General_07-12-2012_8_3'!K331,"AAAAABfvtfU=")</f>
        <v>#VALUE!</v>
      </c>
      <c r="IM22" t="e">
        <f>AND('Planilla_General_07-12-2012_8_3'!L331,"AAAAABfvtfY=")</f>
        <v>#VALUE!</v>
      </c>
      <c r="IN22" t="e">
        <f>AND('Planilla_General_07-12-2012_8_3'!M331,"AAAAABfvtfc=")</f>
        <v>#VALUE!</v>
      </c>
      <c r="IO22" t="e">
        <f>AND('Planilla_General_07-12-2012_8_3'!N331,"AAAAABfvtfg=")</f>
        <v>#VALUE!</v>
      </c>
      <c r="IP22" t="e">
        <f>AND('Planilla_General_07-12-2012_8_3'!O331,"AAAAABfvtfk=")</f>
        <v>#VALUE!</v>
      </c>
      <c r="IQ22" t="e">
        <f>AND('Planilla_General_07-12-2012_8_3'!P331,"AAAAABfvtfo=")</f>
        <v>#VALUE!</v>
      </c>
      <c r="IR22">
        <f>IF('Planilla_General_07-12-2012_8_3'!332:332,"AAAAABfvtfs=",0)</f>
        <v>0</v>
      </c>
      <c r="IS22" t="e">
        <f>AND('Planilla_General_07-12-2012_8_3'!A332,"AAAAABfvtfw=")</f>
        <v>#VALUE!</v>
      </c>
      <c r="IT22" t="e">
        <f>AND('Planilla_General_07-12-2012_8_3'!B332,"AAAAABfvtf0=")</f>
        <v>#VALUE!</v>
      </c>
      <c r="IU22" t="e">
        <f>AND('Planilla_General_07-12-2012_8_3'!C332,"AAAAABfvtf4=")</f>
        <v>#VALUE!</v>
      </c>
      <c r="IV22" t="e">
        <f>AND('Planilla_General_07-12-2012_8_3'!D332,"AAAAABfvtf8=")</f>
        <v>#VALUE!</v>
      </c>
    </row>
    <row r="23" spans="1:256" x14ac:dyDescent="0.25">
      <c r="A23" t="e">
        <f>AND('Planilla_General_07-12-2012_8_3'!E332,"AAAAAE9+/wA=")</f>
        <v>#VALUE!</v>
      </c>
      <c r="B23" t="e">
        <f>AND('Planilla_General_07-12-2012_8_3'!F332,"AAAAAE9+/wE=")</f>
        <v>#VALUE!</v>
      </c>
      <c r="C23" t="e">
        <f>AND('Planilla_General_07-12-2012_8_3'!G332,"AAAAAE9+/wI=")</f>
        <v>#VALUE!</v>
      </c>
      <c r="D23" t="e">
        <f>AND('Planilla_General_07-12-2012_8_3'!H332,"AAAAAE9+/wM=")</f>
        <v>#VALUE!</v>
      </c>
      <c r="E23" t="e">
        <f>AND('Planilla_General_07-12-2012_8_3'!I332,"AAAAAE9+/wQ=")</f>
        <v>#VALUE!</v>
      </c>
      <c r="F23" t="e">
        <f>AND('Planilla_General_07-12-2012_8_3'!J332,"AAAAAE9+/wU=")</f>
        <v>#VALUE!</v>
      </c>
      <c r="G23" t="e">
        <f>AND('Planilla_General_07-12-2012_8_3'!K332,"AAAAAE9+/wY=")</f>
        <v>#VALUE!</v>
      </c>
      <c r="H23" t="e">
        <f>AND('Planilla_General_07-12-2012_8_3'!L332,"AAAAAE9+/wc=")</f>
        <v>#VALUE!</v>
      </c>
      <c r="I23" t="e">
        <f>AND('Planilla_General_07-12-2012_8_3'!M332,"AAAAAE9+/wg=")</f>
        <v>#VALUE!</v>
      </c>
      <c r="J23" t="e">
        <f>AND('Planilla_General_07-12-2012_8_3'!N332,"AAAAAE9+/wk=")</f>
        <v>#VALUE!</v>
      </c>
      <c r="K23" t="e">
        <f>AND('Planilla_General_07-12-2012_8_3'!O332,"AAAAAE9+/wo=")</f>
        <v>#VALUE!</v>
      </c>
      <c r="L23" t="e">
        <f>AND('Planilla_General_07-12-2012_8_3'!P332,"AAAAAE9+/ws=")</f>
        <v>#VALUE!</v>
      </c>
      <c r="M23" t="str">
        <f>IF('Planilla_General_07-12-2012_8_3'!333:333,"AAAAAE9+/ww=",0)</f>
        <v>AAAAAE9+/ww=</v>
      </c>
      <c r="N23" t="e">
        <f>AND('Planilla_General_07-12-2012_8_3'!A333,"AAAAAE9+/w0=")</f>
        <v>#VALUE!</v>
      </c>
      <c r="O23" t="e">
        <f>AND('Planilla_General_07-12-2012_8_3'!B333,"AAAAAE9+/w4=")</f>
        <v>#VALUE!</v>
      </c>
      <c r="P23" t="e">
        <f>AND('Planilla_General_07-12-2012_8_3'!C333,"AAAAAE9+/w8=")</f>
        <v>#VALUE!</v>
      </c>
      <c r="Q23" t="e">
        <f>AND('Planilla_General_07-12-2012_8_3'!D333,"AAAAAE9+/xA=")</f>
        <v>#VALUE!</v>
      </c>
      <c r="R23" t="e">
        <f>AND('Planilla_General_07-12-2012_8_3'!E333,"AAAAAE9+/xE=")</f>
        <v>#VALUE!</v>
      </c>
      <c r="S23" t="e">
        <f>AND('Planilla_General_07-12-2012_8_3'!F333,"AAAAAE9+/xI=")</f>
        <v>#VALUE!</v>
      </c>
      <c r="T23" t="e">
        <f>AND('Planilla_General_07-12-2012_8_3'!G333,"AAAAAE9+/xM=")</f>
        <v>#VALUE!</v>
      </c>
      <c r="U23" t="e">
        <f>AND('Planilla_General_07-12-2012_8_3'!H333,"AAAAAE9+/xQ=")</f>
        <v>#VALUE!</v>
      </c>
      <c r="V23" t="e">
        <f>AND('Planilla_General_07-12-2012_8_3'!I333,"AAAAAE9+/xU=")</f>
        <v>#VALUE!</v>
      </c>
      <c r="W23" t="e">
        <f>AND('Planilla_General_07-12-2012_8_3'!J333,"AAAAAE9+/xY=")</f>
        <v>#VALUE!</v>
      </c>
      <c r="X23" t="e">
        <f>AND('Planilla_General_07-12-2012_8_3'!K333,"AAAAAE9+/xc=")</f>
        <v>#VALUE!</v>
      </c>
      <c r="Y23" t="e">
        <f>AND('Planilla_General_07-12-2012_8_3'!L333,"AAAAAE9+/xg=")</f>
        <v>#VALUE!</v>
      </c>
      <c r="Z23" t="e">
        <f>AND('Planilla_General_07-12-2012_8_3'!M333,"AAAAAE9+/xk=")</f>
        <v>#VALUE!</v>
      </c>
      <c r="AA23" t="e">
        <f>AND('Planilla_General_07-12-2012_8_3'!N333,"AAAAAE9+/xo=")</f>
        <v>#VALUE!</v>
      </c>
      <c r="AB23" t="e">
        <f>AND('Planilla_General_07-12-2012_8_3'!O333,"AAAAAE9+/xs=")</f>
        <v>#VALUE!</v>
      </c>
      <c r="AC23" t="e">
        <f>AND('Planilla_General_07-12-2012_8_3'!P333,"AAAAAE9+/xw=")</f>
        <v>#VALUE!</v>
      </c>
      <c r="AD23">
        <f>IF('Planilla_General_07-12-2012_8_3'!334:334,"AAAAAE9+/x0=",0)</f>
        <v>0</v>
      </c>
      <c r="AE23" t="e">
        <f>AND('Planilla_General_07-12-2012_8_3'!A334,"AAAAAE9+/x4=")</f>
        <v>#VALUE!</v>
      </c>
      <c r="AF23" t="e">
        <f>AND('Planilla_General_07-12-2012_8_3'!B334,"AAAAAE9+/x8=")</f>
        <v>#VALUE!</v>
      </c>
      <c r="AG23" t="e">
        <f>AND('Planilla_General_07-12-2012_8_3'!C334,"AAAAAE9+/yA=")</f>
        <v>#VALUE!</v>
      </c>
      <c r="AH23" t="e">
        <f>AND('Planilla_General_07-12-2012_8_3'!D334,"AAAAAE9+/yE=")</f>
        <v>#VALUE!</v>
      </c>
      <c r="AI23" t="e">
        <f>AND('Planilla_General_07-12-2012_8_3'!E334,"AAAAAE9+/yI=")</f>
        <v>#VALUE!</v>
      </c>
      <c r="AJ23" t="e">
        <f>AND('Planilla_General_07-12-2012_8_3'!F334,"AAAAAE9+/yM=")</f>
        <v>#VALUE!</v>
      </c>
      <c r="AK23" t="e">
        <f>AND('Planilla_General_07-12-2012_8_3'!G334,"AAAAAE9+/yQ=")</f>
        <v>#VALUE!</v>
      </c>
      <c r="AL23" t="e">
        <f>AND('Planilla_General_07-12-2012_8_3'!H334,"AAAAAE9+/yU=")</f>
        <v>#VALUE!</v>
      </c>
      <c r="AM23" t="e">
        <f>AND('Planilla_General_07-12-2012_8_3'!I334,"AAAAAE9+/yY=")</f>
        <v>#VALUE!</v>
      </c>
      <c r="AN23" t="e">
        <f>AND('Planilla_General_07-12-2012_8_3'!J334,"AAAAAE9+/yc=")</f>
        <v>#VALUE!</v>
      </c>
      <c r="AO23" t="e">
        <f>AND('Planilla_General_07-12-2012_8_3'!K334,"AAAAAE9+/yg=")</f>
        <v>#VALUE!</v>
      </c>
      <c r="AP23" t="e">
        <f>AND('Planilla_General_07-12-2012_8_3'!L334,"AAAAAE9+/yk=")</f>
        <v>#VALUE!</v>
      </c>
      <c r="AQ23" t="e">
        <f>AND('Planilla_General_07-12-2012_8_3'!M334,"AAAAAE9+/yo=")</f>
        <v>#VALUE!</v>
      </c>
      <c r="AR23" t="e">
        <f>AND('Planilla_General_07-12-2012_8_3'!N334,"AAAAAE9+/ys=")</f>
        <v>#VALUE!</v>
      </c>
      <c r="AS23" t="e">
        <f>AND('Planilla_General_07-12-2012_8_3'!O334,"AAAAAE9+/yw=")</f>
        <v>#VALUE!</v>
      </c>
      <c r="AT23" t="e">
        <f>AND('Planilla_General_07-12-2012_8_3'!P334,"AAAAAE9+/y0=")</f>
        <v>#VALUE!</v>
      </c>
      <c r="AU23">
        <f>IF('Planilla_General_07-12-2012_8_3'!335:335,"AAAAAE9+/y4=",0)</f>
        <v>0</v>
      </c>
      <c r="AV23" t="e">
        <f>AND('Planilla_General_07-12-2012_8_3'!A335,"AAAAAE9+/y8=")</f>
        <v>#VALUE!</v>
      </c>
      <c r="AW23" t="e">
        <f>AND('Planilla_General_07-12-2012_8_3'!B335,"AAAAAE9+/zA=")</f>
        <v>#VALUE!</v>
      </c>
      <c r="AX23" t="e">
        <f>AND('Planilla_General_07-12-2012_8_3'!C335,"AAAAAE9+/zE=")</f>
        <v>#VALUE!</v>
      </c>
      <c r="AY23" t="e">
        <f>AND('Planilla_General_07-12-2012_8_3'!D335,"AAAAAE9+/zI=")</f>
        <v>#VALUE!</v>
      </c>
      <c r="AZ23" t="e">
        <f>AND('Planilla_General_07-12-2012_8_3'!E335,"AAAAAE9+/zM=")</f>
        <v>#VALUE!</v>
      </c>
      <c r="BA23" t="e">
        <f>AND('Planilla_General_07-12-2012_8_3'!F335,"AAAAAE9+/zQ=")</f>
        <v>#VALUE!</v>
      </c>
      <c r="BB23" t="e">
        <f>AND('Planilla_General_07-12-2012_8_3'!G335,"AAAAAE9+/zU=")</f>
        <v>#VALUE!</v>
      </c>
      <c r="BC23" t="e">
        <f>AND('Planilla_General_07-12-2012_8_3'!H335,"AAAAAE9+/zY=")</f>
        <v>#VALUE!</v>
      </c>
      <c r="BD23" t="e">
        <f>AND('Planilla_General_07-12-2012_8_3'!I335,"AAAAAE9+/zc=")</f>
        <v>#VALUE!</v>
      </c>
      <c r="BE23" t="e">
        <f>AND('Planilla_General_07-12-2012_8_3'!J335,"AAAAAE9+/zg=")</f>
        <v>#VALUE!</v>
      </c>
      <c r="BF23" t="e">
        <f>AND('Planilla_General_07-12-2012_8_3'!K335,"AAAAAE9+/zk=")</f>
        <v>#VALUE!</v>
      </c>
      <c r="BG23" t="e">
        <f>AND('Planilla_General_07-12-2012_8_3'!L335,"AAAAAE9+/zo=")</f>
        <v>#VALUE!</v>
      </c>
      <c r="BH23" t="e">
        <f>AND('Planilla_General_07-12-2012_8_3'!M335,"AAAAAE9+/zs=")</f>
        <v>#VALUE!</v>
      </c>
      <c r="BI23" t="e">
        <f>AND('Planilla_General_07-12-2012_8_3'!N335,"AAAAAE9+/zw=")</f>
        <v>#VALUE!</v>
      </c>
      <c r="BJ23" t="e">
        <f>AND('Planilla_General_07-12-2012_8_3'!O335,"AAAAAE9+/z0=")</f>
        <v>#VALUE!</v>
      </c>
      <c r="BK23" t="e">
        <f>AND('Planilla_General_07-12-2012_8_3'!P335,"AAAAAE9+/z4=")</f>
        <v>#VALUE!</v>
      </c>
      <c r="BL23">
        <f>IF('Planilla_General_07-12-2012_8_3'!336:336,"AAAAAE9+/z8=",0)</f>
        <v>0</v>
      </c>
      <c r="BM23" t="e">
        <f>AND('Planilla_General_07-12-2012_8_3'!A336,"AAAAAE9+/0A=")</f>
        <v>#VALUE!</v>
      </c>
      <c r="BN23" t="e">
        <f>AND('Planilla_General_07-12-2012_8_3'!B336,"AAAAAE9+/0E=")</f>
        <v>#VALUE!</v>
      </c>
      <c r="BO23" t="e">
        <f>AND('Planilla_General_07-12-2012_8_3'!C336,"AAAAAE9+/0I=")</f>
        <v>#VALUE!</v>
      </c>
      <c r="BP23" t="e">
        <f>AND('Planilla_General_07-12-2012_8_3'!D336,"AAAAAE9+/0M=")</f>
        <v>#VALUE!</v>
      </c>
      <c r="BQ23" t="e">
        <f>AND('Planilla_General_07-12-2012_8_3'!E336,"AAAAAE9+/0Q=")</f>
        <v>#VALUE!</v>
      </c>
      <c r="BR23" t="e">
        <f>AND('Planilla_General_07-12-2012_8_3'!F336,"AAAAAE9+/0U=")</f>
        <v>#VALUE!</v>
      </c>
      <c r="BS23" t="e">
        <f>AND('Planilla_General_07-12-2012_8_3'!G336,"AAAAAE9+/0Y=")</f>
        <v>#VALUE!</v>
      </c>
      <c r="BT23" t="e">
        <f>AND('Planilla_General_07-12-2012_8_3'!H336,"AAAAAE9+/0c=")</f>
        <v>#VALUE!</v>
      </c>
      <c r="BU23" t="e">
        <f>AND('Planilla_General_07-12-2012_8_3'!I336,"AAAAAE9+/0g=")</f>
        <v>#VALUE!</v>
      </c>
      <c r="BV23" t="e">
        <f>AND('Planilla_General_07-12-2012_8_3'!J336,"AAAAAE9+/0k=")</f>
        <v>#VALUE!</v>
      </c>
      <c r="BW23" t="e">
        <f>AND('Planilla_General_07-12-2012_8_3'!K336,"AAAAAE9+/0o=")</f>
        <v>#VALUE!</v>
      </c>
      <c r="BX23" t="e">
        <f>AND('Planilla_General_07-12-2012_8_3'!L336,"AAAAAE9+/0s=")</f>
        <v>#VALUE!</v>
      </c>
      <c r="BY23" t="e">
        <f>AND('Planilla_General_07-12-2012_8_3'!M336,"AAAAAE9+/0w=")</f>
        <v>#VALUE!</v>
      </c>
      <c r="BZ23" t="e">
        <f>AND('Planilla_General_07-12-2012_8_3'!N336,"AAAAAE9+/00=")</f>
        <v>#VALUE!</v>
      </c>
      <c r="CA23" t="e">
        <f>AND('Planilla_General_07-12-2012_8_3'!O336,"AAAAAE9+/04=")</f>
        <v>#VALUE!</v>
      </c>
      <c r="CB23" t="e">
        <f>AND('Planilla_General_07-12-2012_8_3'!P336,"AAAAAE9+/08=")</f>
        <v>#VALUE!</v>
      </c>
      <c r="CC23">
        <f>IF('Planilla_General_07-12-2012_8_3'!337:337,"AAAAAE9+/1A=",0)</f>
        <v>0</v>
      </c>
      <c r="CD23" t="e">
        <f>AND('Planilla_General_07-12-2012_8_3'!A337,"AAAAAE9+/1E=")</f>
        <v>#VALUE!</v>
      </c>
      <c r="CE23" t="e">
        <f>AND('Planilla_General_07-12-2012_8_3'!B337,"AAAAAE9+/1I=")</f>
        <v>#VALUE!</v>
      </c>
      <c r="CF23" t="e">
        <f>AND('Planilla_General_07-12-2012_8_3'!C337,"AAAAAE9+/1M=")</f>
        <v>#VALUE!</v>
      </c>
      <c r="CG23" t="e">
        <f>AND('Planilla_General_07-12-2012_8_3'!D337,"AAAAAE9+/1Q=")</f>
        <v>#VALUE!</v>
      </c>
      <c r="CH23" t="e">
        <f>AND('Planilla_General_07-12-2012_8_3'!E337,"AAAAAE9+/1U=")</f>
        <v>#VALUE!</v>
      </c>
      <c r="CI23" t="e">
        <f>AND('Planilla_General_07-12-2012_8_3'!F337,"AAAAAE9+/1Y=")</f>
        <v>#VALUE!</v>
      </c>
      <c r="CJ23" t="e">
        <f>AND('Planilla_General_07-12-2012_8_3'!G337,"AAAAAE9+/1c=")</f>
        <v>#VALUE!</v>
      </c>
      <c r="CK23" t="e">
        <f>AND('Planilla_General_07-12-2012_8_3'!H337,"AAAAAE9+/1g=")</f>
        <v>#VALUE!</v>
      </c>
      <c r="CL23" t="e">
        <f>AND('Planilla_General_07-12-2012_8_3'!I337,"AAAAAE9+/1k=")</f>
        <v>#VALUE!</v>
      </c>
      <c r="CM23" t="e">
        <f>AND('Planilla_General_07-12-2012_8_3'!J337,"AAAAAE9+/1o=")</f>
        <v>#VALUE!</v>
      </c>
      <c r="CN23" t="e">
        <f>AND('Planilla_General_07-12-2012_8_3'!K337,"AAAAAE9+/1s=")</f>
        <v>#VALUE!</v>
      </c>
      <c r="CO23" t="e">
        <f>AND('Planilla_General_07-12-2012_8_3'!L337,"AAAAAE9+/1w=")</f>
        <v>#VALUE!</v>
      </c>
      <c r="CP23" t="e">
        <f>AND('Planilla_General_07-12-2012_8_3'!M337,"AAAAAE9+/10=")</f>
        <v>#VALUE!</v>
      </c>
      <c r="CQ23" t="e">
        <f>AND('Planilla_General_07-12-2012_8_3'!N337,"AAAAAE9+/14=")</f>
        <v>#VALUE!</v>
      </c>
      <c r="CR23" t="e">
        <f>AND('Planilla_General_07-12-2012_8_3'!O337,"AAAAAE9+/18=")</f>
        <v>#VALUE!</v>
      </c>
      <c r="CS23" t="e">
        <f>AND('Planilla_General_07-12-2012_8_3'!P337,"AAAAAE9+/2A=")</f>
        <v>#VALUE!</v>
      </c>
      <c r="CT23">
        <f>IF('Planilla_General_07-12-2012_8_3'!338:338,"AAAAAE9+/2E=",0)</f>
        <v>0</v>
      </c>
      <c r="CU23" t="e">
        <f>AND('Planilla_General_07-12-2012_8_3'!A338,"AAAAAE9+/2I=")</f>
        <v>#VALUE!</v>
      </c>
      <c r="CV23" t="e">
        <f>AND('Planilla_General_07-12-2012_8_3'!B338,"AAAAAE9+/2M=")</f>
        <v>#VALUE!</v>
      </c>
      <c r="CW23" t="e">
        <f>AND('Planilla_General_07-12-2012_8_3'!C338,"AAAAAE9+/2Q=")</f>
        <v>#VALUE!</v>
      </c>
      <c r="CX23" t="e">
        <f>AND('Planilla_General_07-12-2012_8_3'!D338,"AAAAAE9+/2U=")</f>
        <v>#VALUE!</v>
      </c>
      <c r="CY23" t="e">
        <f>AND('Planilla_General_07-12-2012_8_3'!E338,"AAAAAE9+/2Y=")</f>
        <v>#VALUE!</v>
      </c>
      <c r="CZ23" t="e">
        <f>AND('Planilla_General_07-12-2012_8_3'!F338,"AAAAAE9+/2c=")</f>
        <v>#VALUE!</v>
      </c>
      <c r="DA23" t="e">
        <f>AND('Planilla_General_07-12-2012_8_3'!G338,"AAAAAE9+/2g=")</f>
        <v>#VALUE!</v>
      </c>
      <c r="DB23" t="e">
        <f>AND('Planilla_General_07-12-2012_8_3'!H338,"AAAAAE9+/2k=")</f>
        <v>#VALUE!</v>
      </c>
      <c r="DC23" t="e">
        <f>AND('Planilla_General_07-12-2012_8_3'!I338,"AAAAAE9+/2o=")</f>
        <v>#VALUE!</v>
      </c>
      <c r="DD23" t="e">
        <f>AND('Planilla_General_07-12-2012_8_3'!J338,"AAAAAE9+/2s=")</f>
        <v>#VALUE!</v>
      </c>
      <c r="DE23" t="e">
        <f>AND('Planilla_General_07-12-2012_8_3'!K338,"AAAAAE9+/2w=")</f>
        <v>#VALUE!</v>
      </c>
      <c r="DF23" t="e">
        <f>AND('Planilla_General_07-12-2012_8_3'!L338,"AAAAAE9+/20=")</f>
        <v>#VALUE!</v>
      </c>
      <c r="DG23" t="e">
        <f>AND('Planilla_General_07-12-2012_8_3'!M338,"AAAAAE9+/24=")</f>
        <v>#VALUE!</v>
      </c>
      <c r="DH23" t="e">
        <f>AND('Planilla_General_07-12-2012_8_3'!N338,"AAAAAE9+/28=")</f>
        <v>#VALUE!</v>
      </c>
      <c r="DI23" t="e">
        <f>AND('Planilla_General_07-12-2012_8_3'!O338,"AAAAAE9+/3A=")</f>
        <v>#VALUE!</v>
      </c>
      <c r="DJ23" t="e">
        <f>AND('Planilla_General_07-12-2012_8_3'!P338,"AAAAAE9+/3E=")</f>
        <v>#VALUE!</v>
      </c>
      <c r="DK23">
        <f>IF('Planilla_General_07-12-2012_8_3'!339:339,"AAAAAE9+/3I=",0)</f>
        <v>0</v>
      </c>
      <c r="DL23" t="e">
        <f>AND('Planilla_General_07-12-2012_8_3'!A339,"AAAAAE9+/3M=")</f>
        <v>#VALUE!</v>
      </c>
      <c r="DM23" t="e">
        <f>AND('Planilla_General_07-12-2012_8_3'!B339,"AAAAAE9+/3Q=")</f>
        <v>#VALUE!</v>
      </c>
      <c r="DN23" t="e">
        <f>AND('Planilla_General_07-12-2012_8_3'!C339,"AAAAAE9+/3U=")</f>
        <v>#VALUE!</v>
      </c>
      <c r="DO23" t="e">
        <f>AND('Planilla_General_07-12-2012_8_3'!D339,"AAAAAE9+/3Y=")</f>
        <v>#VALUE!</v>
      </c>
      <c r="DP23" t="e">
        <f>AND('Planilla_General_07-12-2012_8_3'!E339,"AAAAAE9+/3c=")</f>
        <v>#VALUE!</v>
      </c>
      <c r="DQ23" t="e">
        <f>AND('Planilla_General_07-12-2012_8_3'!F339,"AAAAAE9+/3g=")</f>
        <v>#VALUE!</v>
      </c>
      <c r="DR23" t="e">
        <f>AND('Planilla_General_07-12-2012_8_3'!G339,"AAAAAE9+/3k=")</f>
        <v>#VALUE!</v>
      </c>
      <c r="DS23" t="e">
        <f>AND('Planilla_General_07-12-2012_8_3'!H339,"AAAAAE9+/3o=")</f>
        <v>#VALUE!</v>
      </c>
      <c r="DT23" t="e">
        <f>AND('Planilla_General_07-12-2012_8_3'!I339,"AAAAAE9+/3s=")</f>
        <v>#VALUE!</v>
      </c>
      <c r="DU23" t="e">
        <f>AND('Planilla_General_07-12-2012_8_3'!J339,"AAAAAE9+/3w=")</f>
        <v>#VALUE!</v>
      </c>
      <c r="DV23" t="e">
        <f>AND('Planilla_General_07-12-2012_8_3'!K339,"AAAAAE9+/30=")</f>
        <v>#VALUE!</v>
      </c>
      <c r="DW23" t="e">
        <f>AND('Planilla_General_07-12-2012_8_3'!L339,"AAAAAE9+/34=")</f>
        <v>#VALUE!</v>
      </c>
      <c r="DX23" t="e">
        <f>AND('Planilla_General_07-12-2012_8_3'!M339,"AAAAAE9+/38=")</f>
        <v>#VALUE!</v>
      </c>
      <c r="DY23" t="e">
        <f>AND('Planilla_General_07-12-2012_8_3'!N339,"AAAAAE9+/4A=")</f>
        <v>#VALUE!</v>
      </c>
      <c r="DZ23" t="e">
        <f>AND('Planilla_General_07-12-2012_8_3'!O339,"AAAAAE9+/4E=")</f>
        <v>#VALUE!</v>
      </c>
      <c r="EA23" t="e">
        <f>AND('Planilla_General_07-12-2012_8_3'!P339,"AAAAAE9+/4I=")</f>
        <v>#VALUE!</v>
      </c>
      <c r="EB23">
        <f>IF('Planilla_General_07-12-2012_8_3'!340:340,"AAAAAE9+/4M=",0)</f>
        <v>0</v>
      </c>
      <c r="EC23" t="e">
        <f>AND('Planilla_General_07-12-2012_8_3'!A340,"AAAAAE9+/4Q=")</f>
        <v>#VALUE!</v>
      </c>
      <c r="ED23" t="e">
        <f>AND('Planilla_General_07-12-2012_8_3'!B340,"AAAAAE9+/4U=")</f>
        <v>#VALUE!</v>
      </c>
      <c r="EE23" t="e">
        <f>AND('Planilla_General_07-12-2012_8_3'!C340,"AAAAAE9+/4Y=")</f>
        <v>#VALUE!</v>
      </c>
      <c r="EF23" t="e">
        <f>AND('Planilla_General_07-12-2012_8_3'!D340,"AAAAAE9+/4c=")</f>
        <v>#VALUE!</v>
      </c>
      <c r="EG23" t="e">
        <f>AND('Planilla_General_07-12-2012_8_3'!E340,"AAAAAE9+/4g=")</f>
        <v>#VALUE!</v>
      </c>
      <c r="EH23" t="e">
        <f>AND('Planilla_General_07-12-2012_8_3'!F340,"AAAAAE9+/4k=")</f>
        <v>#VALUE!</v>
      </c>
      <c r="EI23" t="e">
        <f>AND('Planilla_General_07-12-2012_8_3'!G340,"AAAAAE9+/4o=")</f>
        <v>#VALUE!</v>
      </c>
      <c r="EJ23" t="e">
        <f>AND('Planilla_General_07-12-2012_8_3'!H340,"AAAAAE9+/4s=")</f>
        <v>#VALUE!</v>
      </c>
      <c r="EK23" t="e">
        <f>AND('Planilla_General_07-12-2012_8_3'!I340,"AAAAAE9+/4w=")</f>
        <v>#VALUE!</v>
      </c>
      <c r="EL23" t="e">
        <f>AND('Planilla_General_07-12-2012_8_3'!J340,"AAAAAE9+/40=")</f>
        <v>#VALUE!</v>
      </c>
      <c r="EM23" t="e">
        <f>AND('Planilla_General_07-12-2012_8_3'!K340,"AAAAAE9+/44=")</f>
        <v>#VALUE!</v>
      </c>
      <c r="EN23" t="e">
        <f>AND('Planilla_General_07-12-2012_8_3'!L340,"AAAAAE9+/48=")</f>
        <v>#VALUE!</v>
      </c>
      <c r="EO23" t="e">
        <f>AND('Planilla_General_07-12-2012_8_3'!M340,"AAAAAE9+/5A=")</f>
        <v>#VALUE!</v>
      </c>
      <c r="EP23" t="e">
        <f>AND('Planilla_General_07-12-2012_8_3'!N340,"AAAAAE9+/5E=")</f>
        <v>#VALUE!</v>
      </c>
      <c r="EQ23" t="e">
        <f>AND('Planilla_General_07-12-2012_8_3'!O340,"AAAAAE9+/5I=")</f>
        <v>#VALUE!</v>
      </c>
      <c r="ER23" t="e">
        <f>AND('Planilla_General_07-12-2012_8_3'!P340,"AAAAAE9+/5M=")</f>
        <v>#VALUE!</v>
      </c>
      <c r="ES23">
        <f>IF('Planilla_General_07-12-2012_8_3'!341:341,"AAAAAE9+/5Q=",0)</f>
        <v>0</v>
      </c>
      <c r="ET23" t="e">
        <f>AND('Planilla_General_07-12-2012_8_3'!A341,"AAAAAE9+/5U=")</f>
        <v>#VALUE!</v>
      </c>
      <c r="EU23" t="e">
        <f>AND('Planilla_General_07-12-2012_8_3'!B341,"AAAAAE9+/5Y=")</f>
        <v>#VALUE!</v>
      </c>
      <c r="EV23" t="e">
        <f>AND('Planilla_General_07-12-2012_8_3'!C341,"AAAAAE9+/5c=")</f>
        <v>#VALUE!</v>
      </c>
      <c r="EW23" t="e">
        <f>AND('Planilla_General_07-12-2012_8_3'!D341,"AAAAAE9+/5g=")</f>
        <v>#VALUE!</v>
      </c>
      <c r="EX23" t="e">
        <f>AND('Planilla_General_07-12-2012_8_3'!E341,"AAAAAE9+/5k=")</f>
        <v>#VALUE!</v>
      </c>
      <c r="EY23" t="e">
        <f>AND('Planilla_General_07-12-2012_8_3'!F341,"AAAAAE9+/5o=")</f>
        <v>#VALUE!</v>
      </c>
      <c r="EZ23" t="e">
        <f>AND('Planilla_General_07-12-2012_8_3'!G341,"AAAAAE9+/5s=")</f>
        <v>#VALUE!</v>
      </c>
      <c r="FA23" t="e">
        <f>AND('Planilla_General_07-12-2012_8_3'!H341,"AAAAAE9+/5w=")</f>
        <v>#VALUE!</v>
      </c>
      <c r="FB23" t="e">
        <f>AND('Planilla_General_07-12-2012_8_3'!I341,"AAAAAE9+/50=")</f>
        <v>#VALUE!</v>
      </c>
      <c r="FC23" t="e">
        <f>AND('Planilla_General_07-12-2012_8_3'!J341,"AAAAAE9+/54=")</f>
        <v>#VALUE!</v>
      </c>
      <c r="FD23" t="e">
        <f>AND('Planilla_General_07-12-2012_8_3'!K341,"AAAAAE9+/58=")</f>
        <v>#VALUE!</v>
      </c>
      <c r="FE23" t="e">
        <f>AND('Planilla_General_07-12-2012_8_3'!L341,"AAAAAE9+/6A=")</f>
        <v>#VALUE!</v>
      </c>
      <c r="FF23" t="e">
        <f>AND('Planilla_General_07-12-2012_8_3'!M341,"AAAAAE9+/6E=")</f>
        <v>#VALUE!</v>
      </c>
      <c r="FG23" t="e">
        <f>AND('Planilla_General_07-12-2012_8_3'!N341,"AAAAAE9+/6I=")</f>
        <v>#VALUE!</v>
      </c>
      <c r="FH23" t="e">
        <f>AND('Planilla_General_07-12-2012_8_3'!O341,"AAAAAE9+/6M=")</f>
        <v>#VALUE!</v>
      </c>
      <c r="FI23" t="e">
        <f>AND('Planilla_General_07-12-2012_8_3'!P341,"AAAAAE9+/6Q=")</f>
        <v>#VALUE!</v>
      </c>
      <c r="FJ23">
        <f>IF('Planilla_General_07-12-2012_8_3'!342:342,"AAAAAE9+/6U=",0)</f>
        <v>0</v>
      </c>
      <c r="FK23" t="e">
        <f>AND('Planilla_General_07-12-2012_8_3'!A342,"AAAAAE9+/6Y=")</f>
        <v>#VALUE!</v>
      </c>
      <c r="FL23" t="e">
        <f>AND('Planilla_General_07-12-2012_8_3'!B342,"AAAAAE9+/6c=")</f>
        <v>#VALUE!</v>
      </c>
      <c r="FM23" t="e">
        <f>AND('Planilla_General_07-12-2012_8_3'!C342,"AAAAAE9+/6g=")</f>
        <v>#VALUE!</v>
      </c>
      <c r="FN23" t="e">
        <f>AND('Planilla_General_07-12-2012_8_3'!D342,"AAAAAE9+/6k=")</f>
        <v>#VALUE!</v>
      </c>
      <c r="FO23" t="e">
        <f>AND('Planilla_General_07-12-2012_8_3'!E342,"AAAAAE9+/6o=")</f>
        <v>#VALUE!</v>
      </c>
      <c r="FP23" t="e">
        <f>AND('Planilla_General_07-12-2012_8_3'!F342,"AAAAAE9+/6s=")</f>
        <v>#VALUE!</v>
      </c>
      <c r="FQ23" t="e">
        <f>AND('Planilla_General_07-12-2012_8_3'!G342,"AAAAAE9+/6w=")</f>
        <v>#VALUE!</v>
      </c>
      <c r="FR23" t="e">
        <f>AND('Planilla_General_07-12-2012_8_3'!H342,"AAAAAE9+/60=")</f>
        <v>#VALUE!</v>
      </c>
      <c r="FS23" t="e">
        <f>AND('Planilla_General_07-12-2012_8_3'!I342,"AAAAAE9+/64=")</f>
        <v>#VALUE!</v>
      </c>
      <c r="FT23" t="e">
        <f>AND('Planilla_General_07-12-2012_8_3'!J342,"AAAAAE9+/68=")</f>
        <v>#VALUE!</v>
      </c>
      <c r="FU23" t="e">
        <f>AND('Planilla_General_07-12-2012_8_3'!K342,"AAAAAE9+/7A=")</f>
        <v>#VALUE!</v>
      </c>
      <c r="FV23" t="e">
        <f>AND('Planilla_General_07-12-2012_8_3'!L342,"AAAAAE9+/7E=")</f>
        <v>#VALUE!</v>
      </c>
      <c r="FW23" t="e">
        <f>AND('Planilla_General_07-12-2012_8_3'!M342,"AAAAAE9+/7I=")</f>
        <v>#VALUE!</v>
      </c>
      <c r="FX23" t="e">
        <f>AND('Planilla_General_07-12-2012_8_3'!N342,"AAAAAE9+/7M=")</f>
        <v>#VALUE!</v>
      </c>
      <c r="FY23" t="e">
        <f>AND('Planilla_General_07-12-2012_8_3'!O342,"AAAAAE9+/7Q=")</f>
        <v>#VALUE!</v>
      </c>
      <c r="FZ23" t="e">
        <f>AND('Planilla_General_07-12-2012_8_3'!P342,"AAAAAE9+/7U=")</f>
        <v>#VALUE!</v>
      </c>
      <c r="GA23">
        <f>IF('Planilla_General_07-12-2012_8_3'!343:343,"AAAAAE9+/7Y=",0)</f>
        <v>0</v>
      </c>
      <c r="GB23" t="e">
        <f>AND('Planilla_General_07-12-2012_8_3'!A343,"AAAAAE9+/7c=")</f>
        <v>#VALUE!</v>
      </c>
      <c r="GC23" t="e">
        <f>AND('Planilla_General_07-12-2012_8_3'!B343,"AAAAAE9+/7g=")</f>
        <v>#VALUE!</v>
      </c>
      <c r="GD23" t="e">
        <f>AND('Planilla_General_07-12-2012_8_3'!C343,"AAAAAE9+/7k=")</f>
        <v>#VALUE!</v>
      </c>
      <c r="GE23" t="e">
        <f>AND('Planilla_General_07-12-2012_8_3'!D343,"AAAAAE9+/7o=")</f>
        <v>#VALUE!</v>
      </c>
      <c r="GF23" t="e">
        <f>AND('Planilla_General_07-12-2012_8_3'!E343,"AAAAAE9+/7s=")</f>
        <v>#VALUE!</v>
      </c>
      <c r="GG23" t="e">
        <f>AND('Planilla_General_07-12-2012_8_3'!F343,"AAAAAE9+/7w=")</f>
        <v>#VALUE!</v>
      </c>
      <c r="GH23" t="e">
        <f>AND('Planilla_General_07-12-2012_8_3'!G343,"AAAAAE9+/70=")</f>
        <v>#VALUE!</v>
      </c>
      <c r="GI23" t="e">
        <f>AND('Planilla_General_07-12-2012_8_3'!H343,"AAAAAE9+/74=")</f>
        <v>#VALUE!</v>
      </c>
      <c r="GJ23" t="e">
        <f>AND('Planilla_General_07-12-2012_8_3'!I343,"AAAAAE9+/78=")</f>
        <v>#VALUE!</v>
      </c>
      <c r="GK23" t="e">
        <f>AND('Planilla_General_07-12-2012_8_3'!J343,"AAAAAE9+/8A=")</f>
        <v>#VALUE!</v>
      </c>
      <c r="GL23" t="e">
        <f>AND('Planilla_General_07-12-2012_8_3'!K343,"AAAAAE9+/8E=")</f>
        <v>#VALUE!</v>
      </c>
      <c r="GM23" t="e">
        <f>AND('Planilla_General_07-12-2012_8_3'!L343,"AAAAAE9+/8I=")</f>
        <v>#VALUE!</v>
      </c>
      <c r="GN23" t="e">
        <f>AND('Planilla_General_07-12-2012_8_3'!M343,"AAAAAE9+/8M=")</f>
        <v>#VALUE!</v>
      </c>
      <c r="GO23" t="e">
        <f>AND('Planilla_General_07-12-2012_8_3'!N343,"AAAAAE9+/8Q=")</f>
        <v>#VALUE!</v>
      </c>
      <c r="GP23" t="e">
        <f>AND('Planilla_General_07-12-2012_8_3'!O343,"AAAAAE9+/8U=")</f>
        <v>#VALUE!</v>
      </c>
      <c r="GQ23" t="e">
        <f>AND('Planilla_General_07-12-2012_8_3'!P343,"AAAAAE9+/8Y=")</f>
        <v>#VALUE!</v>
      </c>
      <c r="GR23">
        <f>IF('Planilla_General_07-12-2012_8_3'!344:344,"AAAAAE9+/8c=",0)</f>
        <v>0</v>
      </c>
      <c r="GS23" t="e">
        <f>AND('Planilla_General_07-12-2012_8_3'!A344,"AAAAAE9+/8g=")</f>
        <v>#VALUE!</v>
      </c>
      <c r="GT23" t="e">
        <f>AND('Planilla_General_07-12-2012_8_3'!B344,"AAAAAE9+/8k=")</f>
        <v>#VALUE!</v>
      </c>
      <c r="GU23" t="e">
        <f>AND('Planilla_General_07-12-2012_8_3'!C344,"AAAAAE9+/8o=")</f>
        <v>#VALUE!</v>
      </c>
      <c r="GV23" t="e">
        <f>AND('Planilla_General_07-12-2012_8_3'!D344,"AAAAAE9+/8s=")</f>
        <v>#VALUE!</v>
      </c>
      <c r="GW23" t="e">
        <f>AND('Planilla_General_07-12-2012_8_3'!E344,"AAAAAE9+/8w=")</f>
        <v>#VALUE!</v>
      </c>
      <c r="GX23" t="e">
        <f>AND('Planilla_General_07-12-2012_8_3'!F344,"AAAAAE9+/80=")</f>
        <v>#VALUE!</v>
      </c>
      <c r="GY23" t="e">
        <f>AND('Planilla_General_07-12-2012_8_3'!G344,"AAAAAE9+/84=")</f>
        <v>#VALUE!</v>
      </c>
      <c r="GZ23" t="e">
        <f>AND('Planilla_General_07-12-2012_8_3'!H344,"AAAAAE9+/88=")</f>
        <v>#VALUE!</v>
      </c>
      <c r="HA23" t="e">
        <f>AND('Planilla_General_07-12-2012_8_3'!I344,"AAAAAE9+/9A=")</f>
        <v>#VALUE!</v>
      </c>
      <c r="HB23" t="e">
        <f>AND('Planilla_General_07-12-2012_8_3'!J344,"AAAAAE9+/9E=")</f>
        <v>#VALUE!</v>
      </c>
      <c r="HC23" t="e">
        <f>AND('Planilla_General_07-12-2012_8_3'!K344,"AAAAAE9+/9I=")</f>
        <v>#VALUE!</v>
      </c>
      <c r="HD23" t="e">
        <f>AND('Planilla_General_07-12-2012_8_3'!L344,"AAAAAE9+/9M=")</f>
        <v>#VALUE!</v>
      </c>
      <c r="HE23" t="e">
        <f>AND('Planilla_General_07-12-2012_8_3'!M344,"AAAAAE9+/9Q=")</f>
        <v>#VALUE!</v>
      </c>
      <c r="HF23" t="e">
        <f>AND('Planilla_General_07-12-2012_8_3'!N344,"AAAAAE9+/9U=")</f>
        <v>#VALUE!</v>
      </c>
      <c r="HG23" t="e">
        <f>AND('Planilla_General_07-12-2012_8_3'!O344,"AAAAAE9+/9Y=")</f>
        <v>#VALUE!</v>
      </c>
      <c r="HH23" t="e">
        <f>AND('Planilla_General_07-12-2012_8_3'!P344,"AAAAAE9+/9c=")</f>
        <v>#VALUE!</v>
      </c>
      <c r="HI23">
        <f>IF('Planilla_General_07-12-2012_8_3'!345:345,"AAAAAE9+/9g=",0)</f>
        <v>0</v>
      </c>
      <c r="HJ23" t="e">
        <f>AND('Planilla_General_07-12-2012_8_3'!A345,"AAAAAE9+/9k=")</f>
        <v>#VALUE!</v>
      </c>
      <c r="HK23" t="e">
        <f>AND('Planilla_General_07-12-2012_8_3'!B345,"AAAAAE9+/9o=")</f>
        <v>#VALUE!</v>
      </c>
      <c r="HL23" t="e">
        <f>AND('Planilla_General_07-12-2012_8_3'!C345,"AAAAAE9+/9s=")</f>
        <v>#VALUE!</v>
      </c>
      <c r="HM23" t="e">
        <f>AND('Planilla_General_07-12-2012_8_3'!D345,"AAAAAE9+/9w=")</f>
        <v>#VALUE!</v>
      </c>
      <c r="HN23" t="e">
        <f>AND('Planilla_General_07-12-2012_8_3'!E345,"AAAAAE9+/90=")</f>
        <v>#VALUE!</v>
      </c>
      <c r="HO23" t="e">
        <f>AND('Planilla_General_07-12-2012_8_3'!F345,"AAAAAE9+/94=")</f>
        <v>#VALUE!</v>
      </c>
      <c r="HP23" t="e">
        <f>AND('Planilla_General_07-12-2012_8_3'!G345,"AAAAAE9+/98=")</f>
        <v>#VALUE!</v>
      </c>
      <c r="HQ23" t="e">
        <f>AND('Planilla_General_07-12-2012_8_3'!H345,"AAAAAE9+/+A=")</f>
        <v>#VALUE!</v>
      </c>
      <c r="HR23" t="e">
        <f>AND('Planilla_General_07-12-2012_8_3'!I345,"AAAAAE9+/+E=")</f>
        <v>#VALUE!</v>
      </c>
      <c r="HS23" t="e">
        <f>AND('Planilla_General_07-12-2012_8_3'!J345,"AAAAAE9+/+I=")</f>
        <v>#VALUE!</v>
      </c>
      <c r="HT23" t="e">
        <f>AND('Planilla_General_07-12-2012_8_3'!K345,"AAAAAE9+/+M=")</f>
        <v>#VALUE!</v>
      </c>
      <c r="HU23" t="e">
        <f>AND('Planilla_General_07-12-2012_8_3'!L345,"AAAAAE9+/+Q=")</f>
        <v>#VALUE!</v>
      </c>
      <c r="HV23" t="e">
        <f>AND('Planilla_General_07-12-2012_8_3'!M345,"AAAAAE9+/+U=")</f>
        <v>#VALUE!</v>
      </c>
      <c r="HW23" t="e">
        <f>AND('Planilla_General_07-12-2012_8_3'!N345,"AAAAAE9+/+Y=")</f>
        <v>#VALUE!</v>
      </c>
      <c r="HX23" t="e">
        <f>AND('Planilla_General_07-12-2012_8_3'!O345,"AAAAAE9+/+c=")</f>
        <v>#VALUE!</v>
      </c>
      <c r="HY23" t="e">
        <f>AND('Planilla_General_07-12-2012_8_3'!P345,"AAAAAE9+/+g=")</f>
        <v>#VALUE!</v>
      </c>
      <c r="HZ23">
        <f>IF('Planilla_General_07-12-2012_8_3'!346:346,"AAAAAE9+/+k=",0)</f>
        <v>0</v>
      </c>
      <c r="IA23" t="e">
        <f>AND('Planilla_General_07-12-2012_8_3'!A346,"AAAAAE9+/+o=")</f>
        <v>#VALUE!</v>
      </c>
      <c r="IB23" t="e">
        <f>AND('Planilla_General_07-12-2012_8_3'!B346,"AAAAAE9+/+s=")</f>
        <v>#VALUE!</v>
      </c>
      <c r="IC23" t="e">
        <f>AND('Planilla_General_07-12-2012_8_3'!C346,"AAAAAE9+/+w=")</f>
        <v>#VALUE!</v>
      </c>
      <c r="ID23" t="e">
        <f>AND('Planilla_General_07-12-2012_8_3'!D346,"AAAAAE9+/+0=")</f>
        <v>#VALUE!</v>
      </c>
      <c r="IE23" t="e">
        <f>AND('Planilla_General_07-12-2012_8_3'!E346,"AAAAAE9+/+4=")</f>
        <v>#VALUE!</v>
      </c>
      <c r="IF23" t="e">
        <f>AND('Planilla_General_07-12-2012_8_3'!F346,"AAAAAE9+/+8=")</f>
        <v>#VALUE!</v>
      </c>
      <c r="IG23" t="e">
        <f>AND('Planilla_General_07-12-2012_8_3'!G346,"AAAAAE9+//A=")</f>
        <v>#VALUE!</v>
      </c>
      <c r="IH23" t="e">
        <f>AND('Planilla_General_07-12-2012_8_3'!H346,"AAAAAE9+//E=")</f>
        <v>#VALUE!</v>
      </c>
      <c r="II23" t="e">
        <f>AND('Planilla_General_07-12-2012_8_3'!I346,"AAAAAE9+//I=")</f>
        <v>#VALUE!</v>
      </c>
      <c r="IJ23" t="e">
        <f>AND('Planilla_General_07-12-2012_8_3'!J346,"AAAAAE9+//M=")</f>
        <v>#VALUE!</v>
      </c>
      <c r="IK23" t="e">
        <f>AND('Planilla_General_07-12-2012_8_3'!K346,"AAAAAE9+//Q=")</f>
        <v>#VALUE!</v>
      </c>
      <c r="IL23" t="e">
        <f>AND('Planilla_General_07-12-2012_8_3'!L346,"AAAAAE9+//U=")</f>
        <v>#VALUE!</v>
      </c>
      <c r="IM23" t="e">
        <f>AND('Planilla_General_07-12-2012_8_3'!M346,"AAAAAE9+//Y=")</f>
        <v>#VALUE!</v>
      </c>
      <c r="IN23" t="e">
        <f>AND('Planilla_General_07-12-2012_8_3'!N346,"AAAAAE9+//c=")</f>
        <v>#VALUE!</v>
      </c>
      <c r="IO23" t="e">
        <f>AND('Planilla_General_07-12-2012_8_3'!O346,"AAAAAE9+//g=")</f>
        <v>#VALUE!</v>
      </c>
      <c r="IP23" t="e">
        <f>AND('Planilla_General_07-12-2012_8_3'!P346,"AAAAAE9+//k=")</f>
        <v>#VALUE!</v>
      </c>
      <c r="IQ23">
        <f>IF('Planilla_General_07-12-2012_8_3'!347:347,"AAAAAE9+//o=",0)</f>
        <v>0</v>
      </c>
      <c r="IR23" t="e">
        <f>AND('Planilla_General_07-12-2012_8_3'!A347,"AAAAAE9+//s=")</f>
        <v>#VALUE!</v>
      </c>
      <c r="IS23" t="e">
        <f>AND('Planilla_General_07-12-2012_8_3'!B347,"AAAAAE9+//w=")</f>
        <v>#VALUE!</v>
      </c>
      <c r="IT23" t="e">
        <f>AND('Planilla_General_07-12-2012_8_3'!C347,"AAAAAE9+//0=")</f>
        <v>#VALUE!</v>
      </c>
      <c r="IU23" t="e">
        <f>AND('Planilla_General_07-12-2012_8_3'!D347,"AAAAAE9+//4=")</f>
        <v>#VALUE!</v>
      </c>
      <c r="IV23" t="e">
        <f>AND('Planilla_General_07-12-2012_8_3'!E347,"AAAAAE9+//8=")</f>
        <v>#VALUE!</v>
      </c>
    </row>
    <row r="24" spans="1:256" x14ac:dyDescent="0.25">
      <c r="A24" t="e">
        <f>AND('Planilla_General_07-12-2012_8_3'!F347,"AAAAAH/bPwA=")</f>
        <v>#VALUE!</v>
      </c>
      <c r="B24" t="e">
        <f>AND('Planilla_General_07-12-2012_8_3'!G347,"AAAAAH/bPwE=")</f>
        <v>#VALUE!</v>
      </c>
      <c r="C24" t="e">
        <f>AND('Planilla_General_07-12-2012_8_3'!H347,"AAAAAH/bPwI=")</f>
        <v>#VALUE!</v>
      </c>
      <c r="D24" t="e">
        <f>AND('Planilla_General_07-12-2012_8_3'!I347,"AAAAAH/bPwM=")</f>
        <v>#VALUE!</v>
      </c>
      <c r="E24" t="e">
        <f>AND('Planilla_General_07-12-2012_8_3'!J347,"AAAAAH/bPwQ=")</f>
        <v>#VALUE!</v>
      </c>
      <c r="F24" t="e">
        <f>AND('Planilla_General_07-12-2012_8_3'!K347,"AAAAAH/bPwU=")</f>
        <v>#VALUE!</v>
      </c>
      <c r="G24" t="e">
        <f>AND('Planilla_General_07-12-2012_8_3'!L347,"AAAAAH/bPwY=")</f>
        <v>#VALUE!</v>
      </c>
      <c r="H24" t="e">
        <f>AND('Planilla_General_07-12-2012_8_3'!M347,"AAAAAH/bPwc=")</f>
        <v>#VALUE!</v>
      </c>
      <c r="I24" t="e">
        <f>AND('Planilla_General_07-12-2012_8_3'!N347,"AAAAAH/bPwg=")</f>
        <v>#VALUE!</v>
      </c>
      <c r="J24" t="e">
        <f>AND('Planilla_General_07-12-2012_8_3'!O347,"AAAAAH/bPwk=")</f>
        <v>#VALUE!</v>
      </c>
      <c r="K24" t="e">
        <f>AND('Planilla_General_07-12-2012_8_3'!P347,"AAAAAH/bPwo=")</f>
        <v>#VALUE!</v>
      </c>
      <c r="L24" t="str">
        <f>IF('Planilla_General_07-12-2012_8_3'!348:348,"AAAAAH/bPws=",0)</f>
        <v>AAAAAH/bPws=</v>
      </c>
      <c r="M24" t="e">
        <f>AND('Planilla_General_07-12-2012_8_3'!A348,"AAAAAH/bPww=")</f>
        <v>#VALUE!</v>
      </c>
      <c r="N24" t="e">
        <f>AND('Planilla_General_07-12-2012_8_3'!B348,"AAAAAH/bPw0=")</f>
        <v>#VALUE!</v>
      </c>
      <c r="O24" t="e">
        <f>AND('Planilla_General_07-12-2012_8_3'!C348,"AAAAAH/bPw4=")</f>
        <v>#VALUE!</v>
      </c>
      <c r="P24" t="e">
        <f>AND('Planilla_General_07-12-2012_8_3'!D348,"AAAAAH/bPw8=")</f>
        <v>#VALUE!</v>
      </c>
      <c r="Q24" t="e">
        <f>AND('Planilla_General_07-12-2012_8_3'!E348,"AAAAAH/bPxA=")</f>
        <v>#VALUE!</v>
      </c>
      <c r="R24" t="e">
        <f>AND('Planilla_General_07-12-2012_8_3'!F348,"AAAAAH/bPxE=")</f>
        <v>#VALUE!</v>
      </c>
      <c r="S24" t="e">
        <f>AND('Planilla_General_07-12-2012_8_3'!G348,"AAAAAH/bPxI=")</f>
        <v>#VALUE!</v>
      </c>
      <c r="T24" t="e">
        <f>AND('Planilla_General_07-12-2012_8_3'!H348,"AAAAAH/bPxM=")</f>
        <v>#VALUE!</v>
      </c>
      <c r="U24" t="e">
        <f>AND('Planilla_General_07-12-2012_8_3'!I348,"AAAAAH/bPxQ=")</f>
        <v>#VALUE!</v>
      </c>
      <c r="V24" t="e">
        <f>AND('Planilla_General_07-12-2012_8_3'!J348,"AAAAAH/bPxU=")</f>
        <v>#VALUE!</v>
      </c>
      <c r="W24" t="e">
        <f>AND('Planilla_General_07-12-2012_8_3'!K348,"AAAAAH/bPxY=")</f>
        <v>#VALUE!</v>
      </c>
      <c r="X24" t="e">
        <f>AND('Planilla_General_07-12-2012_8_3'!L348,"AAAAAH/bPxc=")</f>
        <v>#VALUE!</v>
      </c>
      <c r="Y24" t="e">
        <f>AND('Planilla_General_07-12-2012_8_3'!M348,"AAAAAH/bPxg=")</f>
        <v>#VALUE!</v>
      </c>
      <c r="Z24" t="e">
        <f>AND('Planilla_General_07-12-2012_8_3'!N348,"AAAAAH/bPxk=")</f>
        <v>#VALUE!</v>
      </c>
      <c r="AA24" t="e">
        <f>AND('Planilla_General_07-12-2012_8_3'!O348,"AAAAAH/bPxo=")</f>
        <v>#VALUE!</v>
      </c>
      <c r="AB24" t="e">
        <f>AND('Planilla_General_07-12-2012_8_3'!P348,"AAAAAH/bPxs=")</f>
        <v>#VALUE!</v>
      </c>
      <c r="AC24">
        <f>IF('Planilla_General_07-12-2012_8_3'!349:349,"AAAAAH/bPxw=",0)</f>
        <v>0</v>
      </c>
      <c r="AD24" t="e">
        <f>AND('Planilla_General_07-12-2012_8_3'!A349,"AAAAAH/bPx0=")</f>
        <v>#VALUE!</v>
      </c>
      <c r="AE24" t="e">
        <f>AND('Planilla_General_07-12-2012_8_3'!B349,"AAAAAH/bPx4=")</f>
        <v>#VALUE!</v>
      </c>
      <c r="AF24" t="e">
        <f>AND('Planilla_General_07-12-2012_8_3'!C349,"AAAAAH/bPx8=")</f>
        <v>#VALUE!</v>
      </c>
      <c r="AG24" t="e">
        <f>AND('Planilla_General_07-12-2012_8_3'!D349,"AAAAAH/bPyA=")</f>
        <v>#VALUE!</v>
      </c>
      <c r="AH24" t="e">
        <f>AND('Planilla_General_07-12-2012_8_3'!E349,"AAAAAH/bPyE=")</f>
        <v>#VALUE!</v>
      </c>
      <c r="AI24" t="e">
        <f>AND('Planilla_General_07-12-2012_8_3'!F349,"AAAAAH/bPyI=")</f>
        <v>#VALUE!</v>
      </c>
      <c r="AJ24" t="e">
        <f>AND('Planilla_General_07-12-2012_8_3'!G349,"AAAAAH/bPyM=")</f>
        <v>#VALUE!</v>
      </c>
      <c r="AK24" t="e">
        <f>AND('Planilla_General_07-12-2012_8_3'!H349,"AAAAAH/bPyQ=")</f>
        <v>#VALUE!</v>
      </c>
      <c r="AL24" t="e">
        <f>AND('Planilla_General_07-12-2012_8_3'!I349,"AAAAAH/bPyU=")</f>
        <v>#VALUE!</v>
      </c>
      <c r="AM24" t="e">
        <f>AND('Planilla_General_07-12-2012_8_3'!J349,"AAAAAH/bPyY=")</f>
        <v>#VALUE!</v>
      </c>
      <c r="AN24" t="e">
        <f>AND('Planilla_General_07-12-2012_8_3'!K349,"AAAAAH/bPyc=")</f>
        <v>#VALUE!</v>
      </c>
      <c r="AO24" t="e">
        <f>AND('Planilla_General_07-12-2012_8_3'!L349,"AAAAAH/bPyg=")</f>
        <v>#VALUE!</v>
      </c>
      <c r="AP24" t="e">
        <f>AND('Planilla_General_07-12-2012_8_3'!M349,"AAAAAH/bPyk=")</f>
        <v>#VALUE!</v>
      </c>
      <c r="AQ24" t="e">
        <f>AND('Planilla_General_07-12-2012_8_3'!N349,"AAAAAH/bPyo=")</f>
        <v>#VALUE!</v>
      </c>
      <c r="AR24" t="e">
        <f>AND('Planilla_General_07-12-2012_8_3'!O349,"AAAAAH/bPys=")</f>
        <v>#VALUE!</v>
      </c>
      <c r="AS24" t="e">
        <f>AND('Planilla_General_07-12-2012_8_3'!P349,"AAAAAH/bPyw=")</f>
        <v>#VALUE!</v>
      </c>
      <c r="AT24">
        <f>IF('Planilla_General_07-12-2012_8_3'!350:350,"AAAAAH/bPy0=",0)</f>
        <v>0</v>
      </c>
      <c r="AU24" t="e">
        <f>AND('Planilla_General_07-12-2012_8_3'!A350,"AAAAAH/bPy4=")</f>
        <v>#VALUE!</v>
      </c>
      <c r="AV24" t="e">
        <f>AND('Planilla_General_07-12-2012_8_3'!B350,"AAAAAH/bPy8=")</f>
        <v>#VALUE!</v>
      </c>
      <c r="AW24" t="e">
        <f>AND('Planilla_General_07-12-2012_8_3'!C350,"AAAAAH/bPzA=")</f>
        <v>#VALUE!</v>
      </c>
      <c r="AX24" t="e">
        <f>AND('Planilla_General_07-12-2012_8_3'!D350,"AAAAAH/bPzE=")</f>
        <v>#VALUE!</v>
      </c>
      <c r="AY24" t="e">
        <f>AND('Planilla_General_07-12-2012_8_3'!E350,"AAAAAH/bPzI=")</f>
        <v>#VALUE!</v>
      </c>
      <c r="AZ24" t="e">
        <f>AND('Planilla_General_07-12-2012_8_3'!F350,"AAAAAH/bPzM=")</f>
        <v>#VALUE!</v>
      </c>
      <c r="BA24" t="e">
        <f>AND('Planilla_General_07-12-2012_8_3'!G350,"AAAAAH/bPzQ=")</f>
        <v>#VALUE!</v>
      </c>
      <c r="BB24" t="e">
        <f>AND('Planilla_General_07-12-2012_8_3'!H350,"AAAAAH/bPzU=")</f>
        <v>#VALUE!</v>
      </c>
      <c r="BC24" t="e">
        <f>AND('Planilla_General_07-12-2012_8_3'!I350,"AAAAAH/bPzY=")</f>
        <v>#VALUE!</v>
      </c>
      <c r="BD24" t="e">
        <f>AND('Planilla_General_07-12-2012_8_3'!J350,"AAAAAH/bPzc=")</f>
        <v>#VALUE!</v>
      </c>
      <c r="BE24" t="e">
        <f>AND('Planilla_General_07-12-2012_8_3'!K350,"AAAAAH/bPzg=")</f>
        <v>#VALUE!</v>
      </c>
      <c r="BF24" t="e">
        <f>AND('Planilla_General_07-12-2012_8_3'!L350,"AAAAAH/bPzk=")</f>
        <v>#VALUE!</v>
      </c>
      <c r="BG24" t="e">
        <f>AND('Planilla_General_07-12-2012_8_3'!M350,"AAAAAH/bPzo=")</f>
        <v>#VALUE!</v>
      </c>
      <c r="BH24" t="e">
        <f>AND('Planilla_General_07-12-2012_8_3'!N350,"AAAAAH/bPzs=")</f>
        <v>#VALUE!</v>
      </c>
      <c r="BI24" t="e">
        <f>AND('Planilla_General_07-12-2012_8_3'!O350,"AAAAAH/bPzw=")</f>
        <v>#VALUE!</v>
      </c>
      <c r="BJ24" t="e">
        <f>AND('Planilla_General_07-12-2012_8_3'!P350,"AAAAAH/bPz0=")</f>
        <v>#VALUE!</v>
      </c>
      <c r="BK24">
        <f>IF('Planilla_General_07-12-2012_8_3'!351:351,"AAAAAH/bPz4=",0)</f>
        <v>0</v>
      </c>
      <c r="BL24" t="e">
        <f>AND('Planilla_General_07-12-2012_8_3'!A351,"AAAAAH/bPz8=")</f>
        <v>#VALUE!</v>
      </c>
      <c r="BM24" t="e">
        <f>AND('Planilla_General_07-12-2012_8_3'!B351,"AAAAAH/bP0A=")</f>
        <v>#VALUE!</v>
      </c>
      <c r="BN24" t="e">
        <f>AND('Planilla_General_07-12-2012_8_3'!C351,"AAAAAH/bP0E=")</f>
        <v>#VALUE!</v>
      </c>
      <c r="BO24" t="e">
        <f>AND('Planilla_General_07-12-2012_8_3'!D351,"AAAAAH/bP0I=")</f>
        <v>#VALUE!</v>
      </c>
      <c r="BP24" t="e">
        <f>AND('Planilla_General_07-12-2012_8_3'!E351,"AAAAAH/bP0M=")</f>
        <v>#VALUE!</v>
      </c>
      <c r="BQ24" t="e">
        <f>AND('Planilla_General_07-12-2012_8_3'!F351,"AAAAAH/bP0Q=")</f>
        <v>#VALUE!</v>
      </c>
      <c r="BR24" t="e">
        <f>AND('Planilla_General_07-12-2012_8_3'!G351,"AAAAAH/bP0U=")</f>
        <v>#VALUE!</v>
      </c>
      <c r="BS24" t="e">
        <f>AND('Planilla_General_07-12-2012_8_3'!H351,"AAAAAH/bP0Y=")</f>
        <v>#VALUE!</v>
      </c>
      <c r="BT24" t="e">
        <f>AND('Planilla_General_07-12-2012_8_3'!I351,"AAAAAH/bP0c=")</f>
        <v>#VALUE!</v>
      </c>
      <c r="BU24" t="e">
        <f>AND('Planilla_General_07-12-2012_8_3'!J351,"AAAAAH/bP0g=")</f>
        <v>#VALUE!</v>
      </c>
      <c r="BV24" t="e">
        <f>AND('Planilla_General_07-12-2012_8_3'!K351,"AAAAAH/bP0k=")</f>
        <v>#VALUE!</v>
      </c>
      <c r="BW24" t="e">
        <f>AND('Planilla_General_07-12-2012_8_3'!L351,"AAAAAH/bP0o=")</f>
        <v>#VALUE!</v>
      </c>
      <c r="BX24" t="e">
        <f>AND('Planilla_General_07-12-2012_8_3'!M351,"AAAAAH/bP0s=")</f>
        <v>#VALUE!</v>
      </c>
      <c r="BY24" t="e">
        <f>AND('Planilla_General_07-12-2012_8_3'!N351,"AAAAAH/bP0w=")</f>
        <v>#VALUE!</v>
      </c>
      <c r="BZ24" t="e">
        <f>AND('Planilla_General_07-12-2012_8_3'!O351,"AAAAAH/bP00=")</f>
        <v>#VALUE!</v>
      </c>
      <c r="CA24" t="e">
        <f>AND('Planilla_General_07-12-2012_8_3'!P351,"AAAAAH/bP04=")</f>
        <v>#VALUE!</v>
      </c>
      <c r="CB24">
        <f>IF('Planilla_General_07-12-2012_8_3'!352:352,"AAAAAH/bP08=",0)</f>
        <v>0</v>
      </c>
      <c r="CC24" t="e">
        <f>AND('Planilla_General_07-12-2012_8_3'!A352,"AAAAAH/bP1A=")</f>
        <v>#VALUE!</v>
      </c>
      <c r="CD24" t="e">
        <f>AND('Planilla_General_07-12-2012_8_3'!B352,"AAAAAH/bP1E=")</f>
        <v>#VALUE!</v>
      </c>
      <c r="CE24" t="e">
        <f>AND('Planilla_General_07-12-2012_8_3'!C352,"AAAAAH/bP1I=")</f>
        <v>#VALUE!</v>
      </c>
      <c r="CF24" t="e">
        <f>AND('Planilla_General_07-12-2012_8_3'!D352,"AAAAAH/bP1M=")</f>
        <v>#VALUE!</v>
      </c>
      <c r="CG24" t="e">
        <f>AND('Planilla_General_07-12-2012_8_3'!E352,"AAAAAH/bP1Q=")</f>
        <v>#VALUE!</v>
      </c>
      <c r="CH24" t="e">
        <f>AND('Planilla_General_07-12-2012_8_3'!F352,"AAAAAH/bP1U=")</f>
        <v>#VALUE!</v>
      </c>
      <c r="CI24" t="e">
        <f>AND('Planilla_General_07-12-2012_8_3'!G352,"AAAAAH/bP1Y=")</f>
        <v>#VALUE!</v>
      </c>
      <c r="CJ24" t="e">
        <f>AND('Planilla_General_07-12-2012_8_3'!H352,"AAAAAH/bP1c=")</f>
        <v>#VALUE!</v>
      </c>
      <c r="CK24" t="e">
        <f>AND('Planilla_General_07-12-2012_8_3'!I352,"AAAAAH/bP1g=")</f>
        <v>#VALUE!</v>
      </c>
      <c r="CL24" t="e">
        <f>AND('Planilla_General_07-12-2012_8_3'!J352,"AAAAAH/bP1k=")</f>
        <v>#VALUE!</v>
      </c>
      <c r="CM24" t="e">
        <f>AND('Planilla_General_07-12-2012_8_3'!K352,"AAAAAH/bP1o=")</f>
        <v>#VALUE!</v>
      </c>
      <c r="CN24" t="e">
        <f>AND('Planilla_General_07-12-2012_8_3'!L352,"AAAAAH/bP1s=")</f>
        <v>#VALUE!</v>
      </c>
      <c r="CO24" t="e">
        <f>AND('Planilla_General_07-12-2012_8_3'!M352,"AAAAAH/bP1w=")</f>
        <v>#VALUE!</v>
      </c>
      <c r="CP24" t="e">
        <f>AND('Planilla_General_07-12-2012_8_3'!N352,"AAAAAH/bP10=")</f>
        <v>#VALUE!</v>
      </c>
      <c r="CQ24" t="e">
        <f>AND('Planilla_General_07-12-2012_8_3'!O352,"AAAAAH/bP14=")</f>
        <v>#VALUE!</v>
      </c>
      <c r="CR24" t="e">
        <f>AND('Planilla_General_07-12-2012_8_3'!P352,"AAAAAH/bP18=")</f>
        <v>#VALUE!</v>
      </c>
      <c r="CS24">
        <f>IF('Planilla_General_07-12-2012_8_3'!353:353,"AAAAAH/bP2A=",0)</f>
        <v>0</v>
      </c>
      <c r="CT24" t="e">
        <f>AND('Planilla_General_07-12-2012_8_3'!A353,"AAAAAH/bP2E=")</f>
        <v>#VALUE!</v>
      </c>
      <c r="CU24" t="e">
        <f>AND('Planilla_General_07-12-2012_8_3'!B353,"AAAAAH/bP2I=")</f>
        <v>#VALUE!</v>
      </c>
      <c r="CV24" t="e">
        <f>AND('Planilla_General_07-12-2012_8_3'!C353,"AAAAAH/bP2M=")</f>
        <v>#VALUE!</v>
      </c>
      <c r="CW24" t="e">
        <f>AND('Planilla_General_07-12-2012_8_3'!D353,"AAAAAH/bP2Q=")</f>
        <v>#VALUE!</v>
      </c>
      <c r="CX24" t="e">
        <f>AND('Planilla_General_07-12-2012_8_3'!E353,"AAAAAH/bP2U=")</f>
        <v>#VALUE!</v>
      </c>
      <c r="CY24" t="e">
        <f>AND('Planilla_General_07-12-2012_8_3'!F353,"AAAAAH/bP2Y=")</f>
        <v>#VALUE!</v>
      </c>
      <c r="CZ24" t="e">
        <f>AND('Planilla_General_07-12-2012_8_3'!G353,"AAAAAH/bP2c=")</f>
        <v>#VALUE!</v>
      </c>
      <c r="DA24" t="e">
        <f>AND('Planilla_General_07-12-2012_8_3'!H353,"AAAAAH/bP2g=")</f>
        <v>#VALUE!</v>
      </c>
      <c r="DB24" t="e">
        <f>AND('Planilla_General_07-12-2012_8_3'!I353,"AAAAAH/bP2k=")</f>
        <v>#VALUE!</v>
      </c>
      <c r="DC24" t="e">
        <f>AND('Planilla_General_07-12-2012_8_3'!J353,"AAAAAH/bP2o=")</f>
        <v>#VALUE!</v>
      </c>
      <c r="DD24" t="e">
        <f>AND('Planilla_General_07-12-2012_8_3'!K353,"AAAAAH/bP2s=")</f>
        <v>#VALUE!</v>
      </c>
      <c r="DE24" t="e">
        <f>AND('Planilla_General_07-12-2012_8_3'!L353,"AAAAAH/bP2w=")</f>
        <v>#VALUE!</v>
      </c>
      <c r="DF24" t="e">
        <f>AND('Planilla_General_07-12-2012_8_3'!M353,"AAAAAH/bP20=")</f>
        <v>#VALUE!</v>
      </c>
      <c r="DG24" t="e">
        <f>AND('Planilla_General_07-12-2012_8_3'!N353,"AAAAAH/bP24=")</f>
        <v>#VALUE!</v>
      </c>
      <c r="DH24" t="e">
        <f>AND('Planilla_General_07-12-2012_8_3'!O353,"AAAAAH/bP28=")</f>
        <v>#VALUE!</v>
      </c>
      <c r="DI24" t="e">
        <f>AND('Planilla_General_07-12-2012_8_3'!P353,"AAAAAH/bP3A=")</f>
        <v>#VALUE!</v>
      </c>
      <c r="DJ24">
        <f>IF('Planilla_General_07-12-2012_8_3'!354:354,"AAAAAH/bP3E=",0)</f>
        <v>0</v>
      </c>
      <c r="DK24" t="e">
        <f>AND('Planilla_General_07-12-2012_8_3'!A354,"AAAAAH/bP3I=")</f>
        <v>#VALUE!</v>
      </c>
      <c r="DL24" t="e">
        <f>AND('Planilla_General_07-12-2012_8_3'!B354,"AAAAAH/bP3M=")</f>
        <v>#VALUE!</v>
      </c>
      <c r="DM24" t="e">
        <f>AND('Planilla_General_07-12-2012_8_3'!C354,"AAAAAH/bP3Q=")</f>
        <v>#VALUE!</v>
      </c>
      <c r="DN24" t="e">
        <f>AND('Planilla_General_07-12-2012_8_3'!D354,"AAAAAH/bP3U=")</f>
        <v>#VALUE!</v>
      </c>
      <c r="DO24" t="e">
        <f>AND('Planilla_General_07-12-2012_8_3'!E354,"AAAAAH/bP3Y=")</f>
        <v>#VALUE!</v>
      </c>
      <c r="DP24" t="e">
        <f>AND('Planilla_General_07-12-2012_8_3'!F354,"AAAAAH/bP3c=")</f>
        <v>#VALUE!</v>
      </c>
      <c r="DQ24" t="e">
        <f>AND('Planilla_General_07-12-2012_8_3'!G354,"AAAAAH/bP3g=")</f>
        <v>#VALUE!</v>
      </c>
      <c r="DR24" t="e">
        <f>AND('Planilla_General_07-12-2012_8_3'!H354,"AAAAAH/bP3k=")</f>
        <v>#VALUE!</v>
      </c>
      <c r="DS24" t="e">
        <f>AND('Planilla_General_07-12-2012_8_3'!I354,"AAAAAH/bP3o=")</f>
        <v>#VALUE!</v>
      </c>
      <c r="DT24" t="e">
        <f>AND('Planilla_General_07-12-2012_8_3'!J354,"AAAAAH/bP3s=")</f>
        <v>#VALUE!</v>
      </c>
      <c r="DU24" t="e">
        <f>AND('Planilla_General_07-12-2012_8_3'!K354,"AAAAAH/bP3w=")</f>
        <v>#VALUE!</v>
      </c>
      <c r="DV24" t="e">
        <f>AND('Planilla_General_07-12-2012_8_3'!L354,"AAAAAH/bP30=")</f>
        <v>#VALUE!</v>
      </c>
      <c r="DW24" t="e">
        <f>AND('Planilla_General_07-12-2012_8_3'!M354,"AAAAAH/bP34=")</f>
        <v>#VALUE!</v>
      </c>
      <c r="DX24" t="e">
        <f>AND('Planilla_General_07-12-2012_8_3'!N354,"AAAAAH/bP38=")</f>
        <v>#VALUE!</v>
      </c>
      <c r="DY24" t="e">
        <f>AND('Planilla_General_07-12-2012_8_3'!O354,"AAAAAH/bP4A=")</f>
        <v>#VALUE!</v>
      </c>
      <c r="DZ24" t="e">
        <f>AND('Planilla_General_07-12-2012_8_3'!P354,"AAAAAH/bP4E=")</f>
        <v>#VALUE!</v>
      </c>
      <c r="EA24">
        <f>IF('Planilla_General_07-12-2012_8_3'!355:355,"AAAAAH/bP4I=",0)</f>
        <v>0</v>
      </c>
      <c r="EB24" t="e">
        <f>AND('Planilla_General_07-12-2012_8_3'!A355,"AAAAAH/bP4M=")</f>
        <v>#VALUE!</v>
      </c>
      <c r="EC24" t="e">
        <f>AND('Planilla_General_07-12-2012_8_3'!B355,"AAAAAH/bP4Q=")</f>
        <v>#VALUE!</v>
      </c>
      <c r="ED24" t="e">
        <f>AND('Planilla_General_07-12-2012_8_3'!C355,"AAAAAH/bP4U=")</f>
        <v>#VALUE!</v>
      </c>
      <c r="EE24" t="e">
        <f>AND('Planilla_General_07-12-2012_8_3'!D355,"AAAAAH/bP4Y=")</f>
        <v>#VALUE!</v>
      </c>
      <c r="EF24" t="e">
        <f>AND('Planilla_General_07-12-2012_8_3'!E355,"AAAAAH/bP4c=")</f>
        <v>#VALUE!</v>
      </c>
      <c r="EG24" t="e">
        <f>AND('Planilla_General_07-12-2012_8_3'!F355,"AAAAAH/bP4g=")</f>
        <v>#VALUE!</v>
      </c>
      <c r="EH24" t="e">
        <f>AND('Planilla_General_07-12-2012_8_3'!G355,"AAAAAH/bP4k=")</f>
        <v>#VALUE!</v>
      </c>
      <c r="EI24" t="e">
        <f>AND('Planilla_General_07-12-2012_8_3'!H355,"AAAAAH/bP4o=")</f>
        <v>#VALUE!</v>
      </c>
      <c r="EJ24" t="e">
        <f>AND('Planilla_General_07-12-2012_8_3'!I355,"AAAAAH/bP4s=")</f>
        <v>#VALUE!</v>
      </c>
      <c r="EK24" t="e">
        <f>AND('Planilla_General_07-12-2012_8_3'!J355,"AAAAAH/bP4w=")</f>
        <v>#VALUE!</v>
      </c>
      <c r="EL24" t="e">
        <f>AND('Planilla_General_07-12-2012_8_3'!K355,"AAAAAH/bP40=")</f>
        <v>#VALUE!</v>
      </c>
      <c r="EM24" t="e">
        <f>AND('Planilla_General_07-12-2012_8_3'!L355,"AAAAAH/bP44=")</f>
        <v>#VALUE!</v>
      </c>
      <c r="EN24" t="e">
        <f>AND('Planilla_General_07-12-2012_8_3'!M355,"AAAAAH/bP48=")</f>
        <v>#VALUE!</v>
      </c>
      <c r="EO24" t="e">
        <f>AND('Planilla_General_07-12-2012_8_3'!N355,"AAAAAH/bP5A=")</f>
        <v>#VALUE!</v>
      </c>
      <c r="EP24" t="e">
        <f>AND('Planilla_General_07-12-2012_8_3'!O355,"AAAAAH/bP5E=")</f>
        <v>#VALUE!</v>
      </c>
      <c r="EQ24" t="e">
        <f>AND('Planilla_General_07-12-2012_8_3'!P355,"AAAAAH/bP5I=")</f>
        <v>#VALUE!</v>
      </c>
      <c r="ER24">
        <f>IF('Planilla_General_07-12-2012_8_3'!356:356,"AAAAAH/bP5M=",0)</f>
        <v>0</v>
      </c>
      <c r="ES24" t="e">
        <f>AND('Planilla_General_07-12-2012_8_3'!A356,"AAAAAH/bP5Q=")</f>
        <v>#VALUE!</v>
      </c>
      <c r="ET24" t="e">
        <f>AND('Planilla_General_07-12-2012_8_3'!B356,"AAAAAH/bP5U=")</f>
        <v>#VALUE!</v>
      </c>
      <c r="EU24" t="e">
        <f>AND('Planilla_General_07-12-2012_8_3'!C356,"AAAAAH/bP5Y=")</f>
        <v>#VALUE!</v>
      </c>
      <c r="EV24" t="e">
        <f>AND('Planilla_General_07-12-2012_8_3'!D356,"AAAAAH/bP5c=")</f>
        <v>#VALUE!</v>
      </c>
      <c r="EW24" t="e">
        <f>AND('Planilla_General_07-12-2012_8_3'!E356,"AAAAAH/bP5g=")</f>
        <v>#VALUE!</v>
      </c>
      <c r="EX24" t="e">
        <f>AND('Planilla_General_07-12-2012_8_3'!F356,"AAAAAH/bP5k=")</f>
        <v>#VALUE!</v>
      </c>
      <c r="EY24" t="e">
        <f>AND('Planilla_General_07-12-2012_8_3'!G356,"AAAAAH/bP5o=")</f>
        <v>#VALUE!</v>
      </c>
      <c r="EZ24" t="e">
        <f>AND('Planilla_General_07-12-2012_8_3'!H356,"AAAAAH/bP5s=")</f>
        <v>#VALUE!</v>
      </c>
      <c r="FA24" t="e">
        <f>AND('Planilla_General_07-12-2012_8_3'!I356,"AAAAAH/bP5w=")</f>
        <v>#VALUE!</v>
      </c>
      <c r="FB24" t="e">
        <f>AND('Planilla_General_07-12-2012_8_3'!J356,"AAAAAH/bP50=")</f>
        <v>#VALUE!</v>
      </c>
      <c r="FC24" t="e">
        <f>AND('Planilla_General_07-12-2012_8_3'!K356,"AAAAAH/bP54=")</f>
        <v>#VALUE!</v>
      </c>
      <c r="FD24" t="e">
        <f>AND('Planilla_General_07-12-2012_8_3'!L356,"AAAAAH/bP58=")</f>
        <v>#VALUE!</v>
      </c>
      <c r="FE24" t="e">
        <f>AND('Planilla_General_07-12-2012_8_3'!M356,"AAAAAH/bP6A=")</f>
        <v>#VALUE!</v>
      </c>
      <c r="FF24" t="e">
        <f>AND('Planilla_General_07-12-2012_8_3'!N356,"AAAAAH/bP6E=")</f>
        <v>#VALUE!</v>
      </c>
      <c r="FG24" t="e">
        <f>AND('Planilla_General_07-12-2012_8_3'!O356,"AAAAAH/bP6I=")</f>
        <v>#VALUE!</v>
      </c>
      <c r="FH24" t="e">
        <f>AND('Planilla_General_07-12-2012_8_3'!P356,"AAAAAH/bP6M=")</f>
        <v>#VALUE!</v>
      </c>
      <c r="FI24">
        <f>IF('Planilla_General_07-12-2012_8_3'!357:357,"AAAAAH/bP6Q=",0)</f>
        <v>0</v>
      </c>
      <c r="FJ24" t="e">
        <f>AND('Planilla_General_07-12-2012_8_3'!A357,"AAAAAH/bP6U=")</f>
        <v>#VALUE!</v>
      </c>
      <c r="FK24" t="e">
        <f>AND('Planilla_General_07-12-2012_8_3'!B357,"AAAAAH/bP6Y=")</f>
        <v>#VALUE!</v>
      </c>
      <c r="FL24" t="e">
        <f>AND('Planilla_General_07-12-2012_8_3'!C357,"AAAAAH/bP6c=")</f>
        <v>#VALUE!</v>
      </c>
      <c r="FM24" t="e">
        <f>AND('Planilla_General_07-12-2012_8_3'!D357,"AAAAAH/bP6g=")</f>
        <v>#VALUE!</v>
      </c>
      <c r="FN24" t="e">
        <f>AND('Planilla_General_07-12-2012_8_3'!E357,"AAAAAH/bP6k=")</f>
        <v>#VALUE!</v>
      </c>
      <c r="FO24" t="e">
        <f>AND('Planilla_General_07-12-2012_8_3'!F357,"AAAAAH/bP6o=")</f>
        <v>#VALUE!</v>
      </c>
      <c r="FP24" t="e">
        <f>AND('Planilla_General_07-12-2012_8_3'!G357,"AAAAAH/bP6s=")</f>
        <v>#VALUE!</v>
      </c>
      <c r="FQ24" t="e">
        <f>AND('Planilla_General_07-12-2012_8_3'!H357,"AAAAAH/bP6w=")</f>
        <v>#VALUE!</v>
      </c>
      <c r="FR24" t="e">
        <f>AND('Planilla_General_07-12-2012_8_3'!I357,"AAAAAH/bP60=")</f>
        <v>#VALUE!</v>
      </c>
      <c r="FS24" t="e">
        <f>AND('Planilla_General_07-12-2012_8_3'!J357,"AAAAAH/bP64=")</f>
        <v>#VALUE!</v>
      </c>
      <c r="FT24" t="e">
        <f>AND('Planilla_General_07-12-2012_8_3'!K357,"AAAAAH/bP68=")</f>
        <v>#VALUE!</v>
      </c>
      <c r="FU24" t="e">
        <f>AND('Planilla_General_07-12-2012_8_3'!L357,"AAAAAH/bP7A=")</f>
        <v>#VALUE!</v>
      </c>
      <c r="FV24" t="e">
        <f>AND('Planilla_General_07-12-2012_8_3'!M357,"AAAAAH/bP7E=")</f>
        <v>#VALUE!</v>
      </c>
      <c r="FW24" t="e">
        <f>AND('Planilla_General_07-12-2012_8_3'!N357,"AAAAAH/bP7I=")</f>
        <v>#VALUE!</v>
      </c>
      <c r="FX24" t="e">
        <f>AND('Planilla_General_07-12-2012_8_3'!O357,"AAAAAH/bP7M=")</f>
        <v>#VALUE!</v>
      </c>
      <c r="FY24" t="e">
        <f>AND('Planilla_General_07-12-2012_8_3'!P357,"AAAAAH/bP7Q=")</f>
        <v>#VALUE!</v>
      </c>
      <c r="FZ24">
        <f>IF('Planilla_General_07-12-2012_8_3'!358:358,"AAAAAH/bP7U=",0)</f>
        <v>0</v>
      </c>
      <c r="GA24" t="e">
        <f>AND('Planilla_General_07-12-2012_8_3'!A358,"AAAAAH/bP7Y=")</f>
        <v>#VALUE!</v>
      </c>
      <c r="GB24" t="e">
        <f>AND('Planilla_General_07-12-2012_8_3'!B358,"AAAAAH/bP7c=")</f>
        <v>#VALUE!</v>
      </c>
      <c r="GC24" t="e">
        <f>AND('Planilla_General_07-12-2012_8_3'!C358,"AAAAAH/bP7g=")</f>
        <v>#VALUE!</v>
      </c>
      <c r="GD24" t="e">
        <f>AND('Planilla_General_07-12-2012_8_3'!D358,"AAAAAH/bP7k=")</f>
        <v>#VALUE!</v>
      </c>
      <c r="GE24" t="e">
        <f>AND('Planilla_General_07-12-2012_8_3'!E358,"AAAAAH/bP7o=")</f>
        <v>#VALUE!</v>
      </c>
      <c r="GF24" t="e">
        <f>AND('Planilla_General_07-12-2012_8_3'!F358,"AAAAAH/bP7s=")</f>
        <v>#VALUE!</v>
      </c>
      <c r="GG24" t="e">
        <f>AND('Planilla_General_07-12-2012_8_3'!G358,"AAAAAH/bP7w=")</f>
        <v>#VALUE!</v>
      </c>
      <c r="GH24" t="e">
        <f>AND('Planilla_General_07-12-2012_8_3'!H358,"AAAAAH/bP70=")</f>
        <v>#VALUE!</v>
      </c>
      <c r="GI24" t="e">
        <f>AND('Planilla_General_07-12-2012_8_3'!I358,"AAAAAH/bP74=")</f>
        <v>#VALUE!</v>
      </c>
      <c r="GJ24" t="e">
        <f>AND('Planilla_General_07-12-2012_8_3'!J358,"AAAAAH/bP78=")</f>
        <v>#VALUE!</v>
      </c>
      <c r="GK24" t="e">
        <f>AND('Planilla_General_07-12-2012_8_3'!K358,"AAAAAH/bP8A=")</f>
        <v>#VALUE!</v>
      </c>
      <c r="GL24" t="e">
        <f>AND('Planilla_General_07-12-2012_8_3'!L358,"AAAAAH/bP8E=")</f>
        <v>#VALUE!</v>
      </c>
      <c r="GM24" t="e">
        <f>AND('Planilla_General_07-12-2012_8_3'!M358,"AAAAAH/bP8I=")</f>
        <v>#VALUE!</v>
      </c>
      <c r="GN24" t="e">
        <f>AND('Planilla_General_07-12-2012_8_3'!N358,"AAAAAH/bP8M=")</f>
        <v>#VALUE!</v>
      </c>
      <c r="GO24" t="e">
        <f>AND('Planilla_General_07-12-2012_8_3'!O358,"AAAAAH/bP8Q=")</f>
        <v>#VALUE!</v>
      </c>
      <c r="GP24" t="e">
        <f>AND('Planilla_General_07-12-2012_8_3'!P358,"AAAAAH/bP8U=")</f>
        <v>#VALUE!</v>
      </c>
      <c r="GQ24">
        <f>IF('Planilla_General_07-12-2012_8_3'!359:359,"AAAAAH/bP8Y=",0)</f>
        <v>0</v>
      </c>
      <c r="GR24" t="e">
        <f>AND('Planilla_General_07-12-2012_8_3'!A359,"AAAAAH/bP8c=")</f>
        <v>#VALUE!</v>
      </c>
      <c r="GS24" t="e">
        <f>AND('Planilla_General_07-12-2012_8_3'!B359,"AAAAAH/bP8g=")</f>
        <v>#VALUE!</v>
      </c>
      <c r="GT24" t="e">
        <f>AND('Planilla_General_07-12-2012_8_3'!C359,"AAAAAH/bP8k=")</f>
        <v>#VALUE!</v>
      </c>
      <c r="GU24" t="e">
        <f>AND('Planilla_General_07-12-2012_8_3'!D359,"AAAAAH/bP8o=")</f>
        <v>#VALUE!</v>
      </c>
      <c r="GV24" t="e">
        <f>AND('Planilla_General_07-12-2012_8_3'!E359,"AAAAAH/bP8s=")</f>
        <v>#VALUE!</v>
      </c>
      <c r="GW24" t="e">
        <f>AND('Planilla_General_07-12-2012_8_3'!F359,"AAAAAH/bP8w=")</f>
        <v>#VALUE!</v>
      </c>
      <c r="GX24" t="e">
        <f>AND('Planilla_General_07-12-2012_8_3'!G359,"AAAAAH/bP80=")</f>
        <v>#VALUE!</v>
      </c>
      <c r="GY24" t="e">
        <f>AND('Planilla_General_07-12-2012_8_3'!H359,"AAAAAH/bP84=")</f>
        <v>#VALUE!</v>
      </c>
      <c r="GZ24" t="e">
        <f>AND('Planilla_General_07-12-2012_8_3'!I359,"AAAAAH/bP88=")</f>
        <v>#VALUE!</v>
      </c>
      <c r="HA24" t="e">
        <f>AND('Planilla_General_07-12-2012_8_3'!J359,"AAAAAH/bP9A=")</f>
        <v>#VALUE!</v>
      </c>
      <c r="HB24" t="e">
        <f>AND('Planilla_General_07-12-2012_8_3'!K359,"AAAAAH/bP9E=")</f>
        <v>#VALUE!</v>
      </c>
      <c r="HC24" t="e">
        <f>AND('Planilla_General_07-12-2012_8_3'!L359,"AAAAAH/bP9I=")</f>
        <v>#VALUE!</v>
      </c>
      <c r="HD24" t="e">
        <f>AND('Planilla_General_07-12-2012_8_3'!M359,"AAAAAH/bP9M=")</f>
        <v>#VALUE!</v>
      </c>
      <c r="HE24" t="e">
        <f>AND('Planilla_General_07-12-2012_8_3'!N359,"AAAAAH/bP9Q=")</f>
        <v>#VALUE!</v>
      </c>
      <c r="HF24" t="e">
        <f>AND('Planilla_General_07-12-2012_8_3'!O359,"AAAAAH/bP9U=")</f>
        <v>#VALUE!</v>
      </c>
      <c r="HG24" t="e">
        <f>AND('Planilla_General_07-12-2012_8_3'!P359,"AAAAAH/bP9Y=")</f>
        <v>#VALUE!</v>
      </c>
      <c r="HH24">
        <f>IF('Planilla_General_07-12-2012_8_3'!360:360,"AAAAAH/bP9c=",0)</f>
        <v>0</v>
      </c>
      <c r="HI24" t="e">
        <f>AND('Planilla_General_07-12-2012_8_3'!A360,"AAAAAH/bP9g=")</f>
        <v>#VALUE!</v>
      </c>
      <c r="HJ24" t="e">
        <f>AND('Planilla_General_07-12-2012_8_3'!B360,"AAAAAH/bP9k=")</f>
        <v>#VALUE!</v>
      </c>
      <c r="HK24" t="e">
        <f>AND('Planilla_General_07-12-2012_8_3'!C360,"AAAAAH/bP9o=")</f>
        <v>#VALUE!</v>
      </c>
      <c r="HL24" t="e">
        <f>AND('Planilla_General_07-12-2012_8_3'!D360,"AAAAAH/bP9s=")</f>
        <v>#VALUE!</v>
      </c>
      <c r="HM24" t="e">
        <f>AND('Planilla_General_07-12-2012_8_3'!E360,"AAAAAH/bP9w=")</f>
        <v>#VALUE!</v>
      </c>
      <c r="HN24" t="e">
        <f>AND('Planilla_General_07-12-2012_8_3'!F360,"AAAAAH/bP90=")</f>
        <v>#VALUE!</v>
      </c>
      <c r="HO24" t="e">
        <f>AND('Planilla_General_07-12-2012_8_3'!G360,"AAAAAH/bP94=")</f>
        <v>#VALUE!</v>
      </c>
      <c r="HP24" t="e">
        <f>AND('Planilla_General_07-12-2012_8_3'!H360,"AAAAAH/bP98=")</f>
        <v>#VALUE!</v>
      </c>
      <c r="HQ24" t="e">
        <f>AND('Planilla_General_07-12-2012_8_3'!I360,"AAAAAH/bP+A=")</f>
        <v>#VALUE!</v>
      </c>
      <c r="HR24" t="e">
        <f>AND('Planilla_General_07-12-2012_8_3'!J360,"AAAAAH/bP+E=")</f>
        <v>#VALUE!</v>
      </c>
      <c r="HS24" t="e">
        <f>AND('Planilla_General_07-12-2012_8_3'!K360,"AAAAAH/bP+I=")</f>
        <v>#VALUE!</v>
      </c>
      <c r="HT24" t="e">
        <f>AND('Planilla_General_07-12-2012_8_3'!L360,"AAAAAH/bP+M=")</f>
        <v>#VALUE!</v>
      </c>
      <c r="HU24" t="e">
        <f>AND('Planilla_General_07-12-2012_8_3'!M360,"AAAAAH/bP+Q=")</f>
        <v>#VALUE!</v>
      </c>
      <c r="HV24" t="e">
        <f>AND('Planilla_General_07-12-2012_8_3'!N360,"AAAAAH/bP+U=")</f>
        <v>#VALUE!</v>
      </c>
      <c r="HW24" t="e">
        <f>AND('Planilla_General_07-12-2012_8_3'!O360,"AAAAAH/bP+Y=")</f>
        <v>#VALUE!</v>
      </c>
      <c r="HX24" t="e">
        <f>AND('Planilla_General_07-12-2012_8_3'!P360,"AAAAAH/bP+c=")</f>
        <v>#VALUE!</v>
      </c>
      <c r="HY24">
        <f>IF('Planilla_General_07-12-2012_8_3'!361:361,"AAAAAH/bP+g=",0)</f>
        <v>0</v>
      </c>
      <c r="HZ24" t="e">
        <f>AND('Planilla_General_07-12-2012_8_3'!A361,"AAAAAH/bP+k=")</f>
        <v>#VALUE!</v>
      </c>
      <c r="IA24" t="e">
        <f>AND('Planilla_General_07-12-2012_8_3'!B361,"AAAAAH/bP+o=")</f>
        <v>#VALUE!</v>
      </c>
      <c r="IB24" t="e">
        <f>AND('Planilla_General_07-12-2012_8_3'!C361,"AAAAAH/bP+s=")</f>
        <v>#VALUE!</v>
      </c>
      <c r="IC24" t="e">
        <f>AND('Planilla_General_07-12-2012_8_3'!D361,"AAAAAH/bP+w=")</f>
        <v>#VALUE!</v>
      </c>
      <c r="ID24" t="e">
        <f>AND('Planilla_General_07-12-2012_8_3'!E361,"AAAAAH/bP+0=")</f>
        <v>#VALUE!</v>
      </c>
      <c r="IE24" t="e">
        <f>AND('Planilla_General_07-12-2012_8_3'!F361,"AAAAAH/bP+4=")</f>
        <v>#VALUE!</v>
      </c>
      <c r="IF24" t="e">
        <f>AND('Planilla_General_07-12-2012_8_3'!G361,"AAAAAH/bP+8=")</f>
        <v>#VALUE!</v>
      </c>
      <c r="IG24" t="e">
        <f>AND('Planilla_General_07-12-2012_8_3'!H361,"AAAAAH/bP/A=")</f>
        <v>#VALUE!</v>
      </c>
      <c r="IH24" t="e">
        <f>AND('Planilla_General_07-12-2012_8_3'!I361,"AAAAAH/bP/E=")</f>
        <v>#VALUE!</v>
      </c>
      <c r="II24" t="e">
        <f>AND('Planilla_General_07-12-2012_8_3'!J361,"AAAAAH/bP/I=")</f>
        <v>#VALUE!</v>
      </c>
      <c r="IJ24" t="e">
        <f>AND('Planilla_General_07-12-2012_8_3'!K361,"AAAAAH/bP/M=")</f>
        <v>#VALUE!</v>
      </c>
      <c r="IK24" t="e">
        <f>AND('Planilla_General_07-12-2012_8_3'!L361,"AAAAAH/bP/Q=")</f>
        <v>#VALUE!</v>
      </c>
      <c r="IL24" t="e">
        <f>AND('Planilla_General_07-12-2012_8_3'!M361,"AAAAAH/bP/U=")</f>
        <v>#VALUE!</v>
      </c>
      <c r="IM24" t="e">
        <f>AND('Planilla_General_07-12-2012_8_3'!N361,"AAAAAH/bP/Y=")</f>
        <v>#VALUE!</v>
      </c>
      <c r="IN24" t="e">
        <f>AND('Planilla_General_07-12-2012_8_3'!O361,"AAAAAH/bP/c=")</f>
        <v>#VALUE!</v>
      </c>
      <c r="IO24" t="e">
        <f>AND('Planilla_General_07-12-2012_8_3'!P361,"AAAAAH/bP/g=")</f>
        <v>#VALUE!</v>
      </c>
      <c r="IP24">
        <f>IF('Planilla_General_07-12-2012_8_3'!362:362,"AAAAAH/bP/k=",0)</f>
        <v>0</v>
      </c>
      <c r="IQ24" t="e">
        <f>AND('Planilla_General_07-12-2012_8_3'!A362,"AAAAAH/bP/o=")</f>
        <v>#VALUE!</v>
      </c>
      <c r="IR24" t="e">
        <f>AND('Planilla_General_07-12-2012_8_3'!B362,"AAAAAH/bP/s=")</f>
        <v>#VALUE!</v>
      </c>
      <c r="IS24" t="e">
        <f>AND('Planilla_General_07-12-2012_8_3'!C362,"AAAAAH/bP/w=")</f>
        <v>#VALUE!</v>
      </c>
      <c r="IT24" t="e">
        <f>AND('Planilla_General_07-12-2012_8_3'!D362,"AAAAAH/bP/0=")</f>
        <v>#VALUE!</v>
      </c>
      <c r="IU24" t="e">
        <f>AND('Planilla_General_07-12-2012_8_3'!E362,"AAAAAH/bP/4=")</f>
        <v>#VALUE!</v>
      </c>
      <c r="IV24" t="e">
        <f>AND('Planilla_General_07-12-2012_8_3'!F362,"AAAAAH/bP/8=")</f>
        <v>#VALUE!</v>
      </c>
    </row>
    <row r="25" spans="1:256" x14ac:dyDescent="0.25">
      <c r="A25" t="e">
        <f>AND('Planilla_General_07-12-2012_8_3'!G362,"AAAAAH/v7QA=")</f>
        <v>#VALUE!</v>
      </c>
      <c r="B25" t="e">
        <f>AND('Planilla_General_07-12-2012_8_3'!H362,"AAAAAH/v7QE=")</f>
        <v>#VALUE!</v>
      </c>
      <c r="C25" t="e">
        <f>AND('Planilla_General_07-12-2012_8_3'!I362,"AAAAAH/v7QI=")</f>
        <v>#VALUE!</v>
      </c>
      <c r="D25" t="e">
        <f>AND('Planilla_General_07-12-2012_8_3'!J362,"AAAAAH/v7QM=")</f>
        <v>#VALUE!</v>
      </c>
      <c r="E25" t="e">
        <f>AND('Planilla_General_07-12-2012_8_3'!K362,"AAAAAH/v7QQ=")</f>
        <v>#VALUE!</v>
      </c>
      <c r="F25" t="e">
        <f>AND('Planilla_General_07-12-2012_8_3'!L362,"AAAAAH/v7QU=")</f>
        <v>#VALUE!</v>
      </c>
      <c r="G25" t="e">
        <f>AND('Planilla_General_07-12-2012_8_3'!M362,"AAAAAH/v7QY=")</f>
        <v>#VALUE!</v>
      </c>
      <c r="H25" t="e">
        <f>AND('Planilla_General_07-12-2012_8_3'!N362,"AAAAAH/v7Qc=")</f>
        <v>#VALUE!</v>
      </c>
      <c r="I25" t="e">
        <f>AND('Planilla_General_07-12-2012_8_3'!O362,"AAAAAH/v7Qg=")</f>
        <v>#VALUE!</v>
      </c>
      <c r="J25" t="e">
        <f>AND('Planilla_General_07-12-2012_8_3'!P362,"AAAAAH/v7Qk=")</f>
        <v>#VALUE!</v>
      </c>
      <c r="K25" t="str">
        <f>IF('Planilla_General_07-12-2012_8_3'!363:363,"AAAAAH/v7Qo=",0)</f>
        <v>AAAAAH/v7Qo=</v>
      </c>
      <c r="L25" t="e">
        <f>AND('Planilla_General_07-12-2012_8_3'!A363,"AAAAAH/v7Qs=")</f>
        <v>#VALUE!</v>
      </c>
      <c r="M25" t="e">
        <f>AND('Planilla_General_07-12-2012_8_3'!B363,"AAAAAH/v7Qw=")</f>
        <v>#VALUE!</v>
      </c>
      <c r="N25" t="e">
        <f>AND('Planilla_General_07-12-2012_8_3'!C363,"AAAAAH/v7Q0=")</f>
        <v>#VALUE!</v>
      </c>
      <c r="O25" t="e">
        <f>AND('Planilla_General_07-12-2012_8_3'!D363,"AAAAAH/v7Q4=")</f>
        <v>#VALUE!</v>
      </c>
      <c r="P25" t="e">
        <f>AND('Planilla_General_07-12-2012_8_3'!E363,"AAAAAH/v7Q8=")</f>
        <v>#VALUE!</v>
      </c>
      <c r="Q25" t="e">
        <f>AND('Planilla_General_07-12-2012_8_3'!F363,"AAAAAH/v7RA=")</f>
        <v>#VALUE!</v>
      </c>
      <c r="R25" t="e">
        <f>AND('Planilla_General_07-12-2012_8_3'!G363,"AAAAAH/v7RE=")</f>
        <v>#VALUE!</v>
      </c>
      <c r="S25" t="e">
        <f>AND('Planilla_General_07-12-2012_8_3'!H363,"AAAAAH/v7RI=")</f>
        <v>#VALUE!</v>
      </c>
      <c r="T25" t="e">
        <f>AND('Planilla_General_07-12-2012_8_3'!I363,"AAAAAH/v7RM=")</f>
        <v>#VALUE!</v>
      </c>
      <c r="U25" t="e">
        <f>AND('Planilla_General_07-12-2012_8_3'!J363,"AAAAAH/v7RQ=")</f>
        <v>#VALUE!</v>
      </c>
      <c r="V25" t="e">
        <f>AND('Planilla_General_07-12-2012_8_3'!K363,"AAAAAH/v7RU=")</f>
        <v>#VALUE!</v>
      </c>
      <c r="W25" t="e">
        <f>AND('Planilla_General_07-12-2012_8_3'!L363,"AAAAAH/v7RY=")</f>
        <v>#VALUE!</v>
      </c>
      <c r="X25" t="e">
        <f>AND('Planilla_General_07-12-2012_8_3'!M363,"AAAAAH/v7Rc=")</f>
        <v>#VALUE!</v>
      </c>
      <c r="Y25" t="e">
        <f>AND('Planilla_General_07-12-2012_8_3'!N363,"AAAAAH/v7Rg=")</f>
        <v>#VALUE!</v>
      </c>
      <c r="Z25" t="e">
        <f>AND('Planilla_General_07-12-2012_8_3'!O363,"AAAAAH/v7Rk=")</f>
        <v>#VALUE!</v>
      </c>
      <c r="AA25" t="e">
        <f>AND('Planilla_General_07-12-2012_8_3'!P363,"AAAAAH/v7Ro=")</f>
        <v>#VALUE!</v>
      </c>
      <c r="AB25">
        <f>IF('Planilla_General_07-12-2012_8_3'!364:364,"AAAAAH/v7Rs=",0)</f>
        <v>0</v>
      </c>
      <c r="AC25" t="e">
        <f>AND('Planilla_General_07-12-2012_8_3'!A364,"AAAAAH/v7Rw=")</f>
        <v>#VALUE!</v>
      </c>
      <c r="AD25" t="e">
        <f>AND('Planilla_General_07-12-2012_8_3'!B364,"AAAAAH/v7R0=")</f>
        <v>#VALUE!</v>
      </c>
      <c r="AE25" t="e">
        <f>AND('Planilla_General_07-12-2012_8_3'!C364,"AAAAAH/v7R4=")</f>
        <v>#VALUE!</v>
      </c>
      <c r="AF25" t="e">
        <f>AND('Planilla_General_07-12-2012_8_3'!D364,"AAAAAH/v7R8=")</f>
        <v>#VALUE!</v>
      </c>
      <c r="AG25" t="e">
        <f>AND('Planilla_General_07-12-2012_8_3'!E364,"AAAAAH/v7SA=")</f>
        <v>#VALUE!</v>
      </c>
      <c r="AH25" t="e">
        <f>AND('Planilla_General_07-12-2012_8_3'!F364,"AAAAAH/v7SE=")</f>
        <v>#VALUE!</v>
      </c>
      <c r="AI25" t="e">
        <f>AND('Planilla_General_07-12-2012_8_3'!G364,"AAAAAH/v7SI=")</f>
        <v>#VALUE!</v>
      </c>
      <c r="AJ25" t="e">
        <f>AND('Planilla_General_07-12-2012_8_3'!H364,"AAAAAH/v7SM=")</f>
        <v>#VALUE!</v>
      </c>
      <c r="AK25" t="e">
        <f>AND('Planilla_General_07-12-2012_8_3'!I364,"AAAAAH/v7SQ=")</f>
        <v>#VALUE!</v>
      </c>
      <c r="AL25" t="e">
        <f>AND('Planilla_General_07-12-2012_8_3'!J364,"AAAAAH/v7SU=")</f>
        <v>#VALUE!</v>
      </c>
      <c r="AM25" t="e">
        <f>AND('Planilla_General_07-12-2012_8_3'!K364,"AAAAAH/v7SY=")</f>
        <v>#VALUE!</v>
      </c>
      <c r="AN25" t="e">
        <f>AND('Planilla_General_07-12-2012_8_3'!L364,"AAAAAH/v7Sc=")</f>
        <v>#VALUE!</v>
      </c>
      <c r="AO25" t="e">
        <f>AND('Planilla_General_07-12-2012_8_3'!M364,"AAAAAH/v7Sg=")</f>
        <v>#VALUE!</v>
      </c>
      <c r="AP25" t="e">
        <f>AND('Planilla_General_07-12-2012_8_3'!N364,"AAAAAH/v7Sk=")</f>
        <v>#VALUE!</v>
      </c>
      <c r="AQ25" t="e">
        <f>AND('Planilla_General_07-12-2012_8_3'!O364,"AAAAAH/v7So=")</f>
        <v>#VALUE!</v>
      </c>
      <c r="AR25" t="e">
        <f>AND('Planilla_General_07-12-2012_8_3'!P364,"AAAAAH/v7Ss=")</f>
        <v>#VALUE!</v>
      </c>
      <c r="AS25">
        <f>IF('Planilla_General_07-12-2012_8_3'!365:365,"AAAAAH/v7Sw=",0)</f>
        <v>0</v>
      </c>
      <c r="AT25" t="e">
        <f>AND('Planilla_General_07-12-2012_8_3'!A365,"AAAAAH/v7S0=")</f>
        <v>#VALUE!</v>
      </c>
      <c r="AU25" t="e">
        <f>AND('Planilla_General_07-12-2012_8_3'!B365,"AAAAAH/v7S4=")</f>
        <v>#VALUE!</v>
      </c>
      <c r="AV25" t="e">
        <f>AND('Planilla_General_07-12-2012_8_3'!C365,"AAAAAH/v7S8=")</f>
        <v>#VALUE!</v>
      </c>
      <c r="AW25" t="e">
        <f>AND('Planilla_General_07-12-2012_8_3'!D365,"AAAAAH/v7TA=")</f>
        <v>#VALUE!</v>
      </c>
      <c r="AX25" t="e">
        <f>AND('Planilla_General_07-12-2012_8_3'!E365,"AAAAAH/v7TE=")</f>
        <v>#VALUE!</v>
      </c>
      <c r="AY25" t="e">
        <f>AND('Planilla_General_07-12-2012_8_3'!F365,"AAAAAH/v7TI=")</f>
        <v>#VALUE!</v>
      </c>
      <c r="AZ25" t="e">
        <f>AND('Planilla_General_07-12-2012_8_3'!G365,"AAAAAH/v7TM=")</f>
        <v>#VALUE!</v>
      </c>
      <c r="BA25" t="e">
        <f>AND('Planilla_General_07-12-2012_8_3'!H365,"AAAAAH/v7TQ=")</f>
        <v>#VALUE!</v>
      </c>
      <c r="BB25" t="e">
        <f>AND('Planilla_General_07-12-2012_8_3'!I365,"AAAAAH/v7TU=")</f>
        <v>#VALUE!</v>
      </c>
      <c r="BC25" t="e">
        <f>AND('Planilla_General_07-12-2012_8_3'!J365,"AAAAAH/v7TY=")</f>
        <v>#VALUE!</v>
      </c>
      <c r="BD25" t="e">
        <f>AND('Planilla_General_07-12-2012_8_3'!K365,"AAAAAH/v7Tc=")</f>
        <v>#VALUE!</v>
      </c>
      <c r="BE25" t="e">
        <f>AND('Planilla_General_07-12-2012_8_3'!L365,"AAAAAH/v7Tg=")</f>
        <v>#VALUE!</v>
      </c>
      <c r="BF25" t="e">
        <f>AND('Planilla_General_07-12-2012_8_3'!M365,"AAAAAH/v7Tk=")</f>
        <v>#VALUE!</v>
      </c>
      <c r="BG25" t="e">
        <f>AND('Planilla_General_07-12-2012_8_3'!N365,"AAAAAH/v7To=")</f>
        <v>#VALUE!</v>
      </c>
      <c r="BH25" t="e">
        <f>AND('Planilla_General_07-12-2012_8_3'!O365,"AAAAAH/v7Ts=")</f>
        <v>#VALUE!</v>
      </c>
      <c r="BI25" t="e">
        <f>AND('Planilla_General_07-12-2012_8_3'!P365,"AAAAAH/v7Tw=")</f>
        <v>#VALUE!</v>
      </c>
      <c r="BJ25">
        <f>IF('Planilla_General_07-12-2012_8_3'!366:366,"AAAAAH/v7T0=",0)</f>
        <v>0</v>
      </c>
      <c r="BK25" t="e">
        <f>AND('Planilla_General_07-12-2012_8_3'!A366,"AAAAAH/v7T4=")</f>
        <v>#VALUE!</v>
      </c>
      <c r="BL25" t="e">
        <f>AND('Planilla_General_07-12-2012_8_3'!B366,"AAAAAH/v7T8=")</f>
        <v>#VALUE!</v>
      </c>
      <c r="BM25" t="e">
        <f>AND('Planilla_General_07-12-2012_8_3'!C366,"AAAAAH/v7UA=")</f>
        <v>#VALUE!</v>
      </c>
      <c r="BN25" t="e">
        <f>AND('Planilla_General_07-12-2012_8_3'!D366,"AAAAAH/v7UE=")</f>
        <v>#VALUE!</v>
      </c>
      <c r="BO25" t="e">
        <f>AND('Planilla_General_07-12-2012_8_3'!E366,"AAAAAH/v7UI=")</f>
        <v>#VALUE!</v>
      </c>
      <c r="BP25" t="e">
        <f>AND('Planilla_General_07-12-2012_8_3'!F366,"AAAAAH/v7UM=")</f>
        <v>#VALUE!</v>
      </c>
      <c r="BQ25" t="e">
        <f>AND('Planilla_General_07-12-2012_8_3'!G366,"AAAAAH/v7UQ=")</f>
        <v>#VALUE!</v>
      </c>
      <c r="BR25" t="e">
        <f>AND('Planilla_General_07-12-2012_8_3'!H366,"AAAAAH/v7UU=")</f>
        <v>#VALUE!</v>
      </c>
      <c r="BS25" t="e">
        <f>AND('Planilla_General_07-12-2012_8_3'!I366,"AAAAAH/v7UY=")</f>
        <v>#VALUE!</v>
      </c>
      <c r="BT25" t="e">
        <f>AND('Planilla_General_07-12-2012_8_3'!J366,"AAAAAH/v7Uc=")</f>
        <v>#VALUE!</v>
      </c>
      <c r="BU25" t="e">
        <f>AND('Planilla_General_07-12-2012_8_3'!K366,"AAAAAH/v7Ug=")</f>
        <v>#VALUE!</v>
      </c>
      <c r="BV25" t="e">
        <f>AND('Planilla_General_07-12-2012_8_3'!L366,"AAAAAH/v7Uk=")</f>
        <v>#VALUE!</v>
      </c>
      <c r="BW25" t="e">
        <f>AND('Planilla_General_07-12-2012_8_3'!M366,"AAAAAH/v7Uo=")</f>
        <v>#VALUE!</v>
      </c>
      <c r="BX25" t="e">
        <f>AND('Planilla_General_07-12-2012_8_3'!N366,"AAAAAH/v7Us=")</f>
        <v>#VALUE!</v>
      </c>
      <c r="BY25" t="e">
        <f>AND('Planilla_General_07-12-2012_8_3'!O366,"AAAAAH/v7Uw=")</f>
        <v>#VALUE!</v>
      </c>
      <c r="BZ25" t="e">
        <f>AND('Planilla_General_07-12-2012_8_3'!P366,"AAAAAH/v7U0=")</f>
        <v>#VALUE!</v>
      </c>
      <c r="CA25">
        <f>IF('Planilla_General_07-12-2012_8_3'!367:367,"AAAAAH/v7U4=",0)</f>
        <v>0</v>
      </c>
      <c r="CB25" t="e">
        <f>AND('Planilla_General_07-12-2012_8_3'!A367,"AAAAAH/v7U8=")</f>
        <v>#VALUE!</v>
      </c>
      <c r="CC25" t="e">
        <f>AND('Planilla_General_07-12-2012_8_3'!B367,"AAAAAH/v7VA=")</f>
        <v>#VALUE!</v>
      </c>
      <c r="CD25" t="e">
        <f>AND('Planilla_General_07-12-2012_8_3'!C367,"AAAAAH/v7VE=")</f>
        <v>#VALUE!</v>
      </c>
      <c r="CE25" t="e">
        <f>AND('Planilla_General_07-12-2012_8_3'!D367,"AAAAAH/v7VI=")</f>
        <v>#VALUE!</v>
      </c>
      <c r="CF25" t="e">
        <f>AND('Planilla_General_07-12-2012_8_3'!E367,"AAAAAH/v7VM=")</f>
        <v>#VALUE!</v>
      </c>
      <c r="CG25" t="e">
        <f>AND('Planilla_General_07-12-2012_8_3'!F367,"AAAAAH/v7VQ=")</f>
        <v>#VALUE!</v>
      </c>
      <c r="CH25" t="e">
        <f>AND('Planilla_General_07-12-2012_8_3'!G367,"AAAAAH/v7VU=")</f>
        <v>#VALUE!</v>
      </c>
      <c r="CI25" t="e">
        <f>AND('Planilla_General_07-12-2012_8_3'!H367,"AAAAAH/v7VY=")</f>
        <v>#VALUE!</v>
      </c>
      <c r="CJ25" t="e">
        <f>AND('Planilla_General_07-12-2012_8_3'!I367,"AAAAAH/v7Vc=")</f>
        <v>#VALUE!</v>
      </c>
      <c r="CK25" t="e">
        <f>AND('Planilla_General_07-12-2012_8_3'!J367,"AAAAAH/v7Vg=")</f>
        <v>#VALUE!</v>
      </c>
      <c r="CL25" t="e">
        <f>AND('Planilla_General_07-12-2012_8_3'!K367,"AAAAAH/v7Vk=")</f>
        <v>#VALUE!</v>
      </c>
      <c r="CM25" t="e">
        <f>AND('Planilla_General_07-12-2012_8_3'!L367,"AAAAAH/v7Vo=")</f>
        <v>#VALUE!</v>
      </c>
      <c r="CN25" t="e">
        <f>AND('Planilla_General_07-12-2012_8_3'!M367,"AAAAAH/v7Vs=")</f>
        <v>#VALUE!</v>
      </c>
      <c r="CO25" t="e">
        <f>AND('Planilla_General_07-12-2012_8_3'!N367,"AAAAAH/v7Vw=")</f>
        <v>#VALUE!</v>
      </c>
      <c r="CP25" t="e">
        <f>AND('Planilla_General_07-12-2012_8_3'!O367,"AAAAAH/v7V0=")</f>
        <v>#VALUE!</v>
      </c>
      <c r="CQ25" t="e">
        <f>AND('Planilla_General_07-12-2012_8_3'!P367,"AAAAAH/v7V4=")</f>
        <v>#VALUE!</v>
      </c>
      <c r="CR25">
        <f>IF('Planilla_General_07-12-2012_8_3'!368:368,"AAAAAH/v7V8=",0)</f>
        <v>0</v>
      </c>
      <c r="CS25" t="e">
        <f>AND('Planilla_General_07-12-2012_8_3'!A368,"AAAAAH/v7WA=")</f>
        <v>#VALUE!</v>
      </c>
      <c r="CT25" t="e">
        <f>AND('Planilla_General_07-12-2012_8_3'!B368,"AAAAAH/v7WE=")</f>
        <v>#VALUE!</v>
      </c>
      <c r="CU25" t="e">
        <f>AND('Planilla_General_07-12-2012_8_3'!C368,"AAAAAH/v7WI=")</f>
        <v>#VALUE!</v>
      </c>
      <c r="CV25" t="e">
        <f>AND('Planilla_General_07-12-2012_8_3'!D368,"AAAAAH/v7WM=")</f>
        <v>#VALUE!</v>
      </c>
      <c r="CW25" t="e">
        <f>AND('Planilla_General_07-12-2012_8_3'!E368,"AAAAAH/v7WQ=")</f>
        <v>#VALUE!</v>
      </c>
      <c r="CX25" t="e">
        <f>AND('Planilla_General_07-12-2012_8_3'!F368,"AAAAAH/v7WU=")</f>
        <v>#VALUE!</v>
      </c>
      <c r="CY25" t="e">
        <f>AND('Planilla_General_07-12-2012_8_3'!G368,"AAAAAH/v7WY=")</f>
        <v>#VALUE!</v>
      </c>
      <c r="CZ25" t="e">
        <f>AND('Planilla_General_07-12-2012_8_3'!H368,"AAAAAH/v7Wc=")</f>
        <v>#VALUE!</v>
      </c>
      <c r="DA25" t="e">
        <f>AND('Planilla_General_07-12-2012_8_3'!I368,"AAAAAH/v7Wg=")</f>
        <v>#VALUE!</v>
      </c>
      <c r="DB25" t="e">
        <f>AND('Planilla_General_07-12-2012_8_3'!J368,"AAAAAH/v7Wk=")</f>
        <v>#VALUE!</v>
      </c>
      <c r="DC25" t="e">
        <f>AND('Planilla_General_07-12-2012_8_3'!K368,"AAAAAH/v7Wo=")</f>
        <v>#VALUE!</v>
      </c>
      <c r="DD25" t="e">
        <f>AND('Planilla_General_07-12-2012_8_3'!L368,"AAAAAH/v7Ws=")</f>
        <v>#VALUE!</v>
      </c>
      <c r="DE25" t="e">
        <f>AND('Planilla_General_07-12-2012_8_3'!M368,"AAAAAH/v7Ww=")</f>
        <v>#VALUE!</v>
      </c>
      <c r="DF25" t="e">
        <f>AND('Planilla_General_07-12-2012_8_3'!N368,"AAAAAH/v7W0=")</f>
        <v>#VALUE!</v>
      </c>
      <c r="DG25" t="e">
        <f>AND('Planilla_General_07-12-2012_8_3'!O368,"AAAAAH/v7W4=")</f>
        <v>#VALUE!</v>
      </c>
      <c r="DH25" t="e">
        <f>AND('Planilla_General_07-12-2012_8_3'!P368,"AAAAAH/v7W8=")</f>
        <v>#VALUE!</v>
      </c>
      <c r="DI25">
        <f>IF('Planilla_General_07-12-2012_8_3'!369:369,"AAAAAH/v7XA=",0)</f>
        <v>0</v>
      </c>
      <c r="DJ25" t="e">
        <f>AND('Planilla_General_07-12-2012_8_3'!A369,"AAAAAH/v7XE=")</f>
        <v>#VALUE!</v>
      </c>
      <c r="DK25" t="e">
        <f>AND('Planilla_General_07-12-2012_8_3'!B369,"AAAAAH/v7XI=")</f>
        <v>#VALUE!</v>
      </c>
      <c r="DL25" t="e">
        <f>AND('Planilla_General_07-12-2012_8_3'!C369,"AAAAAH/v7XM=")</f>
        <v>#VALUE!</v>
      </c>
      <c r="DM25" t="e">
        <f>AND('Planilla_General_07-12-2012_8_3'!D369,"AAAAAH/v7XQ=")</f>
        <v>#VALUE!</v>
      </c>
      <c r="DN25" t="e">
        <f>AND('Planilla_General_07-12-2012_8_3'!E369,"AAAAAH/v7XU=")</f>
        <v>#VALUE!</v>
      </c>
      <c r="DO25" t="e">
        <f>AND('Planilla_General_07-12-2012_8_3'!F369,"AAAAAH/v7XY=")</f>
        <v>#VALUE!</v>
      </c>
      <c r="DP25" t="e">
        <f>AND('Planilla_General_07-12-2012_8_3'!G369,"AAAAAH/v7Xc=")</f>
        <v>#VALUE!</v>
      </c>
      <c r="DQ25" t="e">
        <f>AND('Planilla_General_07-12-2012_8_3'!H369,"AAAAAH/v7Xg=")</f>
        <v>#VALUE!</v>
      </c>
      <c r="DR25" t="e">
        <f>AND('Planilla_General_07-12-2012_8_3'!I369,"AAAAAH/v7Xk=")</f>
        <v>#VALUE!</v>
      </c>
      <c r="DS25" t="e">
        <f>AND('Planilla_General_07-12-2012_8_3'!J369,"AAAAAH/v7Xo=")</f>
        <v>#VALUE!</v>
      </c>
      <c r="DT25" t="e">
        <f>AND('Planilla_General_07-12-2012_8_3'!K369,"AAAAAH/v7Xs=")</f>
        <v>#VALUE!</v>
      </c>
      <c r="DU25" t="e">
        <f>AND('Planilla_General_07-12-2012_8_3'!L369,"AAAAAH/v7Xw=")</f>
        <v>#VALUE!</v>
      </c>
      <c r="DV25" t="e">
        <f>AND('Planilla_General_07-12-2012_8_3'!M369,"AAAAAH/v7X0=")</f>
        <v>#VALUE!</v>
      </c>
      <c r="DW25" t="e">
        <f>AND('Planilla_General_07-12-2012_8_3'!N369,"AAAAAH/v7X4=")</f>
        <v>#VALUE!</v>
      </c>
      <c r="DX25" t="e">
        <f>AND('Planilla_General_07-12-2012_8_3'!O369,"AAAAAH/v7X8=")</f>
        <v>#VALUE!</v>
      </c>
      <c r="DY25" t="e">
        <f>AND('Planilla_General_07-12-2012_8_3'!P369,"AAAAAH/v7YA=")</f>
        <v>#VALUE!</v>
      </c>
      <c r="DZ25">
        <f>IF('Planilla_General_07-12-2012_8_3'!370:370,"AAAAAH/v7YE=",0)</f>
        <v>0</v>
      </c>
      <c r="EA25" t="e">
        <f>AND('Planilla_General_07-12-2012_8_3'!A370,"AAAAAH/v7YI=")</f>
        <v>#VALUE!</v>
      </c>
      <c r="EB25" t="e">
        <f>AND('Planilla_General_07-12-2012_8_3'!B370,"AAAAAH/v7YM=")</f>
        <v>#VALUE!</v>
      </c>
      <c r="EC25" t="e">
        <f>AND('Planilla_General_07-12-2012_8_3'!C370,"AAAAAH/v7YQ=")</f>
        <v>#VALUE!</v>
      </c>
      <c r="ED25" t="e">
        <f>AND('Planilla_General_07-12-2012_8_3'!D370,"AAAAAH/v7YU=")</f>
        <v>#VALUE!</v>
      </c>
      <c r="EE25" t="e">
        <f>AND('Planilla_General_07-12-2012_8_3'!E370,"AAAAAH/v7YY=")</f>
        <v>#VALUE!</v>
      </c>
      <c r="EF25" t="e">
        <f>AND('Planilla_General_07-12-2012_8_3'!F370,"AAAAAH/v7Yc=")</f>
        <v>#VALUE!</v>
      </c>
      <c r="EG25" t="e">
        <f>AND('Planilla_General_07-12-2012_8_3'!G370,"AAAAAH/v7Yg=")</f>
        <v>#VALUE!</v>
      </c>
      <c r="EH25" t="e">
        <f>AND('Planilla_General_07-12-2012_8_3'!H370,"AAAAAH/v7Yk=")</f>
        <v>#VALUE!</v>
      </c>
      <c r="EI25" t="e">
        <f>AND('Planilla_General_07-12-2012_8_3'!I370,"AAAAAH/v7Yo=")</f>
        <v>#VALUE!</v>
      </c>
      <c r="EJ25" t="e">
        <f>AND('Planilla_General_07-12-2012_8_3'!J370,"AAAAAH/v7Ys=")</f>
        <v>#VALUE!</v>
      </c>
      <c r="EK25" t="e">
        <f>AND('Planilla_General_07-12-2012_8_3'!K370,"AAAAAH/v7Yw=")</f>
        <v>#VALUE!</v>
      </c>
      <c r="EL25" t="e">
        <f>AND('Planilla_General_07-12-2012_8_3'!L370,"AAAAAH/v7Y0=")</f>
        <v>#VALUE!</v>
      </c>
      <c r="EM25" t="e">
        <f>AND('Planilla_General_07-12-2012_8_3'!M370,"AAAAAH/v7Y4=")</f>
        <v>#VALUE!</v>
      </c>
      <c r="EN25" t="e">
        <f>AND('Planilla_General_07-12-2012_8_3'!N370,"AAAAAH/v7Y8=")</f>
        <v>#VALUE!</v>
      </c>
      <c r="EO25" t="e">
        <f>AND('Planilla_General_07-12-2012_8_3'!O370,"AAAAAH/v7ZA=")</f>
        <v>#VALUE!</v>
      </c>
      <c r="EP25" t="e">
        <f>AND('Planilla_General_07-12-2012_8_3'!P370,"AAAAAH/v7ZE=")</f>
        <v>#VALUE!</v>
      </c>
      <c r="EQ25">
        <f>IF('Planilla_General_07-12-2012_8_3'!371:371,"AAAAAH/v7ZI=",0)</f>
        <v>0</v>
      </c>
      <c r="ER25" t="e">
        <f>AND('Planilla_General_07-12-2012_8_3'!A371,"AAAAAH/v7ZM=")</f>
        <v>#VALUE!</v>
      </c>
      <c r="ES25" t="e">
        <f>AND('Planilla_General_07-12-2012_8_3'!B371,"AAAAAH/v7ZQ=")</f>
        <v>#VALUE!</v>
      </c>
      <c r="ET25" t="e">
        <f>AND('Planilla_General_07-12-2012_8_3'!C371,"AAAAAH/v7ZU=")</f>
        <v>#VALUE!</v>
      </c>
      <c r="EU25" t="e">
        <f>AND('Planilla_General_07-12-2012_8_3'!D371,"AAAAAH/v7ZY=")</f>
        <v>#VALUE!</v>
      </c>
      <c r="EV25" t="e">
        <f>AND('Planilla_General_07-12-2012_8_3'!E371,"AAAAAH/v7Zc=")</f>
        <v>#VALUE!</v>
      </c>
      <c r="EW25" t="e">
        <f>AND('Planilla_General_07-12-2012_8_3'!F371,"AAAAAH/v7Zg=")</f>
        <v>#VALUE!</v>
      </c>
      <c r="EX25" t="e">
        <f>AND('Planilla_General_07-12-2012_8_3'!G371,"AAAAAH/v7Zk=")</f>
        <v>#VALUE!</v>
      </c>
      <c r="EY25" t="e">
        <f>AND('Planilla_General_07-12-2012_8_3'!H371,"AAAAAH/v7Zo=")</f>
        <v>#VALUE!</v>
      </c>
      <c r="EZ25" t="e">
        <f>AND('Planilla_General_07-12-2012_8_3'!I371,"AAAAAH/v7Zs=")</f>
        <v>#VALUE!</v>
      </c>
      <c r="FA25" t="e">
        <f>AND('Planilla_General_07-12-2012_8_3'!J371,"AAAAAH/v7Zw=")</f>
        <v>#VALUE!</v>
      </c>
      <c r="FB25" t="e">
        <f>AND('Planilla_General_07-12-2012_8_3'!K371,"AAAAAH/v7Z0=")</f>
        <v>#VALUE!</v>
      </c>
      <c r="FC25" t="e">
        <f>AND('Planilla_General_07-12-2012_8_3'!L371,"AAAAAH/v7Z4=")</f>
        <v>#VALUE!</v>
      </c>
      <c r="FD25" t="e">
        <f>AND('Planilla_General_07-12-2012_8_3'!M371,"AAAAAH/v7Z8=")</f>
        <v>#VALUE!</v>
      </c>
      <c r="FE25" t="e">
        <f>AND('Planilla_General_07-12-2012_8_3'!N371,"AAAAAH/v7aA=")</f>
        <v>#VALUE!</v>
      </c>
      <c r="FF25" t="e">
        <f>AND('Planilla_General_07-12-2012_8_3'!O371,"AAAAAH/v7aE=")</f>
        <v>#VALUE!</v>
      </c>
      <c r="FG25" t="e">
        <f>AND('Planilla_General_07-12-2012_8_3'!P371,"AAAAAH/v7aI=")</f>
        <v>#VALUE!</v>
      </c>
      <c r="FH25">
        <f>IF('Planilla_General_07-12-2012_8_3'!372:372,"AAAAAH/v7aM=",0)</f>
        <v>0</v>
      </c>
      <c r="FI25" t="e">
        <f>AND('Planilla_General_07-12-2012_8_3'!A372,"AAAAAH/v7aQ=")</f>
        <v>#VALUE!</v>
      </c>
      <c r="FJ25" t="e">
        <f>AND('Planilla_General_07-12-2012_8_3'!B372,"AAAAAH/v7aU=")</f>
        <v>#VALUE!</v>
      </c>
      <c r="FK25" t="e">
        <f>AND('Planilla_General_07-12-2012_8_3'!C372,"AAAAAH/v7aY=")</f>
        <v>#VALUE!</v>
      </c>
      <c r="FL25" t="e">
        <f>AND('Planilla_General_07-12-2012_8_3'!D372,"AAAAAH/v7ac=")</f>
        <v>#VALUE!</v>
      </c>
      <c r="FM25" t="e">
        <f>AND('Planilla_General_07-12-2012_8_3'!E372,"AAAAAH/v7ag=")</f>
        <v>#VALUE!</v>
      </c>
      <c r="FN25" t="e">
        <f>AND('Planilla_General_07-12-2012_8_3'!F372,"AAAAAH/v7ak=")</f>
        <v>#VALUE!</v>
      </c>
      <c r="FO25" t="e">
        <f>AND('Planilla_General_07-12-2012_8_3'!G372,"AAAAAH/v7ao=")</f>
        <v>#VALUE!</v>
      </c>
      <c r="FP25" t="e">
        <f>AND('Planilla_General_07-12-2012_8_3'!H372,"AAAAAH/v7as=")</f>
        <v>#VALUE!</v>
      </c>
      <c r="FQ25" t="e">
        <f>AND('Planilla_General_07-12-2012_8_3'!I372,"AAAAAH/v7aw=")</f>
        <v>#VALUE!</v>
      </c>
      <c r="FR25" t="e">
        <f>AND('Planilla_General_07-12-2012_8_3'!J372,"AAAAAH/v7a0=")</f>
        <v>#VALUE!</v>
      </c>
      <c r="FS25" t="e">
        <f>AND('Planilla_General_07-12-2012_8_3'!K372,"AAAAAH/v7a4=")</f>
        <v>#VALUE!</v>
      </c>
      <c r="FT25" t="e">
        <f>AND('Planilla_General_07-12-2012_8_3'!L372,"AAAAAH/v7a8=")</f>
        <v>#VALUE!</v>
      </c>
      <c r="FU25" t="e">
        <f>AND('Planilla_General_07-12-2012_8_3'!M372,"AAAAAH/v7bA=")</f>
        <v>#VALUE!</v>
      </c>
      <c r="FV25" t="e">
        <f>AND('Planilla_General_07-12-2012_8_3'!N372,"AAAAAH/v7bE=")</f>
        <v>#VALUE!</v>
      </c>
      <c r="FW25" t="e">
        <f>AND('Planilla_General_07-12-2012_8_3'!O372,"AAAAAH/v7bI=")</f>
        <v>#VALUE!</v>
      </c>
      <c r="FX25" t="e">
        <f>AND('Planilla_General_07-12-2012_8_3'!P372,"AAAAAH/v7bM=")</f>
        <v>#VALUE!</v>
      </c>
      <c r="FY25">
        <f>IF('Planilla_General_07-12-2012_8_3'!373:373,"AAAAAH/v7bQ=",0)</f>
        <v>0</v>
      </c>
      <c r="FZ25" t="e">
        <f>AND('Planilla_General_07-12-2012_8_3'!A373,"AAAAAH/v7bU=")</f>
        <v>#VALUE!</v>
      </c>
      <c r="GA25" t="e">
        <f>AND('Planilla_General_07-12-2012_8_3'!B373,"AAAAAH/v7bY=")</f>
        <v>#VALUE!</v>
      </c>
      <c r="GB25" t="e">
        <f>AND('Planilla_General_07-12-2012_8_3'!C373,"AAAAAH/v7bc=")</f>
        <v>#VALUE!</v>
      </c>
      <c r="GC25" t="e">
        <f>AND('Planilla_General_07-12-2012_8_3'!D373,"AAAAAH/v7bg=")</f>
        <v>#VALUE!</v>
      </c>
      <c r="GD25" t="e">
        <f>AND('Planilla_General_07-12-2012_8_3'!E373,"AAAAAH/v7bk=")</f>
        <v>#VALUE!</v>
      </c>
      <c r="GE25" t="e">
        <f>AND('Planilla_General_07-12-2012_8_3'!F373,"AAAAAH/v7bo=")</f>
        <v>#VALUE!</v>
      </c>
      <c r="GF25" t="e">
        <f>AND('Planilla_General_07-12-2012_8_3'!G373,"AAAAAH/v7bs=")</f>
        <v>#VALUE!</v>
      </c>
      <c r="GG25" t="e">
        <f>AND('Planilla_General_07-12-2012_8_3'!H373,"AAAAAH/v7bw=")</f>
        <v>#VALUE!</v>
      </c>
      <c r="GH25" t="e">
        <f>AND('Planilla_General_07-12-2012_8_3'!I373,"AAAAAH/v7b0=")</f>
        <v>#VALUE!</v>
      </c>
      <c r="GI25" t="e">
        <f>AND('Planilla_General_07-12-2012_8_3'!J373,"AAAAAH/v7b4=")</f>
        <v>#VALUE!</v>
      </c>
      <c r="GJ25" t="e">
        <f>AND('Planilla_General_07-12-2012_8_3'!K373,"AAAAAH/v7b8=")</f>
        <v>#VALUE!</v>
      </c>
      <c r="GK25" t="e">
        <f>AND('Planilla_General_07-12-2012_8_3'!L373,"AAAAAH/v7cA=")</f>
        <v>#VALUE!</v>
      </c>
      <c r="GL25" t="e">
        <f>AND('Planilla_General_07-12-2012_8_3'!M373,"AAAAAH/v7cE=")</f>
        <v>#VALUE!</v>
      </c>
      <c r="GM25" t="e">
        <f>AND('Planilla_General_07-12-2012_8_3'!N373,"AAAAAH/v7cI=")</f>
        <v>#VALUE!</v>
      </c>
      <c r="GN25" t="e">
        <f>AND('Planilla_General_07-12-2012_8_3'!O373,"AAAAAH/v7cM=")</f>
        <v>#VALUE!</v>
      </c>
      <c r="GO25" t="e">
        <f>AND('Planilla_General_07-12-2012_8_3'!P373,"AAAAAH/v7cQ=")</f>
        <v>#VALUE!</v>
      </c>
      <c r="GP25">
        <f>IF('Planilla_General_07-12-2012_8_3'!374:374,"AAAAAH/v7cU=",0)</f>
        <v>0</v>
      </c>
      <c r="GQ25" t="e">
        <f>AND('Planilla_General_07-12-2012_8_3'!A374,"AAAAAH/v7cY=")</f>
        <v>#VALUE!</v>
      </c>
      <c r="GR25" t="e">
        <f>AND('Planilla_General_07-12-2012_8_3'!B374,"AAAAAH/v7cc=")</f>
        <v>#VALUE!</v>
      </c>
      <c r="GS25" t="e">
        <f>AND('Planilla_General_07-12-2012_8_3'!C374,"AAAAAH/v7cg=")</f>
        <v>#VALUE!</v>
      </c>
      <c r="GT25" t="e">
        <f>AND('Planilla_General_07-12-2012_8_3'!D374,"AAAAAH/v7ck=")</f>
        <v>#VALUE!</v>
      </c>
      <c r="GU25" t="e">
        <f>AND('Planilla_General_07-12-2012_8_3'!E374,"AAAAAH/v7co=")</f>
        <v>#VALUE!</v>
      </c>
      <c r="GV25" t="e">
        <f>AND('Planilla_General_07-12-2012_8_3'!F374,"AAAAAH/v7cs=")</f>
        <v>#VALUE!</v>
      </c>
      <c r="GW25" t="e">
        <f>AND('Planilla_General_07-12-2012_8_3'!G374,"AAAAAH/v7cw=")</f>
        <v>#VALUE!</v>
      </c>
      <c r="GX25" t="e">
        <f>AND('Planilla_General_07-12-2012_8_3'!H374,"AAAAAH/v7c0=")</f>
        <v>#VALUE!</v>
      </c>
      <c r="GY25" t="e">
        <f>AND('Planilla_General_07-12-2012_8_3'!I374,"AAAAAH/v7c4=")</f>
        <v>#VALUE!</v>
      </c>
      <c r="GZ25" t="e">
        <f>AND('Planilla_General_07-12-2012_8_3'!J374,"AAAAAH/v7c8=")</f>
        <v>#VALUE!</v>
      </c>
      <c r="HA25" t="e">
        <f>AND('Planilla_General_07-12-2012_8_3'!K374,"AAAAAH/v7dA=")</f>
        <v>#VALUE!</v>
      </c>
      <c r="HB25" t="e">
        <f>AND('Planilla_General_07-12-2012_8_3'!L374,"AAAAAH/v7dE=")</f>
        <v>#VALUE!</v>
      </c>
      <c r="HC25" t="e">
        <f>AND('Planilla_General_07-12-2012_8_3'!M374,"AAAAAH/v7dI=")</f>
        <v>#VALUE!</v>
      </c>
      <c r="HD25" t="e">
        <f>AND('Planilla_General_07-12-2012_8_3'!N374,"AAAAAH/v7dM=")</f>
        <v>#VALUE!</v>
      </c>
      <c r="HE25" t="e">
        <f>AND('Planilla_General_07-12-2012_8_3'!O374,"AAAAAH/v7dQ=")</f>
        <v>#VALUE!</v>
      </c>
      <c r="HF25" t="e">
        <f>AND('Planilla_General_07-12-2012_8_3'!P374,"AAAAAH/v7dU=")</f>
        <v>#VALUE!</v>
      </c>
      <c r="HG25">
        <f>IF('Planilla_General_07-12-2012_8_3'!375:375,"AAAAAH/v7dY=",0)</f>
        <v>0</v>
      </c>
      <c r="HH25" t="e">
        <f>AND('Planilla_General_07-12-2012_8_3'!A375,"AAAAAH/v7dc=")</f>
        <v>#VALUE!</v>
      </c>
      <c r="HI25" t="e">
        <f>AND('Planilla_General_07-12-2012_8_3'!B375,"AAAAAH/v7dg=")</f>
        <v>#VALUE!</v>
      </c>
      <c r="HJ25" t="e">
        <f>AND('Planilla_General_07-12-2012_8_3'!C375,"AAAAAH/v7dk=")</f>
        <v>#VALUE!</v>
      </c>
      <c r="HK25" t="e">
        <f>AND('Planilla_General_07-12-2012_8_3'!D375,"AAAAAH/v7do=")</f>
        <v>#VALUE!</v>
      </c>
      <c r="HL25" t="e">
        <f>AND('Planilla_General_07-12-2012_8_3'!E375,"AAAAAH/v7ds=")</f>
        <v>#VALUE!</v>
      </c>
      <c r="HM25" t="e">
        <f>AND('Planilla_General_07-12-2012_8_3'!F375,"AAAAAH/v7dw=")</f>
        <v>#VALUE!</v>
      </c>
      <c r="HN25" t="e">
        <f>AND('Planilla_General_07-12-2012_8_3'!G375,"AAAAAH/v7d0=")</f>
        <v>#VALUE!</v>
      </c>
      <c r="HO25" t="e">
        <f>AND('Planilla_General_07-12-2012_8_3'!H375,"AAAAAH/v7d4=")</f>
        <v>#VALUE!</v>
      </c>
      <c r="HP25" t="e">
        <f>AND('Planilla_General_07-12-2012_8_3'!I375,"AAAAAH/v7d8=")</f>
        <v>#VALUE!</v>
      </c>
      <c r="HQ25" t="e">
        <f>AND('Planilla_General_07-12-2012_8_3'!J375,"AAAAAH/v7eA=")</f>
        <v>#VALUE!</v>
      </c>
      <c r="HR25" t="e">
        <f>AND('Planilla_General_07-12-2012_8_3'!K375,"AAAAAH/v7eE=")</f>
        <v>#VALUE!</v>
      </c>
      <c r="HS25" t="e">
        <f>AND('Planilla_General_07-12-2012_8_3'!L375,"AAAAAH/v7eI=")</f>
        <v>#VALUE!</v>
      </c>
      <c r="HT25" t="e">
        <f>AND('Planilla_General_07-12-2012_8_3'!M375,"AAAAAH/v7eM=")</f>
        <v>#VALUE!</v>
      </c>
      <c r="HU25" t="e">
        <f>AND('Planilla_General_07-12-2012_8_3'!N375,"AAAAAH/v7eQ=")</f>
        <v>#VALUE!</v>
      </c>
      <c r="HV25" t="e">
        <f>AND('Planilla_General_07-12-2012_8_3'!O375,"AAAAAH/v7eU=")</f>
        <v>#VALUE!</v>
      </c>
      <c r="HW25" t="e">
        <f>AND('Planilla_General_07-12-2012_8_3'!P375,"AAAAAH/v7eY=")</f>
        <v>#VALUE!</v>
      </c>
      <c r="HX25">
        <f>IF('Planilla_General_07-12-2012_8_3'!376:376,"AAAAAH/v7ec=",0)</f>
        <v>0</v>
      </c>
      <c r="HY25" t="e">
        <f>AND('Planilla_General_07-12-2012_8_3'!A376,"AAAAAH/v7eg=")</f>
        <v>#VALUE!</v>
      </c>
      <c r="HZ25" t="e">
        <f>AND('Planilla_General_07-12-2012_8_3'!B376,"AAAAAH/v7ek=")</f>
        <v>#VALUE!</v>
      </c>
      <c r="IA25" t="e">
        <f>AND('Planilla_General_07-12-2012_8_3'!C376,"AAAAAH/v7eo=")</f>
        <v>#VALUE!</v>
      </c>
      <c r="IB25" t="e">
        <f>AND('Planilla_General_07-12-2012_8_3'!D376,"AAAAAH/v7es=")</f>
        <v>#VALUE!</v>
      </c>
      <c r="IC25" t="e">
        <f>AND('Planilla_General_07-12-2012_8_3'!E376,"AAAAAH/v7ew=")</f>
        <v>#VALUE!</v>
      </c>
      <c r="ID25" t="e">
        <f>AND('Planilla_General_07-12-2012_8_3'!F376,"AAAAAH/v7e0=")</f>
        <v>#VALUE!</v>
      </c>
      <c r="IE25" t="e">
        <f>AND('Planilla_General_07-12-2012_8_3'!G376,"AAAAAH/v7e4=")</f>
        <v>#VALUE!</v>
      </c>
      <c r="IF25" t="e">
        <f>AND('Planilla_General_07-12-2012_8_3'!H376,"AAAAAH/v7e8=")</f>
        <v>#VALUE!</v>
      </c>
      <c r="IG25" t="e">
        <f>AND('Planilla_General_07-12-2012_8_3'!I376,"AAAAAH/v7fA=")</f>
        <v>#VALUE!</v>
      </c>
      <c r="IH25" t="e">
        <f>AND('Planilla_General_07-12-2012_8_3'!J376,"AAAAAH/v7fE=")</f>
        <v>#VALUE!</v>
      </c>
      <c r="II25" t="e">
        <f>AND('Planilla_General_07-12-2012_8_3'!K376,"AAAAAH/v7fI=")</f>
        <v>#VALUE!</v>
      </c>
      <c r="IJ25" t="e">
        <f>AND('Planilla_General_07-12-2012_8_3'!L376,"AAAAAH/v7fM=")</f>
        <v>#VALUE!</v>
      </c>
      <c r="IK25" t="e">
        <f>AND('Planilla_General_07-12-2012_8_3'!M376,"AAAAAH/v7fQ=")</f>
        <v>#VALUE!</v>
      </c>
      <c r="IL25" t="e">
        <f>AND('Planilla_General_07-12-2012_8_3'!N376,"AAAAAH/v7fU=")</f>
        <v>#VALUE!</v>
      </c>
      <c r="IM25" t="e">
        <f>AND('Planilla_General_07-12-2012_8_3'!O376,"AAAAAH/v7fY=")</f>
        <v>#VALUE!</v>
      </c>
      <c r="IN25" t="e">
        <f>AND('Planilla_General_07-12-2012_8_3'!P376,"AAAAAH/v7fc=")</f>
        <v>#VALUE!</v>
      </c>
      <c r="IO25">
        <f>IF('Planilla_General_07-12-2012_8_3'!377:377,"AAAAAH/v7fg=",0)</f>
        <v>0</v>
      </c>
      <c r="IP25" t="e">
        <f>AND('Planilla_General_07-12-2012_8_3'!A377,"AAAAAH/v7fk=")</f>
        <v>#VALUE!</v>
      </c>
      <c r="IQ25" t="e">
        <f>AND('Planilla_General_07-12-2012_8_3'!B377,"AAAAAH/v7fo=")</f>
        <v>#VALUE!</v>
      </c>
      <c r="IR25" t="e">
        <f>AND('Planilla_General_07-12-2012_8_3'!C377,"AAAAAH/v7fs=")</f>
        <v>#VALUE!</v>
      </c>
      <c r="IS25" t="e">
        <f>AND('Planilla_General_07-12-2012_8_3'!D377,"AAAAAH/v7fw=")</f>
        <v>#VALUE!</v>
      </c>
      <c r="IT25" t="e">
        <f>AND('Planilla_General_07-12-2012_8_3'!E377,"AAAAAH/v7f0=")</f>
        <v>#VALUE!</v>
      </c>
      <c r="IU25" t="e">
        <f>AND('Planilla_General_07-12-2012_8_3'!F377,"AAAAAH/v7f4=")</f>
        <v>#VALUE!</v>
      </c>
      <c r="IV25" t="e">
        <f>AND('Planilla_General_07-12-2012_8_3'!G377,"AAAAAH/v7f8=")</f>
        <v>#VALUE!</v>
      </c>
    </row>
    <row r="26" spans="1:256" x14ac:dyDescent="0.25">
      <c r="A26" t="e">
        <f>AND('Planilla_General_07-12-2012_8_3'!H377,"AAAAAFe11AA=")</f>
        <v>#VALUE!</v>
      </c>
      <c r="B26" t="e">
        <f>AND('Planilla_General_07-12-2012_8_3'!I377,"AAAAAFe11AE=")</f>
        <v>#VALUE!</v>
      </c>
      <c r="C26" t="e">
        <f>AND('Planilla_General_07-12-2012_8_3'!J377,"AAAAAFe11AI=")</f>
        <v>#VALUE!</v>
      </c>
      <c r="D26" t="e">
        <f>AND('Planilla_General_07-12-2012_8_3'!K377,"AAAAAFe11AM=")</f>
        <v>#VALUE!</v>
      </c>
      <c r="E26" t="e">
        <f>AND('Planilla_General_07-12-2012_8_3'!L377,"AAAAAFe11AQ=")</f>
        <v>#VALUE!</v>
      </c>
      <c r="F26" t="e">
        <f>AND('Planilla_General_07-12-2012_8_3'!M377,"AAAAAFe11AU=")</f>
        <v>#VALUE!</v>
      </c>
      <c r="G26" t="e">
        <f>AND('Planilla_General_07-12-2012_8_3'!N377,"AAAAAFe11AY=")</f>
        <v>#VALUE!</v>
      </c>
      <c r="H26" t="e">
        <f>AND('Planilla_General_07-12-2012_8_3'!O377,"AAAAAFe11Ac=")</f>
        <v>#VALUE!</v>
      </c>
      <c r="I26" t="e">
        <f>AND('Planilla_General_07-12-2012_8_3'!P377,"AAAAAFe11Ag=")</f>
        <v>#VALUE!</v>
      </c>
      <c r="J26" t="e">
        <f>IF('Planilla_General_07-12-2012_8_3'!378:378,"AAAAAFe11Ak=",0)</f>
        <v>#VALUE!</v>
      </c>
      <c r="K26" t="e">
        <f>AND('Planilla_General_07-12-2012_8_3'!A378,"AAAAAFe11Ao=")</f>
        <v>#VALUE!</v>
      </c>
      <c r="L26" t="e">
        <f>AND('Planilla_General_07-12-2012_8_3'!B378,"AAAAAFe11As=")</f>
        <v>#VALUE!</v>
      </c>
      <c r="M26" t="e">
        <f>AND('Planilla_General_07-12-2012_8_3'!C378,"AAAAAFe11Aw=")</f>
        <v>#VALUE!</v>
      </c>
      <c r="N26" t="e">
        <f>AND('Planilla_General_07-12-2012_8_3'!D378,"AAAAAFe11A0=")</f>
        <v>#VALUE!</v>
      </c>
      <c r="O26" t="e">
        <f>AND('Planilla_General_07-12-2012_8_3'!E378,"AAAAAFe11A4=")</f>
        <v>#VALUE!</v>
      </c>
      <c r="P26" t="e">
        <f>AND('Planilla_General_07-12-2012_8_3'!F378,"AAAAAFe11A8=")</f>
        <v>#VALUE!</v>
      </c>
      <c r="Q26" t="e">
        <f>AND('Planilla_General_07-12-2012_8_3'!G378,"AAAAAFe11BA=")</f>
        <v>#VALUE!</v>
      </c>
      <c r="R26" t="e">
        <f>AND('Planilla_General_07-12-2012_8_3'!H378,"AAAAAFe11BE=")</f>
        <v>#VALUE!</v>
      </c>
      <c r="S26" t="e">
        <f>AND('Planilla_General_07-12-2012_8_3'!I378,"AAAAAFe11BI=")</f>
        <v>#VALUE!</v>
      </c>
      <c r="T26" t="e">
        <f>AND('Planilla_General_07-12-2012_8_3'!J378,"AAAAAFe11BM=")</f>
        <v>#VALUE!</v>
      </c>
      <c r="U26" t="e">
        <f>AND('Planilla_General_07-12-2012_8_3'!K378,"AAAAAFe11BQ=")</f>
        <v>#VALUE!</v>
      </c>
      <c r="V26" t="e">
        <f>AND('Planilla_General_07-12-2012_8_3'!L378,"AAAAAFe11BU=")</f>
        <v>#VALUE!</v>
      </c>
      <c r="W26" t="e">
        <f>AND('Planilla_General_07-12-2012_8_3'!M378,"AAAAAFe11BY=")</f>
        <v>#VALUE!</v>
      </c>
      <c r="X26" t="e">
        <f>AND('Planilla_General_07-12-2012_8_3'!N378,"AAAAAFe11Bc=")</f>
        <v>#VALUE!</v>
      </c>
      <c r="Y26" t="e">
        <f>AND('Planilla_General_07-12-2012_8_3'!O378,"AAAAAFe11Bg=")</f>
        <v>#VALUE!</v>
      </c>
      <c r="Z26" t="e">
        <f>AND('Planilla_General_07-12-2012_8_3'!P378,"AAAAAFe11Bk=")</f>
        <v>#VALUE!</v>
      </c>
      <c r="AA26">
        <f>IF('Planilla_General_07-12-2012_8_3'!379:379,"AAAAAFe11Bo=",0)</f>
        <v>0</v>
      </c>
      <c r="AB26" t="e">
        <f>AND('Planilla_General_07-12-2012_8_3'!A379,"AAAAAFe11Bs=")</f>
        <v>#VALUE!</v>
      </c>
      <c r="AC26" t="e">
        <f>AND('Planilla_General_07-12-2012_8_3'!B379,"AAAAAFe11Bw=")</f>
        <v>#VALUE!</v>
      </c>
      <c r="AD26" t="e">
        <f>AND('Planilla_General_07-12-2012_8_3'!C379,"AAAAAFe11B0=")</f>
        <v>#VALUE!</v>
      </c>
      <c r="AE26" t="e">
        <f>AND('Planilla_General_07-12-2012_8_3'!D379,"AAAAAFe11B4=")</f>
        <v>#VALUE!</v>
      </c>
      <c r="AF26" t="e">
        <f>AND('Planilla_General_07-12-2012_8_3'!E379,"AAAAAFe11B8=")</f>
        <v>#VALUE!</v>
      </c>
      <c r="AG26" t="e">
        <f>AND('Planilla_General_07-12-2012_8_3'!F379,"AAAAAFe11CA=")</f>
        <v>#VALUE!</v>
      </c>
      <c r="AH26" t="e">
        <f>AND('Planilla_General_07-12-2012_8_3'!G379,"AAAAAFe11CE=")</f>
        <v>#VALUE!</v>
      </c>
      <c r="AI26" t="e">
        <f>AND('Planilla_General_07-12-2012_8_3'!H379,"AAAAAFe11CI=")</f>
        <v>#VALUE!</v>
      </c>
      <c r="AJ26" t="e">
        <f>AND('Planilla_General_07-12-2012_8_3'!I379,"AAAAAFe11CM=")</f>
        <v>#VALUE!</v>
      </c>
      <c r="AK26" t="e">
        <f>AND('Planilla_General_07-12-2012_8_3'!J379,"AAAAAFe11CQ=")</f>
        <v>#VALUE!</v>
      </c>
      <c r="AL26" t="e">
        <f>AND('Planilla_General_07-12-2012_8_3'!K379,"AAAAAFe11CU=")</f>
        <v>#VALUE!</v>
      </c>
      <c r="AM26" t="e">
        <f>AND('Planilla_General_07-12-2012_8_3'!L379,"AAAAAFe11CY=")</f>
        <v>#VALUE!</v>
      </c>
      <c r="AN26" t="e">
        <f>AND('Planilla_General_07-12-2012_8_3'!M379,"AAAAAFe11Cc=")</f>
        <v>#VALUE!</v>
      </c>
      <c r="AO26" t="e">
        <f>AND('Planilla_General_07-12-2012_8_3'!N379,"AAAAAFe11Cg=")</f>
        <v>#VALUE!</v>
      </c>
      <c r="AP26" t="e">
        <f>AND('Planilla_General_07-12-2012_8_3'!O379,"AAAAAFe11Ck=")</f>
        <v>#VALUE!</v>
      </c>
      <c r="AQ26" t="e">
        <f>AND('Planilla_General_07-12-2012_8_3'!P379,"AAAAAFe11Co=")</f>
        <v>#VALUE!</v>
      </c>
      <c r="AR26">
        <f>IF('Planilla_General_07-12-2012_8_3'!380:380,"AAAAAFe11Cs=",0)</f>
        <v>0</v>
      </c>
      <c r="AS26" t="e">
        <f>AND('Planilla_General_07-12-2012_8_3'!A380,"AAAAAFe11Cw=")</f>
        <v>#VALUE!</v>
      </c>
      <c r="AT26" t="e">
        <f>AND('Planilla_General_07-12-2012_8_3'!B380,"AAAAAFe11C0=")</f>
        <v>#VALUE!</v>
      </c>
      <c r="AU26" t="e">
        <f>AND('Planilla_General_07-12-2012_8_3'!C380,"AAAAAFe11C4=")</f>
        <v>#VALUE!</v>
      </c>
      <c r="AV26" t="e">
        <f>AND('Planilla_General_07-12-2012_8_3'!D380,"AAAAAFe11C8=")</f>
        <v>#VALUE!</v>
      </c>
      <c r="AW26" t="e">
        <f>AND('Planilla_General_07-12-2012_8_3'!E380,"AAAAAFe11DA=")</f>
        <v>#VALUE!</v>
      </c>
      <c r="AX26" t="e">
        <f>AND('Planilla_General_07-12-2012_8_3'!F380,"AAAAAFe11DE=")</f>
        <v>#VALUE!</v>
      </c>
      <c r="AY26" t="e">
        <f>AND('Planilla_General_07-12-2012_8_3'!G380,"AAAAAFe11DI=")</f>
        <v>#VALUE!</v>
      </c>
      <c r="AZ26" t="e">
        <f>AND('Planilla_General_07-12-2012_8_3'!H380,"AAAAAFe11DM=")</f>
        <v>#VALUE!</v>
      </c>
      <c r="BA26" t="e">
        <f>AND('Planilla_General_07-12-2012_8_3'!I380,"AAAAAFe11DQ=")</f>
        <v>#VALUE!</v>
      </c>
      <c r="BB26" t="e">
        <f>AND('Planilla_General_07-12-2012_8_3'!J380,"AAAAAFe11DU=")</f>
        <v>#VALUE!</v>
      </c>
      <c r="BC26" t="e">
        <f>AND('Planilla_General_07-12-2012_8_3'!K380,"AAAAAFe11DY=")</f>
        <v>#VALUE!</v>
      </c>
      <c r="BD26" t="e">
        <f>AND('Planilla_General_07-12-2012_8_3'!L380,"AAAAAFe11Dc=")</f>
        <v>#VALUE!</v>
      </c>
      <c r="BE26" t="e">
        <f>AND('Planilla_General_07-12-2012_8_3'!M380,"AAAAAFe11Dg=")</f>
        <v>#VALUE!</v>
      </c>
      <c r="BF26" t="e">
        <f>AND('Planilla_General_07-12-2012_8_3'!N380,"AAAAAFe11Dk=")</f>
        <v>#VALUE!</v>
      </c>
      <c r="BG26" t="e">
        <f>AND('Planilla_General_07-12-2012_8_3'!O380,"AAAAAFe11Do=")</f>
        <v>#VALUE!</v>
      </c>
      <c r="BH26" t="e">
        <f>AND('Planilla_General_07-12-2012_8_3'!P380,"AAAAAFe11Ds=")</f>
        <v>#VALUE!</v>
      </c>
      <c r="BI26">
        <f>IF('Planilla_General_07-12-2012_8_3'!381:381,"AAAAAFe11Dw=",0)</f>
        <v>0</v>
      </c>
      <c r="BJ26" t="e">
        <f>AND('Planilla_General_07-12-2012_8_3'!A381,"AAAAAFe11D0=")</f>
        <v>#VALUE!</v>
      </c>
      <c r="BK26" t="e">
        <f>AND('Planilla_General_07-12-2012_8_3'!B381,"AAAAAFe11D4=")</f>
        <v>#VALUE!</v>
      </c>
      <c r="BL26" t="e">
        <f>AND('Planilla_General_07-12-2012_8_3'!C381,"AAAAAFe11D8=")</f>
        <v>#VALUE!</v>
      </c>
      <c r="BM26" t="e">
        <f>AND('Planilla_General_07-12-2012_8_3'!D381,"AAAAAFe11EA=")</f>
        <v>#VALUE!</v>
      </c>
      <c r="BN26" t="e">
        <f>AND('Planilla_General_07-12-2012_8_3'!E381,"AAAAAFe11EE=")</f>
        <v>#VALUE!</v>
      </c>
      <c r="BO26" t="e">
        <f>AND('Planilla_General_07-12-2012_8_3'!F381,"AAAAAFe11EI=")</f>
        <v>#VALUE!</v>
      </c>
      <c r="BP26" t="e">
        <f>AND('Planilla_General_07-12-2012_8_3'!G381,"AAAAAFe11EM=")</f>
        <v>#VALUE!</v>
      </c>
      <c r="BQ26" t="e">
        <f>AND('Planilla_General_07-12-2012_8_3'!H381,"AAAAAFe11EQ=")</f>
        <v>#VALUE!</v>
      </c>
      <c r="BR26" t="e">
        <f>AND('Planilla_General_07-12-2012_8_3'!I381,"AAAAAFe11EU=")</f>
        <v>#VALUE!</v>
      </c>
      <c r="BS26" t="e">
        <f>AND('Planilla_General_07-12-2012_8_3'!J381,"AAAAAFe11EY=")</f>
        <v>#VALUE!</v>
      </c>
      <c r="BT26" t="e">
        <f>AND('Planilla_General_07-12-2012_8_3'!K381,"AAAAAFe11Ec=")</f>
        <v>#VALUE!</v>
      </c>
      <c r="BU26" t="e">
        <f>AND('Planilla_General_07-12-2012_8_3'!L381,"AAAAAFe11Eg=")</f>
        <v>#VALUE!</v>
      </c>
      <c r="BV26" t="e">
        <f>AND('Planilla_General_07-12-2012_8_3'!M381,"AAAAAFe11Ek=")</f>
        <v>#VALUE!</v>
      </c>
      <c r="BW26" t="e">
        <f>AND('Planilla_General_07-12-2012_8_3'!N381,"AAAAAFe11Eo=")</f>
        <v>#VALUE!</v>
      </c>
      <c r="BX26" t="e">
        <f>AND('Planilla_General_07-12-2012_8_3'!O381,"AAAAAFe11Es=")</f>
        <v>#VALUE!</v>
      </c>
      <c r="BY26" t="e">
        <f>AND('Planilla_General_07-12-2012_8_3'!P381,"AAAAAFe11Ew=")</f>
        <v>#VALUE!</v>
      </c>
      <c r="BZ26">
        <f>IF('Planilla_General_07-12-2012_8_3'!382:382,"AAAAAFe11E0=",0)</f>
        <v>0</v>
      </c>
      <c r="CA26" t="e">
        <f>AND('Planilla_General_07-12-2012_8_3'!A382,"AAAAAFe11E4=")</f>
        <v>#VALUE!</v>
      </c>
      <c r="CB26" t="e">
        <f>AND('Planilla_General_07-12-2012_8_3'!B382,"AAAAAFe11E8=")</f>
        <v>#VALUE!</v>
      </c>
      <c r="CC26" t="e">
        <f>AND('Planilla_General_07-12-2012_8_3'!C382,"AAAAAFe11FA=")</f>
        <v>#VALUE!</v>
      </c>
      <c r="CD26" t="e">
        <f>AND('Planilla_General_07-12-2012_8_3'!D382,"AAAAAFe11FE=")</f>
        <v>#VALUE!</v>
      </c>
      <c r="CE26" t="e">
        <f>AND('Planilla_General_07-12-2012_8_3'!E382,"AAAAAFe11FI=")</f>
        <v>#VALUE!</v>
      </c>
      <c r="CF26" t="e">
        <f>AND('Planilla_General_07-12-2012_8_3'!F382,"AAAAAFe11FM=")</f>
        <v>#VALUE!</v>
      </c>
      <c r="CG26" t="e">
        <f>AND('Planilla_General_07-12-2012_8_3'!G382,"AAAAAFe11FQ=")</f>
        <v>#VALUE!</v>
      </c>
      <c r="CH26" t="e">
        <f>AND('Planilla_General_07-12-2012_8_3'!H382,"AAAAAFe11FU=")</f>
        <v>#VALUE!</v>
      </c>
      <c r="CI26" t="e">
        <f>AND('Planilla_General_07-12-2012_8_3'!I382,"AAAAAFe11FY=")</f>
        <v>#VALUE!</v>
      </c>
      <c r="CJ26" t="e">
        <f>AND('Planilla_General_07-12-2012_8_3'!J382,"AAAAAFe11Fc=")</f>
        <v>#VALUE!</v>
      </c>
      <c r="CK26" t="e">
        <f>AND('Planilla_General_07-12-2012_8_3'!K382,"AAAAAFe11Fg=")</f>
        <v>#VALUE!</v>
      </c>
      <c r="CL26" t="e">
        <f>AND('Planilla_General_07-12-2012_8_3'!L382,"AAAAAFe11Fk=")</f>
        <v>#VALUE!</v>
      </c>
      <c r="CM26" t="e">
        <f>AND('Planilla_General_07-12-2012_8_3'!M382,"AAAAAFe11Fo=")</f>
        <v>#VALUE!</v>
      </c>
      <c r="CN26" t="e">
        <f>AND('Planilla_General_07-12-2012_8_3'!N382,"AAAAAFe11Fs=")</f>
        <v>#VALUE!</v>
      </c>
      <c r="CO26" t="e">
        <f>AND('Planilla_General_07-12-2012_8_3'!O382,"AAAAAFe11Fw=")</f>
        <v>#VALUE!</v>
      </c>
      <c r="CP26" t="e">
        <f>AND('Planilla_General_07-12-2012_8_3'!P382,"AAAAAFe11F0=")</f>
        <v>#VALUE!</v>
      </c>
      <c r="CQ26">
        <f>IF('Planilla_General_07-12-2012_8_3'!383:383,"AAAAAFe11F4=",0)</f>
        <v>0</v>
      </c>
      <c r="CR26" t="e">
        <f>AND('Planilla_General_07-12-2012_8_3'!A383,"AAAAAFe11F8=")</f>
        <v>#VALUE!</v>
      </c>
      <c r="CS26" t="e">
        <f>AND('Planilla_General_07-12-2012_8_3'!B383,"AAAAAFe11GA=")</f>
        <v>#VALUE!</v>
      </c>
      <c r="CT26" t="e">
        <f>AND('Planilla_General_07-12-2012_8_3'!C383,"AAAAAFe11GE=")</f>
        <v>#VALUE!</v>
      </c>
      <c r="CU26" t="e">
        <f>AND('Planilla_General_07-12-2012_8_3'!D383,"AAAAAFe11GI=")</f>
        <v>#VALUE!</v>
      </c>
      <c r="CV26" t="e">
        <f>AND('Planilla_General_07-12-2012_8_3'!E383,"AAAAAFe11GM=")</f>
        <v>#VALUE!</v>
      </c>
      <c r="CW26" t="e">
        <f>AND('Planilla_General_07-12-2012_8_3'!F383,"AAAAAFe11GQ=")</f>
        <v>#VALUE!</v>
      </c>
      <c r="CX26" t="e">
        <f>AND('Planilla_General_07-12-2012_8_3'!G383,"AAAAAFe11GU=")</f>
        <v>#VALUE!</v>
      </c>
      <c r="CY26" t="e">
        <f>AND('Planilla_General_07-12-2012_8_3'!H383,"AAAAAFe11GY=")</f>
        <v>#VALUE!</v>
      </c>
      <c r="CZ26" t="e">
        <f>AND('Planilla_General_07-12-2012_8_3'!I383,"AAAAAFe11Gc=")</f>
        <v>#VALUE!</v>
      </c>
      <c r="DA26" t="e">
        <f>AND('Planilla_General_07-12-2012_8_3'!J383,"AAAAAFe11Gg=")</f>
        <v>#VALUE!</v>
      </c>
      <c r="DB26" t="e">
        <f>AND('Planilla_General_07-12-2012_8_3'!K383,"AAAAAFe11Gk=")</f>
        <v>#VALUE!</v>
      </c>
      <c r="DC26" t="e">
        <f>AND('Planilla_General_07-12-2012_8_3'!L383,"AAAAAFe11Go=")</f>
        <v>#VALUE!</v>
      </c>
      <c r="DD26" t="e">
        <f>AND('Planilla_General_07-12-2012_8_3'!M383,"AAAAAFe11Gs=")</f>
        <v>#VALUE!</v>
      </c>
      <c r="DE26" t="e">
        <f>AND('Planilla_General_07-12-2012_8_3'!N383,"AAAAAFe11Gw=")</f>
        <v>#VALUE!</v>
      </c>
      <c r="DF26" t="e">
        <f>AND('Planilla_General_07-12-2012_8_3'!O383,"AAAAAFe11G0=")</f>
        <v>#VALUE!</v>
      </c>
      <c r="DG26" t="e">
        <f>AND('Planilla_General_07-12-2012_8_3'!P383,"AAAAAFe11G4=")</f>
        <v>#VALUE!</v>
      </c>
      <c r="DH26">
        <f>IF('Planilla_General_07-12-2012_8_3'!384:384,"AAAAAFe11G8=",0)</f>
        <v>0</v>
      </c>
      <c r="DI26" t="e">
        <f>AND('Planilla_General_07-12-2012_8_3'!A384,"AAAAAFe11HA=")</f>
        <v>#VALUE!</v>
      </c>
      <c r="DJ26" t="e">
        <f>AND('Planilla_General_07-12-2012_8_3'!B384,"AAAAAFe11HE=")</f>
        <v>#VALUE!</v>
      </c>
      <c r="DK26" t="e">
        <f>AND('Planilla_General_07-12-2012_8_3'!C384,"AAAAAFe11HI=")</f>
        <v>#VALUE!</v>
      </c>
      <c r="DL26" t="e">
        <f>AND('Planilla_General_07-12-2012_8_3'!D384,"AAAAAFe11HM=")</f>
        <v>#VALUE!</v>
      </c>
      <c r="DM26" t="e">
        <f>AND('Planilla_General_07-12-2012_8_3'!E384,"AAAAAFe11HQ=")</f>
        <v>#VALUE!</v>
      </c>
      <c r="DN26" t="e">
        <f>AND('Planilla_General_07-12-2012_8_3'!F384,"AAAAAFe11HU=")</f>
        <v>#VALUE!</v>
      </c>
      <c r="DO26" t="e">
        <f>AND('Planilla_General_07-12-2012_8_3'!G384,"AAAAAFe11HY=")</f>
        <v>#VALUE!</v>
      </c>
      <c r="DP26" t="e">
        <f>AND('Planilla_General_07-12-2012_8_3'!H384,"AAAAAFe11Hc=")</f>
        <v>#VALUE!</v>
      </c>
      <c r="DQ26" t="e">
        <f>AND('Planilla_General_07-12-2012_8_3'!I384,"AAAAAFe11Hg=")</f>
        <v>#VALUE!</v>
      </c>
      <c r="DR26" t="e">
        <f>AND('Planilla_General_07-12-2012_8_3'!J384,"AAAAAFe11Hk=")</f>
        <v>#VALUE!</v>
      </c>
      <c r="DS26" t="e">
        <f>AND('Planilla_General_07-12-2012_8_3'!K384,"AAAAAFe11Ho=")</f>
        <v>#VALUE!</v>
      </c>
      <c r="DT26" t="e">
        <f>AND('Planilla_General_07-12-2012_8_3'!L384,"AAAAAFe11Hs=")</f>
        <v>#VALUE!</v>
      </c>
      <c r="DU26" t="e">
        <f>AND('Planilla_General_07-12-2012_8_3'!M384,"AAAAAFe11Hw=")</f>
        <v>#VALUE!</v>
      </c>
      <c r="DV26" t="e">
        <f>AND('Planilla_General_07-12-2012_8_3'!N384,"AAAAAFe11H0=")</f>
        <v>#VALUE!</v>
      </c>
      <c r="DW26" t="e">
        <f>AND('Planilla_General_07-12-2012_8_3'!O384,"AAAAAFe11H4=")</f>
        <v>#VALUE!</v>
      </c>
      <c r="DX26" t="e">
        <f>AND('Planilla_General_07-12-2012_8_3'!P384,"AAAAAFe11H8=")</f>
        <v>#VALUE!</v>
      </c>
      <c r="DY26">
        <f>IF('Planilla_General_07-12-2012_8_3'!385:385,"AAAAAFe11IA=",0)</f>
        <v>0</v>
      </c>
      <c r="DZ26" t="e">
        <f>AND('Planilla_General_07-12-2012_8_3'!A385,"AAAAAFe11IE=")</f>
        <v>#VALUE!</v>
      </c>
      <c r="EA26" t="e">
        <f>AND('Planilla_General_07-12-2012_8_3'!B385,"AAAAAFe11II=")</f>
        <v>#VALUE!</v>
      </c>
      <c r="EB26" t="e">
        <f>AND('Planilla_General_07-12-2012_8_3'!C385,"AAAAAFe11IM=")</f>
        <v>#VALUE!</v>
      </c>
      <c r="EC26" t="e">
        <f>AND('Planilla_General_07-12-2012_8_3'!D385,"AAAAAFe11IQ=")</f>
        <v>#VALUE!</v>
      </c>
      <c r="ED26" t="e">
        <f>AND('Planilla_General_07-12-2012_8_3'!E385,"AAAAAFe11IU=")</f>
        <v>#VALUE!</v>
      </c>
      <c r="EE26" t="e">
        <f>AND('Planilla_General_07-12-2012_8_3'!F385,"AAAAAFe11IY=")</f>
        <v>#VALUE!</v>
      </c>
      <c r="EF26" t="e">
        <f>AND('Planilla_General_07-12-2012_8_3'!G385,"AAAAAFe11Ic=")</f>
        <v>#VALUE!</v>
      </c>
      <c r="EG26" t="e">
        <f>AND('Planilla_General_07-12-2012_8_3'!H385,"AAAAAFe11Ig=")</f>
        <v>#VALUE!</v>
      </c>
      <c r="EH26" t="e">
        <f>AND('Planilla_General_07-12-2012_8_3'!I385,"AAAAAFe11Ik=")</f>
        <v>#VALUE!</v>
      </c>
      <c r="EI26" t="e">
        <f>AND('Planilla_General_07-12-2012_8_3'!J385,"AAAAAFe11Io=")</f>
        <v>#VALUE!</v>
      </c>
      <c r="EJ26" t="e">
        <f>AND('Planilla_General_07-12-2012_8_3'!K385,"AAAAAFe11Is=")</f>
        <v>#VALUE!</v>
      </c>
      <c r="EK26" t="e">
        <f>AND('Planilla_General_07-12-2012_8_3'!L385,"AAAAAFe11Iw=")</f>
        <v>#VALUE!</v>
      </c>
      <c r="EL26" t="e">
        <f>AND('Planilla_General_07-12-2012_8_3'!M385,"AAAAAFe11I0=")</f>
        <v>#VALUE!</v>
      </c>
      <c r="EM26" t="e">
        <f>AND('Planilla_General_07-12-2012_8_3'!N385,"AAAAAFe11I4=")</f>
        <v>#VALUE!</v>
      </c>
      <c r="EN26" t="e">
        <f>AND('Planilla_General_07-12-2012_8_3'!O385,"AAAAAFe11I8=")</f>
        <v>#VALUE!</v>
      </c>
      <c r="EO26" t="e">
        <f>AND('Planilla_General_07-12-2012_8_3'!P385,"AAAAAFe11JA=")</f>
        <v>#VALUE!</v>
      </c>
      <c r="EP26">
        <f>IF('Planilla_General_07-12-2012_8_3'!386:386,"AAAAAFe11JE=",0)</f>
        <v>0</v>
      </c>
      <c r="EQ26" t="e">
        <f>AND('Planilla_General_07-12-2012_8_3'!A386,"AAAAAFe11JI=")</f>
        <v>#VALUE!</v>
      </c>
      <c r="ER26" t="e">
        <f>AND('Planilla_General_07-12-2012_8_3'!B386,"AAAAAFe11JM=")</f>
        <v>#VALUE!</v>
      </c>
      <c r="ES26" t="e">
        <f>AND('Planilla_General_07-12-2012_8_3'!C386,"AAAAAFe11JQ=")</f>
        <v>#VALUE!</v>
      </c>
      <c r="ET26" t="e">
        <f>AND('Planilla_General_07-12-2012_8_3'!D386,"AAAAAFe11JU=")</f>
        <v>#VALUE!</v>
      </c>
      <c r="EU26" t="e">
        <f>AND('Planilla_General_07-12-2012_8_3'!E386,"AAAAAFe11JY=")</f>
        <v>#VALUE!</v>
      </c>
      <c r="EV26" t="e">
        <f>AND('Planilla_General_07-12-2012_8_3'!F386,"AAAAAFe11Jc=")</f>
        <v>#VALUE!</v>
      </c>
      <c r="EW26" t="e">
        <f>AND('Planilla_General_07-12-2012_8_3'!G386,"AAAAAFe11Jg=")</f>
        <v>#VALUE!</v>
      </c>
      <c r="EX26" t="e">
        <f>AND('Planilla_General_07-12-2012_8_3'!H386,"AAAAAFe11Jk=")</f>
        <v>#VALUE!</v>
      </c>
      <c r="EY26" t="e">
        <f>AND('Planilla_General_07-12-2012_8_3'!I386,"AAAAAFe11Jo=")</f>
        <v>#VALUE!</v>
      </c>
      <c r="EZ26" t="e">
        <f>AND('Planilla_General_07-12-2012_8_3'!J386,"AAAAAFe11Js=")</f>
        <v>#VALUE!</v>
      </c>
      <c r="FA26" t="e">
        <f>AND('Planilla_General_07-12-2012_8_3'!K386,"AAAAAFe11Jw=")</f>
        <v>#VALUE!</v>
      </c>
      <c r="FB26" t="e">
        <f>AND('Planilla_General_07-12-2012_8_3'!L386,"AAAAAFe11J0=")</f>
        <v>#VALUE!</v>
      </c>
      <c r="FC26" t="e">
        <f>AND('Planilla_General_07-12-2012_8_3'!M386,"AAAAAFe11J4=")</f>
        <v>#VALUE!</v>
      </c>
      <c r="FD26" t="e">
        <f>AND('Planilla_General_07-12-2012_8_3'!N386,"AAAAAFe11J8=")</f>
        <v>#VALUE!</v>
      </c>
      <c r="FE26" t="e">
        <f>AND('Planilla_General_07-12-2012_8_3'!O386,"AAAAAFe11KA=")</f>
        <v>#VALUE!</v>
      </c>
      <c r="FF26" t="e">
        <f>AND('Planilla_General_07-12-2012_8_3'!P386,"AAAAAFe11KE=")</f>
        <v>#VALUE!</v>
      </c>
      <c r="FG26">
        <f>IF('Planilla_General_07-12-2012_8_3'!387:387,"AAAAAFe11KI=",0)</f>
        <v>0</v>
      </c>
      <c r="FH26" t="e">
        <f>AND('Planilla_General_07-12-2012_8_3'!A387,"AAAAAFe11KM=")</f>
        <v>#VALUE!</v>
      </c>
      <c r="FI26" t="e">
        <f>AND('Planilla_General_07-12-2012_8_3'!B387,"AAAAAFe11KQ=")</f>
        <v>#VALUE!</v>
      </c>
      <c r="FJ26" t="e">
        <f>AND('Planilla_General_07-12-2012_8_3'!C387,"AAAAAFe11KU=")</f>
        <v>#VALUE!</v>
      </c>
      <c r="FK26" t="e">
        <f>AND('Planilla_General_07-12-2012_8_3'!D387,"AAAAAFe11KY=")</f>
        <v>#VALUE!</v>
      </c>
      <c r="FL26" t="e">
        <f>AND('Planilla_General_07-12-2012_8_3'!E387,"AAAAAFe11Kc=")</f>
        <v>#VALUE!</v>
      </c>
      <c r="FM26" t="e">
        <f>AND('Planilla_General_07-12-2012_8_3'!F387,"AAAAAFe11Kg=")</f>
        <v>#VALUE!</v>
      </c>
      <c r="FN26" t="e">
        <f>AND('Planilla_General_07-12-2012_8_3'!G387,"AAAAAFe11Kk=")</f>
        <v>#VALUE!</v>
      </c>
      <c r="FO26" t="e">
        <f>AND('Planilla_General_07-12-2012_8_3'!H387,"AAAAAFe11Ko=")</f>
        <v>#VALUE!</v>
      </c>
      <c r="FP26" t="e">
        <f>AND('Planilla_General_07-12-2012_8_3'!I387,"AAAAAFe11Ks=")</f>
        <v>#VALUE!</v>
      </c>
      <c r="FQ26" t="e">
        <f>AND('Planilla_General_07-12-2012_8_3'!J387,"AAAAAFe11Kw=")</f>
        <v>#VALUE!</v>
      </c>
      <c r="FR26" t="e">
        <f>AND('Planilla_General_07-12-2012_8_3'!K387,"AAAAAFe11K0=")</f>
        <v>#VALUE!</v>
      </c>
      <c r="FS26" t="e">
        <f>AND('Planilla_General_07-12-2012_8_3'!L387,"AAAAAFe11K4=")</f>
        <v>#VALUE!</v>
      </c>
      <c r="FT26" t="e">
        <f>AND('Planilla_General_07-12-2012_8_3'!M387,"AAAAAFe11K8=")</f>
        <v>#VALUE!</v>
      </c>
      <c r="FU26" t="e">
        <f>AND('Planilla_General_07-12-2012_8_3'!N387,"AAAAAFe11LA=")</f>
        <v>#VALUE!</v>
      </c>
      <c r="FV26" t="e">
        <f>AND('Planilla_General_07-12-2012_8_3'!O387,"AAAAAFe11LE=")</f>
        <v>#VALUE!</v>
      </c>
      <c r="FW26" t="e">
        <f>AND('Planilla_General_07-12-2012_8_3'!P387,"AAAAAFe11LI=")</f>
        <v>#VALUE!</v>
      </c>
      <c r="FX26">
        <f>IF('Planilla_General_07-12-2012_8_3'!388:388,"AAAAAFe11LM=",0)</f>
        <v>0</v>
      </c>
      <c r="FY26" t="e">
        <f>AND('Planilla_General_07-12-2012_8_3'!A388,"AAAAAFe11LQ=")</f>
        <v>#VALUE!</v>
      </c>
      <c r="FZ26" t="e">
        <f>AND('Planilla_General_07-12-2012_8_3'!B388,"AAAAAFe11LU=")</f>
        <v>#VALUE!</v>
      </c>
      <c r="GA26" t="e">
        <f>AND('Planilla_General_07-12-2012_8_3'!C388,"AAAAAFe11LY=")</f>
        <v>#VALUE!</v>
      </c>
      <c r="GB26" t="e">
        <f>AND('Planilla_General_07-12-2012_8_3'!D388,"AAAAAFe11Lc=")</f>
        <v>#VALUE!</v>
      </c>
      <c r="GC26" t="e">
        <f>AND('Planilla_General_07-12-2012_8_3'!E388,"AAAAAFe11Lg=")</f>
        <v>#VALUE!</v>
      </c>
      <c r="GD26" t="e">
        <f>AND('Planilla_General_07-12-2012_8_3'!F388,"AAAAAFe11Lk=")</f>
        <v>#VALUE!</v>
      </c>
      <c r="GE26" t="e">
        <f>AND('Planilla_General_07-12-2012_8_3'!G388,"AAAAAFe11Lo=")</f>
        <v>#VALUE!</v>
      </c>
      <c r="GF26" t="e">
        <f>AND('Planilla_General_07-12-2012_8_3'!H388,"AAAAAFe11Ls=")</f>
        <v>#VALUE!</v>
      </c>
      <c r="GG26" t="e">
        <f>AND('Planilla_General_07-12-2012_8_3'!I388,"AAAAAFe11Lw=")</f>
        <v>#VALUE!</v>
      </c>
      <c r="GH26" t="e">
        <f>AND('Planilla_General_07-12-2012_8_3'!J388,"AAAAAFe11L0=")</f>
        <v>#VALUE!</v>
      </c>
      <c r="GI26" t="e">
        <f>AND('Planilla_General_07-12-2012_8_3'!K388,"AAAAAFe11L4=")</f>
        <v>#VALUE!</v>
      </c>
      <c r="GJ26" t="e">
        <f>AND('Planilla_General_07-12-2012_8_3'!L388,"AAAAAFe11L8=")</f>
        <v>#VALUE!</v>
      </c>
      <c r="GK26" t="e">
        <f>AND('Planilla_General_07-12-2012_8_3'!M388,"AAAAAFe11MA=")</f>
        <v>#VALUE!</v>
      </c>
      <c r="GL26" t="e">
        <f>AND('Planilla_General_07-12-2012_8_3'!N388,"AAAAAFe11ME=")</f>
        <v>#VALUE!</v>
      </c>
      <c r="GM26" t="e">
        <f>AND('Planilla_General_07-12-2012_8_3'!O388,"AAAAAFe11MI=")</f>
        <v>#VALUE!</v>
      </c>
      <c r="GN26" t="e">
        <f>AND('Planilla_General_07-12-2012_8_3'!P388,"AAAAAFe11MM=")</f>
        <v>#VALUE!</v>
      </c>
      <c r="GO26">
        <f>IF('Planilla_General_07-12-2012_8_3'!389:389,"AAAAAFe11MQ=",0)</f>
        <v>0</v>
      </c>
      <c r="GP26" t="e">
        <f>AND('Planilla_General_07-12-2012_8_3'!A389,"AAAAAFe11MU=")</f>
        <v>#VALUE!</v>
      </c>
      <c r="GQ26" t="e">
        <f>AND('Planilla_General_07-12-2012_8_3'!B389,"AAAAAFe11MY=")</f>
        <v>#VALUE!</v>
      </c>
      <c r="GR26" t="e">
        <f>AND('Planilla_General_07-12-2012_8_3'!C389,"AAAAAFe11Mc=")</f>
        <v>#VALUE!</v>
      </c>
      <c r="GS26" t="e">
        <f>AND('Planilla_General_07-12-2012_8_3'!D389,"AAAAAFe11Mg=")</f>
        <v>#VALUE!</v>
      </c>
      <c r="GT26" t="e">
        <f>AND('Planilla_General_07-12-2012_8_3'!E389,"AAAAAFe11Mk=")</f>
        <v>#VALUE!</v>
      </c>
      <c r="GU26" t="e">
        <f>AND('Planilla_General_07-12-2012_8_3'!F389,"AAAAAFe11Mo=")</f>
        <v>#VALUE!</v>
      </c>
      <c r="GV26" t="e">
        <f>AND('Planilla_General_07-12-2012_8_3'!G389,"AAAAAFe11Ms=")</f>
        <v>#VALUE!</v>
      </c>
      <c r="GW26" t="e">
        <f>AND('Planilla_General_07-12-2012_8_3'!H389,"AAAAAFe11Mw=")</f>
        <v>#VALUE!</v>
      </c>
      <c r="GX26" t="e">
        <f>AND('Planilla_General_07-12-2012_8_3'!I389,"AAAAAFe11M0=")</f>
        <v>#VALUE!</v>
      </c>
      <c r="GY26" t="e">
        <f>AND('Planilla_General_07-12-2012_8_3'!J389,"AAAAAFe11M4=")</f>
        <v>#VALUE!</v>
      </c>
      <c r="GZ26" t="e">
        <f>AND('Planilla_General_07-12-2012_8_3'!K389,"AAAAAFe11M8=")</f>
        <v>#VALUE!</v>
      </c>
      <c r="HA26" t="e">
        <f>AND('Planilla_General_07-12-2012_8_3'!L389,"AAAAAFe11NA=")</f>
        <v>#VALUE!</v>
      </c>
      <c r="HB26" t="e">
        <f>AND('Planilla_General_07-12-2012_8_3'!M389,"AAAAAFe11NE=")</f>
        <v>#VALUE!</v>
      </c>
      <c r="HC26" t="e">
        <f>AND('Planilla_General_07-12-2012_8_3'!N389,"AAAAAFe11NI=")</f>
        <v>#VALUE!</v>
      </c>
      <c r="HD26" t="e">
        <f>AND('Planilla_General_07-12-2012_8_3'!O389,"AAAAAFe11NM=")</f>
        <v>#VALUE!</v>
      </c>
      <c r="HE26" t="e">
        <f>AND('Planilla_General_07-12-2012_8_3'!P389,"AAAAAFe11NQ=")</f>
        <v>#VALUE!</v>
      </c>
      <c r="HF26">
        <f>IF('Planilla_General_07-12-2012_8_3'!390:390,"AAAAAFe11NU=",0)</f>
        <v>0</v>
      </c>
      <c r="HG26" t="e">
        <f>AND('Planilla_General_07-12-2012_8_3'!A390,"AAAAAFe11NY=")</f>
        <v>#VALUE!</v>
      </c>
      <c r="HH26" t="e">
        <f>AND('Planilla_General_07-12-2012_8_3'!B390,"AAAAAFe11Nc=")</f>
        <v>#VALUE!</v>
      </c>
      <c r="HI26" t="e">
        <f>AND('Planilla_General_07-12-2012_8_3'!C390,"AAAAAFe11Ng=")</f>
        <v>#VALUE!</v>
      </c>
      <c r="HJ26" t="e">
        <f>AND('Planilla_General_07-12-2012_8_3'!D390,"AAAAAFe11Nk=")</f>
        <v>#VALUE!</v>
      </c>
      <c r="HK26" t="e">
        <f>AND('Planilla_General_07-12-2012_8_3'!E390,"AAAAAFe11No=")</f>
        <v>#VALUE!</v>
      </c>
      <c r="HL26" t="e">
        <f>AND('Planilla_General_07-12-2012_8_3'!F390,"AAAAAFe11Ns=")</f>
        <v>#VALUE!</v>
      </c>
      <c r="HM26" t="e">
        <f>AND('Planilla_General_07-12-2012_8_3'!G390,"AAAAAFe11Nw=")</f>
        <v>#VALUE!</v>
      </c>
      <c r="HN26" t="e">
        <f>AND('Planilla_General_07-12-2012_8_3'!H390,"AAAAAFe11N0=")</f>
        <v>#VALUE!</v>
      </c>
      <c r="HO26" t="e">
        <f>AND('Planilla_General_07-12-2012_8_3'!I390,"AAAAAFe11N4=")</f>
        <v>#VALUE!</v>
      </c>
      <c r="HP26" t="e">
        <f>AND('Planilla_General_07-12-2012_8_3'!J390,"AAAAAFe11N8=")</f>
        <v>#VALUE!</v>
      </c>
      <c r="HQ26" t="e">
        <f>AND('Planilla_General_07-12-2012_8_3'!K390,"AAAAAFe11OA=")</f>
        <v>#VALUE!</v>
      </c>
      <c r="HR26" t="e">
        <f>AND('Planilla_General_07-12-2012_8_3'!L390,"AAAAAFe11OE=")</f>
        <v>#VALUE!</v>
      </c>
      <c r="HS26" t="e">
        <f>AND('Planilla_General_07-12-2012_8_3'!M390,"AAAAAFe11OI=")</f>
        <v>#VALUE!</v>
      </c>
      <c r="HT26" t="e">
        <f>AND('Planilla_General_07-12-2012_8_3'!N390,"AAAAAFe11OM=")</f>
        <v>#VALUE!</v>
      </c>
      <c r="HU26" t="e">
        <f>AND('Planilla_General_07-12-2012_8_3'!O390,"AAAAAFe11OQ=")</f>
        <v>#VALUE!</v>
      </c>
      <c r="HV26" t="e">
        <f>AND('Planilla_General_07-12-2012_8_3'!P390,"AAAAAFe11OU=")</f>
        <v>#VALUE!</v>
      </c>
      <c r="HW26">
        <f>IF('Planilla_General_07-12-2012_8_3'!391:391,"AAAAAFe11OY=",0)</f>
        <v>0</v>
      </c>
      <c r="HX26" t="e">
        <f>AND('Planilla_General_07-12-2012_8_3'!A391,"AAAAAFe11Oc=")</f>
        <v>#VALUE!</v>
      </c>
      <c r="HY26" t="e">
        <f>AND('Planilla_General_07-12-2012_8_3'!B391,"AAAAAFe11Og=")</f>
        <v>#VALUE!</v>
      </c>
      <c r="HZ26" t="e">
        <f>AND('Planilla_General_07-12-2012_8_3'!C391,"AAAAAFe11Ok=")</f>
        <v>#VALUE!</v>
      </c>
      <c r="IA26" t="e">
        <f>AND('Planilla_General_07-12-2012_8_3'!D391,"AAAAAFe11Oo=")</f>
        <v>#VALUE!</v>
      </c>
      <c r="IB26" t="e">
        <f>AND('Planilla_General_07-12-2012_8_3'!E391,"AAAAAFe11Os=")</f>
        <v>#VALUE!</v>
      </c>
      <c r="IC26" t="e">
        <f>AND('Planilla_General_07-12-2012_8_3'!F391,"AAAAAFe11Ow=")</f>
        <v>#VALUE!</v>
      </c>
      <c r="ID26" t="e">
        <f>AND('Planilla_General_07-12-2012_8_3'!G391,"AAAAAFe11O0=")</f>
        <v>#VALUE!</v>
      </c>
      <c r="IE26" t="e">
        <f>AND('Planilla_General_07-12-2012_8_3'!H391,"AAAAAFe11O4=")</f>
        <v>#VALUE!</v>
      </c>
      <c r="IF26" t="e">
        <f>AND('Planilla_General_07-12-2012_8_3'!I391,"AAAAAFe11O8=")</f>
        <v>#VALUE!</v>
      </c>
      <c r="IG26" t="e">
        <f>AND('Planilla_General_07-12-2012_8_3'!J391,"AAAAAFe11PA=")</f>
        <v>#VALUE!</v>
      </c>
      <c r="IH26" t="e">
        <f>AND('Planilla_General_07-12-2012_8_3'!K391,"AAAAAFe11PE=")</f>
        <v>#VALUE!</v>
      </c>
      <c r="II26" t="e">
        <f>AND('Planilla_General_07-12-2012_8_3'!L391,"AAAAAFe11PI=")</f>
        <v>#VALUE!</v>
      </c>
      <c r="IJ26" t="e">
        <f>AND('Planilla_General_07-12-2012_8_3'!M391,"AAAAAFe11PM=")</f>
        <v>#VALUE!</v>
      </c>
      <c r="IK26" t="e">
        <f>AND('Planilla_General_07-12-2012_8_3'!N391,"AAAAAFe11PQ=")</f>
        <v>#VALUE!</v>
      </c>
      <c r="IL26" t="e">
        <f>AND('Planilla_General_07-12-2012_8_3'!O391,"AAAAAFe11PU=")</f>
        <v>#VALUE!</v>
      </c>
      <c r="IM26" t="e">
        <f>AND('Planilla_General_07-12-2012_8_3'!P391,"AAAAAFe11PY=")</f>
        <v>#VALUE!</v>
      </c>
      <c r="IN26">
        <f>IF('Planilla_General_07-12-2012_8_3'!392:392,"AAAAAFe11Pc=",0)</f>
        <v>0</v>
      </c>
      <c r="IO26" t="e">
        <f>AND('Planilla_General_07-12-2012_8_3'!A392,"AAAAAFe11Pg=")</f>
        <v>#VALUE!</v>
      </c>
      <c r="IP26" t="e">
        <f>AND('Planilla_General_07-12-2012_8_3'!B392,"AAAAAFe11Pk=")</f>
        <v>#VALUE!</v>
      </c>
      <c r="IQ26" t="e">
        <f>AND('Planilla_General_07-12-2012_8_3'!C392,"AAAAAFe11Po=")</f>
        <v>#VALUE!</v>
      </c>
      <c r="IR26" t="e">
        <f>AND('Planilla_General_07-12-2012_8_3'!D392,"AAAAAFe11Ps=")</f>
        <v>#VALUE!</v>
      </c>
      <c r="IS26" t="e">
        <f>AND('Planilla_General_07-12-2012_8_3'!E392,"AAAAAFe11Pw=")</f>
        <v>#VALUE!</v>
      </c>
      <c r="IT26" t="e">
        <f>AND('Planilla_General_07-12-2012_8_3'!F392,"AAAAAFe11P0=")</f>
        <v>#VALUE!</v>
      </c>
      <c r="IU26" t="e">
        <f>AND('Planilla_General_07-12-2012_8_3'!G392,"AAAAAFe11P4=")</f>
        <v>#VALUE!</v>
      </c>
      <c r="IV26" t="e">
        <f>AND('Planilla_General_07-12-2012_8_3'!H392,"AAAAAFe11P8=")</f>
        <v>#VALUE!</v>
      </c>
    </row>
    <row r="27" spans="1:256" x14ac:dyDescent="0.25">
      <c r="A27" t="e">
        <f>AND('Planilla_General_07-12-2012_8_3'!I392,"AAAAAC9/rwA=")</f>
        <v>#VALUE!</v>
      </c>
      <c r="B27" t="e">
        <f>AND('Planilla_General_07-12-2012_8_3'!J392,"AAAAAC9/rwE=")</f>
        <v>#VALUE!</v>
      </c>
      <c r="C27" t="e">
        <f>AND('Planilla_General_07-12-2012_8_3'!K392,"AAAAAC9/rwI=")</f>
        <v>#VALUE!</v>
      </c>
      <c r="D27" t="e">
        <f>AND('Planilla_General_07-12-2012_8_3'!L392,"AAAAAC9/rwM=")</f>
        <v>#VALUE!</v>
      </c>
      <c r="E27" t="e">
        <f>AND('Planilla_General_07-12-2012_8_3'!M392,"AAAAAC9/rwQ=")</f>
        <v>#VALUE!</v>
      </c>
      <c r="F27" t="e">
        <f>AND('Planilla_General_07-12-2012_8_3'!N392,"AAAAAC9/rwU=")</f>
        <v>#VALUE!</v>
      </c>
      <c r="G27" t="e">
        <f>AND('Planilla_General_07-12-2012_8_3'!O392,"AAAAAC9/rwY=")</f>
        <v>#VALUE!</v>
      </c>
      <c r="H27" t="e">
        <f>AND('Planilla_General_07-12-2012_8_3'!P392,"AAAAAC9/rwc=")</f>
        <v>#VALUE!</v>
      </c>
      <c r="I27" t="e">
        <f>IF('Planilla_General_07-12-2012_8_3'!393:393,"AAAAAC9/rwg=",0)</f>
        <v>#VALUE!</v>
      </c>
      <c r="J27" t="e">
        <f>AND('Planilla_General_07-12-2012_8_3'!A393,"AAAAAC9/rwk=")</f>
        <v>#VALUE!</v>
      </c>
      <c r="K27" t="e">
        <f>AND('Planilla_General_07-12-2012_8_3'!B393,"AAAAAC9/rwo=")</f>
        <v>#VALUE!</v>
      </c>
      <c r="L27" t="e">
        <f>AND('Planilla_General_07-12-2012_8_3'!C393,"AAAAAC9/rws=")</f>
        <v>#VALUE!</v>
      </c>
      <c r="M27" t="e">
        <f>AND('Planilla_General_07-12-2012_8_3'!D393,"AAAAAC9/rww=")</f>
        <v>#VALUE!</v>
      </c>
      <c r="N27" t="e">
        <f>AND('Planilla_General_07-12-2012_8_3'!E393,"AAAAAC9/rw0=")</f>
        <v>#VALUE!</v>
      </c>
      <c r="O27" t="e">
        <f>AND('Planilla_General_07-12-2012_8_3'!F393,"AAAAAC9/rw4=")</f>
        <v>#VALUE!</v>
      </c>
      <c r="P27" t="e">
        <f>AND('Planilla_General_07-12-2012_8_3'!G393,"AAAAAC9/rw8=")</f>
        <v>#VALUE!</v>
      </c>
      <c r="Q27" t="e">
        <f>AND('Planilla_General_07-12-2012_8_3'!H393,"AAAAAC9/rxA=")</f>
        <v>#VALUE!</v>
      </c>
      <c r="R27" t="e">
        <f>AND('Planilla_General_07-12-2012_8_3'!I393,"AAAAAC9/rxE=")</f>
        <v>#VALUE!</v>
      </c>
      <c r="S27" t="e">
        <f>AND('Planilla_General_07-12-2012_8_3'!J393,"AAAAAC9/rxI=")</f>
        <v>#VALUE!</v>
      </c>
      <c r="T27" t="e">
        <f>AND('Planilla_General_07-12-2012_8_3'!K393,"AAAAAC9/rxM=")</f>
        <v>#VALUE!</v>
      </c>
      <c r="U27" t="e">
        <f>AND('Planilla_General_07-12-2012_8_3'!L393,"AAAAAC9/rxQ=")</f>
        <v>#VALUE!</v>
      </c>
      <c r="V27" t="e">
        <f>AND('Planilla_General_07-12-2012_8_3'!M393,"AAAAAC9/rxU=")</f>
        <v>#VALUE!</v>
      </c>
      <c r="W27" t="e">
        <f>AND('Planilla_General_07-12-2012_8_3'!N393,"AAAAAC9/rxY=")</f>
        <v>#VALUE!</v>
      </c>
      <c r="X27" t="e">
        <f>AND('Planilla_General_07-12-2012_8_3'!O393,"AAAAAC9/rxc=")</f>
        <v>#VALUE!</v>
      </c>
      <c r="Y27" t="e">
        <f>AND('Planilla_General_07-12-2012_8_3'!P393,"AAAAAC9/rxg=")</f>
        <v>#VALUE!</v>
      </c>
      <c r="Z27">
        <f>IF('Planilla_General_07-12-2012_8_3'!394:394,"AAAAAC9/rxk=",0)</f>
        <v>0</v>
      </c>
      <c r="AA27" t="e">
        <f>AND('Planilla_General_07-12-2012_8_3'!A394,"AAAAAC9/rxo=")</f>
        <v>#VALUE!</v>
      </c>
      <c r="AB27" t="e">
        <f>AND('Planilla_General_07-12-2012_8_3'!B394,"AAAAAC9/rxs=")</f>
        <v>#VALUE!</v>
      </c>
      <c r="AC27" t="e">
        <f>AND('Planilla_General_07-12-2012_8_3'!C394,"AAAAAC9/rxw=")</f>
        <v>#VALUE!</v>
      </c>
      <c r="AD27" t="e">
        <f>AND('Planilla_General_07-12-2012_8_3'!D394,"AAAAAC9/rx0=")</f>
        <v>#VALUE!</v>
      </c>
      <c r="AE27" t="e">
        <f>AND('Planilla_General_07-12-2012_8_3'!E394,"AAAAAC9/rx4=")</f>
        <v>#VALUE!</v>
      </c>
      <c r="AF27" t="e">
        <f>AND('Planilla_General_07-12-2012_8_3'!F394,"AAAAAC9/rx8=")</f>
        <v>#VALUE!</v>
      </c>
      <c r="AG27" t="e">
        <f>AND('Planilla_General_07-12-2012_8_3'!G394,"AAAAAC9/ryA=")</f>
        <v>#VALUE!</v>
      </c>
      <c r="AH27" t="e">
        <f>AND('Planilla_General_07-12-2012_8_3'!H394,"AAAAAC9/ryE=")</f>
        <v>#VALUE!</v>
      </c>
      <c r="AI27" t="e">
        <f>AND('Planilla_General_07-12-2012_8_3'!I394,"AAAAAC9/ryI=")</f>
        <v>#VALUE!</v>
      </c>
      <c r="AJ27" t="e">
        <f>AND('Planilla_General_07-12-2012_8_3'!J394,"AAAAAC9/ryM=")</f>
        <v>#VALUE!</v>
      </c>
      <c r="AK27" t="e">
        <f>AND('Planilla_General_07-12-2012_8_3'!K394,"AAAAAC9/ryQ=")</f>
        <v>#VALUE!</v>
      </c>
      <c r="AL27" t="e">
        <f>AND('Planilla_General_07-12-2012_8_3'!L394,"AAAAAC9/ryU=")</f>
        <v>#VALUE!</v>
      </c>
      <c r="AM27" t="e">
        <f>AND('Planilla_General_07-12-2012_8_3'!M394,"AAAAAC9/ryY=")</f>
        <v>#VALUE!</v>
      </c>
      <c r="AN27" t="e">
        <f>AND('Planilla_General_07-12-2012_8_3'!N394,"AAAAAC9/ryc=")</f>
        <v>#VALUE!</v>
      </c>
      <c r="AO27" t="e">
        <f>AND('Planilla_General_07-12-2012_8_3'!O394,"AAAAAC9/ryg=")</f>
        <v>#VALUE!</v>
      </c>
      <c r="AP27" t="e">
        <f>AND('Planilla_General_07-12-2012_8_3'!P394,"AAAAAC9/ryk=")</f>
        <v>#VALUE!</v>
      </c>
      <c r="AQ27">
        <f>IF('Planilla_General_07-12-2012_8_3'!395:395,"AAAAAC9/ryo=",0)</f>
        <v>0</v>
      </c>
      <c r="AR27" t="e">
        <f>AND('Planilla_General_07-12-2012_8_3'!A395,"AAAAAC9/rys=")</f>
        <v>#VALUE!</v>
      </c>
      <c r="AS27" t="e">
        <f>AND('Planilla_General_07-12-2012_8_3'!B395,"AAAAAC9/ryw=")</f>
        <v>#VALUE!</v>
      </c>
      <c r="AT27" t="e">
        <f>AND('Planilla_General_07-12-2012_8_3'!C395,"AAAAAC9/ry0=")</f>
        <v>#VALUE!</v>
      </c>
      <c r="AU27" t="e">
        <f>AND('Planilla_General_07-12-2012_8_3'!D395,"AAAAAC9/ry4=")</f>
        <v>#VALUE!</v>
      </c>
      <c r="AV27" t="e">
        <f>AND('Planilla_General_07-12-2012_8_3'!E395,"AAAAAC9/ry8=")</f>
        <v>#VALUE!</v>
      </c>
      <c r="AW27" t="e">
        <f>AND('Planilla_General_07-12-2012_8_3'!F395,"AAAAAC9/rzA=")</f>
        <v>#VALUE!</v>
      </c>
      <c r="AX27" t="e">
        <f>AND('Planilla_General_07-12-2012_8_3'!G395,"AAAAAC9/rzE=")</f>
        <v>#VALUE!</v>
      </c>
      <c r="AY27" t="e">
        <f>AND('Planilla_General_07-12-2012_8_3'!H395,"AAAAAC9/rzI=")</f>
        <v>#VALUE!</v>
      </c>
      <c r="AZ27" t="e">
        <f>AND('Planilla_General_07-12-2012_8_3'!I395,"AAAAAC9/rzM=")</f>
        <v>#VALUE!</v>
      </c>
      <c r="BA27" t="e">
        <f>AND('Planilla_General_07-12-2012_8_3'!J395,"AAAAAC9/rzQ=")</f>
        <v>#VALUE!</v>
      </c>
      <c r="BB27" t="e">
        <f>AND('Planilla_General_07-12-2012_8_3'!K395,"AAAAAC9/rzU=")</f>
        <v>#VALUE!</v>
      </c>
      <c r="BC27" t="e">
        <f>AND('Planilla_General_07-12-2012_8_3'!L395,"AAAAAC9/rzY=")</f>
        <v>#VALUE!</v>
      </c>
      <c r="BD27" t="e">
        <f>AND('Planilla_General_07-12-2012_8_3'!M395,"AAAAAC9/rzc=")</f>
        <v>#VALUE!</v>
      </c>
      <c r="BE27" t="e">
        <f>AND('Planilla_General_07-12-2012_8_3'!N395,"AAAAAC9/rzg=")</f>
        <v>#VALUE!</v>
      </c>
      <c r="BF27" t="e">
        <f>AND('Planilla_General_07-12-2012_8_3'!O395,"AAAAAC9/rzk=")</f>
        <v>#VALUE!</v>
      </c>
      <c r="BG27" t="e">
        <f>AND('Planilla_General_07-12-2012_8_3'!P395,"AAAAAC9/rzo=")</f>
        <v>#VALUE!</v>
      </c>
      <c r="BH27">
        <f>IF('Planilla_General_07-12-2012_8_3'!396:396,"AAAAAC9/rzs=",0)</f>
        <v>0</v>
      </c>
      <c r="BI27" t="e">
        <f>AND('Planilla_General_07-12-2012_8_3'!A396,"AAAAAC9/rzw=")</f>
        <v>#VALUE!</v>
      </c>
      <c r="BJ27" t="e">
        <f>AND('Planilla_General_07-12-2012_8_3'!B396,"AAAAAC9/rz0=")</f>
        <v>#VALUE!</v>
      </c>
      <c r="BK27" t="e">
        <f>AND('Planilla_General_07-12-2012_8_3'!C396,"AAAAAC9/rz4=")</f>
        <v>#VALUE!</v>
      </c>
      <c r="BL27" t="e">
        <f>AND('Planilla_General_07-12-2012_8_3'!D396,"AAAAAC9/rz8=")</f>
        <v>#VALUE!</v>
      </c>
      <c r="BM27" t="e">
        <f>AND('Planilla_General_07-12-2012_8_3'!E396,"AAAAAC9/r0A=")</f>
        <v>#VALUE!</v>
      </c>
      <c r="BN27" t="e">
        <f>AND('Planilla_General_07-12-2012_8_3'!F396,"AAAAAC9/r0E=")</f>
        <v>#VALUE!</v>
      </c>
      <c r="BO27" t="e">
        <f>AND('Planilla_General_07-12-2012_8_3'!G396,"AAAAAC9/r0I=")</f>
        <v>#VALUE!</v>
      </c>
      <c r="BP27" t="e">
        <f>AND('Planilla_General_07-12-2012_8_3'!H396,"AAAAAC9/r0M=")</f>
        <v>#VALUE!</v>
      </c>
      <c r="BQ27" t="e">
        <f>AND('Planilla_General_07-12-2012_8_3'!I396,"AAAAAC9/r0Q=")</f>
        <v>#VALUE!</v>
      </c>
      <c r="BR27" t="e">
        <f>AND('Planilla_General_07-12-2012_8_3'!J396,"AAAAAC9/r0U=")</f>
        <v>#VALUE!</v>
      </c>
      <c r="BS27" t="e">
        <f>AND('Planilla_General_07-12-2012_8_3'!K396,"AAAAAC9/r0Y=")</f>
        <v>#VALUE!</v>
      </c>
      <c r="BT27" t="e">
        <f>AND('Planilla_General_07-12-2012_8_3'!L396,"AAAAAC9/r0c=")</f>
        <v>#VALUE!</v>
      </c>
      <c r="BU27" t="e">
        <f>AND('Planilla_General_07-12-2012_8_3'!M396,"AAAAAC9/r0g=")</f>
        <v>#VALUE!</v>
      </c>
      <c r="BV27" t="e">
        <f>AND('Planilla_General_07-12-2012_8_3'!N396,"AAAAAC9/r0k=")</f>
        <v>#VALUE!</v>
      </c>
      <c r="BW27" t="e">
        <f>AND('Planilla_General_07-12-2012_8_3'!O396,"AAAAAC9/r0o=")</f>
        <v>#VALUE!</v>
      </c>
      <c r="BX27" t="e">
        <f>AND('Planilla_General_07-12-2012_8_3'!P396,"AAAAAC9/r0s=")</f>
        <v>#VALUE!</v>
      </c>
      <c r="BY27">
        <f>IF('Planilla_General_07-12-2012_8_3'!397:397,"AAAAAC9/r0w=",0)</f>
        <v>0</v>
      </c>
      <c r="BZ27" t="e">
        <f>AND('Planilla_General_07-12-2012_8_3'!A397,"AAAAAC9/r00=")</f>
        <v>#VALUE!</v>
      </c>
      <c r="CA27" t="e">
        <f>AND('Planilla_General_07-12-2012_8_3'!B397,"AAAAAC9/r04=")</f>
        <v>#VALUE!</v>
      </c>
      <c r="CB27" t="e">
        <f>AND('Planilla_General_07-12-2012_8_3'!C397,"AAAAAC9/r08=")</f>
        <v>#VALUE!</v>
      </c>
      <c r="CC27" t="e">
        <f>AND('Planilla_General_07-12-2012_8_3'!D397,"AAAAAC9/r1A=")</f>
        <v>#VALUE!</v>
      </c>
      <c r="CD27" t="e">
        <f>AND('Planilla_General_07-12-2012_8_3'!E397,"AAAAAC9/r1E=")</f>
        <v>#VALUE!</v>
      </c>
      <c r="CE27" t="e">
        <f>AND('Planilla_General_07-12-2012_8_3'!F397,"AAAAAC9/r1I=")</f>
        <v>#VALUE!</v>
      </c>
      <c r="CF27" t="e">
        <f>AND('Planilla_General_07-12-2012_8_3'!G397,"AAAAAC9/r1M=")</f>
        <v>#VALUE!</v>
      </c>
      <c r="CG27" t="e">
        <f>AND('Planilla_General_07-12-2012_8_3'!H397,"AAAAAC9/r1Q=")</f>
        <v>#VALUE!</v>
      </c>
      <c r="CH27" t="e">
        <f>AND('Planilla_General_07-12-2012_8_3'!I397,"AAAAAC9/r1U=")</f>
        <v>#VALUE!</v>
      </c>
      <c r="CI27" t="e">
        <f>AND('Planilla_General_07-12-2012_8_3'!J397,"AAAAAC9/r1Y=")</f>
        <v>#VALUE!</v>
      </c>
      <c r="CJ27" t="e">
        <f>AND('Planilla_General_07-12-2012_8_3'!K397,"AAAAAC9/r1c=")</f>
        <v>#VALUE!</v>
      </c>
      <c r="CK27" t="e">
        <f>AND('Planilla_General_07-12-2012_8_3'!L397,"AAAAAC9/r1g=")</f>
        <v>#VALUE!</v>
      </c>
      <c r="CL27" t="e">
        <f>AND('Planilla_General_07-12-2012_8_3'!M397,"AAAAAC9/r1k=")</f>
        <v>#VALUE!</v>
      </c>
      <c r="CM27" t="e">
        <f>AND('Planilla_General_07-12-2012_8_3'!N397,"AAAAAC9/r1o=")</f>
        <v>#VALUE!</v>
      </c>
      <c r="CN27" t="e">
        <f>AND('Planilla_General_07-12-2012_8_3'!O397,"AAAAAC9/r1s=")</f>
        <v>#VALUE!</v>
      </c>
      <c r="CO27" t="e">
        <f>AND('Planilla_General_07-12-2012_8_3'!P397,"AAAAAC9/r1w=")</f>
        <v>#VALUE!</v>
      </c>
      <c r="CP27">
        <f>IF('Planilla_General_07-12-2012_8_3'!398:398,"AAAAAC9/r10=",0)</f>
        <v>0</v>
      </c>
      <c r="CQ27" t="e">
        <f>AND('Planilla_General_07-12-2012_8_3'!A398,"AAAAAC9/r14=")</f>
        <v>#VALUE!</v>
      </c>
      <c r="CR27" t="e">
        <f>AND('Planilla_General_07-12-2012_8_3'!B398,"AAAAAC9/r18=")</f>
        <v>#VALUE!</v>
      </c>
      <c r="CS27" t="e">
        <f>AND('Planilla_General_07-12-2012_8_3'!C398,"AAAAAC9/r2A=")</f>
        <v>#VALUE!</v>
      </c>
      <c r="CT27" t="e">
        <f>AND('Planilla_General_07-12-2012_8_3'!D398,"AAAAAC9/r2E=")</f>
        <v>#VALUE!</v>
      </c>
      <c r="CU27" t="e">
        <f>AND('Planilla_General_07-12-2012_8_3'!E398,"AAAAAC9/r2I=")</f>
        <v>#VALUE!</v>
      </c>
      <c r="CV27" t="e">
        <f>AND('Planilla_General_07-12-2012_8_3'!F398,"AAAAAC9/r2M=")</f>
        <v>#VALUE!</v>
      </c>
      <c r="CW27" t="e">
        <f>AND('Planilla_General_07-12-2012_8_3'!G398,"AAAAAC9/r2Q=")</f>
        <v>#VALUE!</v>
      </c>
      <c r="CX27" t="e">
        <f>AND('Planilla_General_07-12-2012_8_3'!H398,"AAAAAC9/r2U=")</f>
        <v>#VALUE!</v>
      </c>
      <c r="CY27" t="e">
        <f>AND('Planilla_General_07-12-2012_8_3'!I398,"AAAAAC9/r2Y=")</f>
        <v>#VALUE!</v>
      </c>
      <c r="CZ27" t="e">
        <f>AND('Planilla_General_07-12-2012_8_3'!J398,"AAAAAC9/r2c=")</f>
        <v>#VALUE!</v>
      </c>
      <c r="DA27" t="e">
        <f>AND('Planilla_General_07-12-2012_8_3'!K398,"AAAAAC9/r2g=")</f>
        <v>#VALUE!</v>
      </c>
      <c r="DB27" t="e">
        <f>AND('Planilla_General_07-12-2012_8_3'!L398,"AAAAAC9/r2k=")</f>
        <v>#VALUE!</v>
      </c>
      <c r="DC27" t="e">
        <f>AND('Planilla_General_07-12-2012_8_3'!M398,"AAAAAC9/r2o=")</f>
        <v>#VALUE!</v>
      </c>
      <c r="DD27" t="e">
        <f>AND('Planilla_General_07-12-2012_8_3'!N398,"AAAAAC9/r2s=")</f>
        <v>#VALUE!</v>
      </c>
      <c r="DE27" t="e">
        <f>AND('Planilla_General_07-12-2012_8_3'!O398,"AAAAAC9/r2w=")</f>
        <v>#VALUE!</v>
      </c>
      <c r="DF27" t="e">
        <f>AND('Planilla_General_07-12-2012_8_3'!P398,"AAAAAC9/r20=")</f>
        <v>#VALUE!</v>
      </c>
      <c r="DG27">
        <f>IF('Planilla_General_07-12-2012_8_3'!399:399,"AAAAAC9/r24=",0)</f>
        <v>0</v>
      </c>
      <c r="DH27" t="e">
        <f>AND('Planilla_General_07-12-2012_8_3'!A399,"AAAAAC9/r28=")</f>
        <v>#VALUE!</v>
      </c>
      <c r="DI27" t="e">
        <f>AND('Planilla_General_07-12-2012_8_3'!B399,"AAAAAC9/r3A=")</f>
        <v>#VALUE!</v>
      </c>
      <c r="DJ27" t="e">
        <f>AND('Planilla_General_07-12-2012_8_3'!C399,"AAAAAC9/r3E=")</f>
        <v>#VALUE!</v>
      </c>
      <c r="DK27" t="e">
        <f>AND('Planilla_General_07-12-2012_8_3'!D399,"AAAAAC9/r3I=")</f>
        <v>#VALUE!</v>
      </c>
      <c r="DL27" t="e">
        <f>AND('Planilla_General_07-12-2012_8_3'!E399,"AAAAAC9/r3M=")</f>
        <v>#VALUE!</v>
      </c>
      <c r="DM27" t="e">
        <f>AND('Planilla_General_07-12-2012_8_3'!F399,"AAAAAC9/r3Q=")</f>
        <v>#VALUE!</v>
      </c>
      <c r="DN27" t="e">
        <f>AND('Planilla_General_07-12-2012_8_3'!G399,"AAAAAC9/r3U=")</f>
        <v>#VALUE!</v>
      </c>
      <c r="DO27" t="e">
        <f>AND('Planilla_General_07-12-2012_8_3'!H399,"AAAAAC9/r3Y=")</f>
        <v>#VALUE!</v>
      </c>
      <c r="DP27" t="e">
        <f>AND('Planilla_General_07-12-2012_8_3'!I399,"AAAAAC9/r3c=")</f>
        <v>#VALUE!</v>
      </c>
      <c r="DQ27" t="e">
        <f>AND('Planilla_General_07-12-2012_8_3'!J399,"AAAAAC9/r3g=")</f>
        <v>#VALUE!</v>
      </c>
      <c r="DR27" t="e">
        <f>AND('Planilla_General_07-12-2012_8_3'!K399,"AAAAAC9/r3k=")</f>
        <v>#VALUE!</v>
      </c>
      <c r="DS27" t="e">
        <f>AND('Planilla_General_07-12-2012_8_3'!L399,"AAAAAC9/r3o=")</f>
        <v>#VALUE!</v>
      </c>
      <c r="DT27" t="e">
        <f>AND('Planilla_General_07-12-2012_8_3'!M399,"AAAAAC9/r3s=")</f>
        <v>#VALUE!</v>
      </c>
      <c r="DU27" t="e">
        <f>AND('Planilla_General_07-12-2012_8_3'!N399,"AAAAAC9/r3w=")</f>
        <v>#VALUE!</v>
      </c>
      <c r="DV27" t="e">
        <f>AND('Planilla_General_07-12-2012_8_3'!O399,"AAAAAC9/r30=")</f>
        <v>#VALUE!</v>
      </c>
      <c r="DW27" t="e">
        <f>AND('Planilla_General_07-12-2012_8_3'!P399,"AAAAAC9/r34=")</f>
        <v>#VALUE!</v>
      </c>
      <c r="DX27">
        <f>IF('Planilla_General_07-12-2012_8_3'!400:400,"AAAAAC9/r38=",0)</f>
        <v>0</v>
      </c>
      <c r="DY27" t="e">
        <f>AND('Planilla_General_07-12-2012_8_3'!A400,"AAAAAC9/r4A=")</f>
        <v>#VALUE!</v>
      </c>
      <c r="DZ27" t="e">
        <f>AND('Planilla_General_07-12-2012_8_3'!B400,"AAAAAC9/r4E=")</f>
        <v>#VALUE!</v>
      </c>
      <c r="EA27" t="e">
        <f>AND('Planilla_General_07-12-2012_8_3'!C400,"AAAAAC9/r4I=")</f>
        <v>#VALUE!</v>
      </c>
      <c r="EB27" t="e">
        <f>AND('Planilla_General_07-12-2012_8_3'!D400,"AAAAAC9/r4M=")</f>
        <v>#VALUE!</v>
      </c>
      <c r="EC27" t="e">
        <f>AND('Planilla_General_07-12-2012_8_3'!E400,"AAAAAC9/r4Q=")</f>
        <v>#VALUE!</v>
      </c>
      <c r="ED27" t="e">
        <f>AND('Planilla_General_07-12-2012_8_3'!F400,"AAAAAC9/r4U=")</f>
        <v>#VALUE!</v>
      </c>
      <c r="EE27" t="e">
        <f>AND('Planilla_General_07-12-2012_8_3'!G400,"AAAAAC9/r4Y=")</f>
        <v>#VALUE!</v>
      </c>
      <c r="EF27" t="e">
        <f>AND('Planilla_General_07-12-2012_8_3'!H400,"AAAAAC9/r4c=")</f>
        <v>#VALUE!</v>
      </c>
      <c r="EG27" t="e">
        <f>AND('Planilla_General_07-12-2012_8_3'!I400,"AAAAAC9/r4g=")</f>
        <v>#VALUE!</v>
      </c>
      <c r="EH27" t="e">
        <f>AND('Planilla_General_07-12-2012_8_3'!J400,"AAAAAC9/r4k=")</f>
        <v>#VALUE!</v>
      </c>
      <c r="EI27" t="e">
        <f>AND('Planilla_General_07-12-2012_8_3'!K400,"AAAAAC9/r4o=")</f>
        <v>#VALUE!</v>
      </c>
      <c r="EJ27" t="e">
        <f>AND('Planilla_General_07-12-2012_8_3'!L400,"AAAAAC9/r4s=")</f>
        <v>#VALUE!</v>
      </c>
      <c r="EK27" t="e">
        <f>AND('Planilla_General_07-12-2012_8_3'!M400,"AAAAAC9/r4w=")</f>
        <v>#VALUE!</v>
      </c>
      <c r="EL27" t="e">
        <f>AND('Planilla_General_07-12-2012_8_3'!N400,"AAAAAC9/r40=")</f>
        <v>#VALUE!</v>
      </c>
      <c r="EM27" t="e">
        <f>AND('Planilla_General_07-12-2012_8_3'!O400,"AAAAAC9/r44=")</f>
        <v>#VALUE!</v>
      </c>
      <c r="EN27" t="e">
        <f>AND('Planilla_General_07-12-2012_8_3'!P400,"AAAAAC9/r48=")</f>
        <v>#VALUE!</v>
      </c>
      <c r="EO27">
        <f>IF('Planilla_General_07-12-2012_8_3'!401:401,"AAAAAC9/r5A=",0)</f>
        <v>0</v>
      </c>
      <c r="EP27" t="e">
        <f>AND('Planilla_General_07-12-2012_8_3'!A401,"AAAAAC9/r5E=")</f>
        <v>#VALUE!</v>
      </c>
      <c r="EQ27" t="e">
        <f>AND('Planilla_General_07-12-2012_8_3'!B401,"AAAAAC9/r5I=")</f>
        <v>#VALUE!</v>
      </c>
      <c r="ER27" t="e">
        <f>AND('Planilla_General_07-12-2012_8_3'!C401,"AAAAAC9/r5M=")</f>
        <v>#VALUE!</v>
      </c>
      <c r="ES27" t="e">
        <f>AND('Planilla_General_07-12-2012_8_3'!D401,"AAAAAC9/r5Q=")</f>
        <v>#VALUE!</v>
      </c>
      <c r="ET27" t="e">
        <f>AND('Planilla_General_07-12-2012_8_3'!E401,"AAAAAC9/r5U=")</f>
        <v>#VALUE!</v>
      </c>
      <c r="EU27" t="e">
        <f>AND('Planilla_General_07-12-2012_8_3'!F401,"AAAAAC9/r5Y=")</f>
        <v>#VALUE!</v>
      </c>
      <c r="EV27" t="e">
        <f>AND('Planilla_General_07-12-2012_8_3'!G401,"AAAAAC9/r5c=")</f>
        <v>#VALUE!</v>
      </c>
      <c r="EW27" t="e">
        <f>AND('Planilla_General_07-12-2012_8_3'!H401,"AAAAAC9/r5g=")</f>
        <v>#VALUE!</v>
      </c>
      <c r="EX27" t="e">
        <f>AND('Planilla_General_07-12-2012_8_3'!I401,"AAAAAC9/r5k=")</f>
        <v>#VALUE!</v>
      </c>
      <c r="EY27" t="e">
        <f>AND('Planilla_General_07-12-2012_8_3'!J401,"AAAAAC9/r5o=")</f>
        <v>#VALUE!</v>
      </c>
      <c r="EZ27" t="e">
        <f>AND('Planilla_General_07-12-2012_8_3'!K401,"AAAAAC9/r5s=")</f>
        <v>#VALUE!</v>
      </c>
      <c r="FA27" t="e">
        <f>AND('Planilla_General_07-12-2012_8_3'!L401,"AAAAAC9/r5w=")</f>
        <v>#VALUE!</v>
      </c>
      <c r="FB27" t="e">
        <f>AND('Planilla_General_07-12-2012_8_3'!M401,"AAAAAC9/r50=")</f>
        <v>#VALUE!</v>
      </c>
      <c r="FC27" t="e">
        <f>AND('Planilla_General_07-12-2012_8_3'!N401,"AAAAAC9/r54=")</f>
        <v>#VALUE!</v>
      </c>
      <c r="FD27" t="e">
        <f>AND('Planilla_General_07-12-2012_8_3'!O401,"AAAAAC9/r58=")</f>
        <v>#VALUE!</v>
      </c>
      <c r="FE27" t="e">
        <f>AND('Planilla_General_07-12-2012_8_3'!P401,"AAAAAC9/r6A=")</f>
        <v>#VALUE!</v>
      </c>
      <c r="FF27">
        <f>IF('Planilla_General_07-12-2012_8_3'!402:402,"AAAAAC9/r6E=",0)</f>
        <v>0</v>
      </c>
      <c r="FG27" t="e">
        <f>AND('Planilla_General_07-12-2012_8_3'!A402,"AAAAAC9/r6I=")</f>
        <v>#VALUE!</v>
      </c>
      <c r="FH27" t="e">
        <f>AND('Planilla_General_07-12-2012_8_3'!B402,"AAAAAC9/r6M=")</f>
        <v>#VALUE!</v>
      </c>
      <c r="FI27" t="e">
        <f>AND('Planilla_General_07-12-2012_8_3'!C402,"AAAAAC9/r6Q=")</f>
        <v>#VALUE!</v>
      </c>
      <c r="FJ27" t="e">
        <f>AND('Planilla_General_07-12-2012_8_3'!D402,"AAAAAC9/r6U=")</f>
        <v>#VALUE!</v>
      </c>
      <c r="FK27" t="e">
        <f>AND('Planilla_General_07-12-2012_8_3'!E402,"AAAAAC9/r6Y=")</f>
        <v>#VALUE!</v>
      </c>
      <c r="FL27" t="e">
        <f>AND('Planilla_General_07-12-2012_8_3'!F402,"AAAAAC9/r6c=")</f>
        <v>#VALUE!</v>
      </c>
      <c r="FM27" t="e">
        <f>AND('Planilla_General_07-12-2012_8_3'!G402,"AAAAAC9/r6g=")</f>
        <v>#VALUE!</v>
      </c>
      <c r="FN27" t="e">
        <f>AND('Planilla_General_07-12-2012_8_3'!H402,"AAAAAC9/r6k=")</f>
        <v>#VALUE!</v>
      </c>
      <c r="FO27" t="e">
        <f>AND('Planilla_General_07-12-2012_8_3'!I402,"AAAAAC9/r6o=")</f>
        <v>#VALUE!</v>
      </c>
      <c r="FP27" t="e">
        <f>AND('Planilla_General_07-12-2012_8_3'!J402,"AAAAAC9/r6s=")</f>
        <v>#VALUE!</v>
      </c>
      <c r="FQ27" t="e">
        <f>AND('Planilla_General_07-12-2012_8_3'!K402,"AAAAAC9/r6w=")</f>
        <v>#VALUE!</v>
      </c>
      <c r="FR27" t="e">
        <f>AND('Planilla_General_07-12-2012_8_3'!L402,"AAAAAC9/r60=")</f>
        <v>#VALUE!</v>
      </c>
      <c r="FS27" t="e">
        <f>AND('Planilla_General_07-12-2012_8_3'!M402,"AAAAAC9/r64=")</f>
        <v>#VALUE!</v>
      </c>
      <c r="FT27" t="e">
        <f>AND('Planilla_General_07-12-2012_8_3'!N402,"AAAAAC9/r68=")</f>
        <v>#VALUE!</v>
      </c>
      <c r="FU27" t="e">
        <f>AND('Planilla_General_07-12-2012_8_3'!O402,"AAAAAC9/r7A=")</f>
        <v>#VALUE!</v>
      </c>
      <c r="FV27" t="e">
        <f>AND('Planilla_General_07-12-2012_8_3'!P402,"AAAAAC9/r7E=")</f>
        <v>#VALUE!</v>
      </c>
      <c r="FW27">
        <f>IF('Planilla_General_07-12-2012_8_3'!403:403,"AAAAAC9/r7I=",0)</f>
        <v>0</v>
      </c>
      <c r="FX27" t="e">
        <f>AND('Planilla_General_07-12-2012_8_3'!A403,"AAAAAC9/r7M=")</f>
        <v>#VALUE!</v>
      </c>
      <c r="FY27" t="e">
        <f>AND('Planilla_General_07-12-2012_8_3'!B403,"AAAAAC9/r7Q=")</f>
        <v>#VALUE!</v>
      </c>
      <c r="FZ27" t="e">
        <f>AND('Planilla_General_07-12-2012_8_3'!C403,"AAAAAC9/r7U=")</f>
        <v>#VALUE!</v>
      </c>
      <c r="GA27" t="e">
        <f>AND('Planilla_General_07-12-2012_8_3'!D403,"AAAAAC9/r7Y=")</f>
        <v>#VALUE!</v>
      </c>
      <c r="GB27" t="e">
        <f>AND('Planilla_General_07-12-2012_8_3'!E403,"AAAAAC9/r7c=")</f>
        <v>#VALUE!</v>
      </c>
      <c r="GC27" t="e">
        <f>AND('Planilla_General_07-12-2012_8_3'!F403,"AAAAAC9/r7g=")</f>
        <v>#VALUE!</v>
      </c>
      <c r="GD27" t="e">
        <f>AND('Planilla_General_07-12-2012_8_3'!G403,"AAAAAC9/r7k=")</f>
        <v>#VALUE!</v>
      </c>
      <c r="GE27" t="e">
        <f>AND('Planilla_General_07-12-2012_8_3'!H403,"AAAAAC9/r7o=")</f>
        <v>#VALUE!</v>
      </c>
      <c r="GF27" t="e">
        <f>AND('Planilla_General_07-12-2012_8_3'!I403,"AAAAAC9/r7s=")</f>
        <v>#VALUE!</v>
      </c>
      <c r="GG27" t="e">
        <f>AND('Planilla_General_07-12-2012_8_3'!J403,"AAAAAC9/r7w=")</f>
        <v>#VALUE!</v>
      </c>
      <c r="GH27" t="e">
        <f>AND('Planilla_General_07-12-2012_8_3'!K403,"AAAAAC9/r70=")</f>
        <v>#VALUE!</v>
      </c>
      <c r="GI27" t="e">
        <f>AND('Planilla_General_07-12-2012_8_3'!L403,"AAAAAC9/r74=")</f>
        <v>#VALUE!</v>
      </c>
      <c r="GJ27" t="e">
        <f>AND('Planilla_General_07-12-2012_8_3'!M403,"AAAAAC9/r78=")</f>
        <v>#VALUE!</v>
      </c>
      <c r="GK27" t="e">
        <f>AND('Planilla_General_07-12-2012_8_3'!N403,"AAAAAC9/r8A=")</f>
        <v>#VALUE!</v>
      </c>
      <c r="GL27" t="e">
        <f>AND('Planilla_General_07-12-2012_8_3'!O403,"AAAAAC9/r8E=")</f>
        <v>#VALUE!</v>
      </c>
      <c r="GM27" t="e">
        <f>AND('Planilla_General_07-12-2012_8_3'!P403,"AAAAAC9/r8I=")</f>
        <v>#VALUE!</v>
      </c>
      <c r="GN27">
        <f>IF('Planilla_General_07-12-2012_8_3'!404:404,"AAAAAC9/r8M=",0)</f>
        <v>0</v>
      </c>
      <c r="GO27" t="e">
        <f>AND('Planilla_General_07-12-2012_8_3'!A404,"AAAAAC9/r8Q=")</f>
        <v>#VALUE!</v>
      </c>
      <c r="GP27" t="e">
        <f>AND('Planilla_General_07-12-2012_8_3'!B404,"AAAAAC9/r8U=")</f>
        <v>#VALUE!</v>
      </c>
      <c r="GQ27" t="e">
        <f>AND('Planilla_General_07-12-2012_8_3'!C404,"AAAAAC9/r8Y=")</f>
        <v>#VALUE!</v>
      </c>
      <c r="GR27" t="e">
        <f>AND('Planilla_General_07-12-2012_8_3'!D404,"AAAAAC9/r8c=")</f>
        <v>#VALUE!</v>
      </c>
      <c r="GS27" t="e">
        <f>AND('Planilla_General_07-12-2012_8_3'!E404,"AAAAAC9/r8g=")</f>
        <v>#VALUE!</v>
      </c>
      <c r="GT27" t="e">
        <f>AND('Planilla_General_07-12-2012_8_3'!F404,"AAAAAC9/r8k=")</f>
        <v>#VALUE!</v>
      </c>
      <c r="GU27" t="e">
        <f>AND('Planilla_General_07-12-2012_8_3'!G404,"AAAAAC9/r8o=")</f>
        <v>#VALUE!</v>
      </c>
      <c r="GV27" t="e">
        <f>AND('Planilla_General_07-12-2012_8_3'!H404,"AAAAAC9/r8s=")</f>
        <v>#VALUE!</v>
      </c>
      <c r="GW27" t="e">
        <f>AND('Planilla_General_07-12-2012_8_3'!I404,"AAAAAC9/r8w=")</f>
        <v>#VALUE!</v>
      </c>
      <c r="GX27" t="e">
        <f>AND('Planilla_General_07-12-2012_8_3'!J404,"AAAAAC9/r80=")</f>
        <v>#VALUE!</v>
      </c>
      <c r="GY27" t="e">
        <f>AND('Planilla_General_07-12-2012_8_3'!K404,"AAAAAC9/r84=")</f>
        <v>#VALUE!</v>
      </c>
      <c r="GZ27" t="e">
        <f>AND('Planilla_General_07-12-2012_8_3'!L404,"AAAAAC9/r88=")</f>
        <v>#VALUE!</v>
      </c>
      <c r="HA27" t="e">
        <f>AND('Planilla_General_07-12-2012_8_3'!M404,"AAAAAC9/r9A=")</f>
        <v>#VALUE!</v>
      </c>
      <c r="HB27" t="e">
        <f>AND('Planilla_General_07-12-2012_8_3'!N404,"AAAAAC9/r9E=")</f>
        <v>#VALUE!</v>
      </c>
      <c r="HC27" t="e">
        <f>AND('Planilla_General_07-12-2012_8_3'!O404,"AAAAAC9/r9I=")</f>
        <v>#VALUE!</v>
      </c>
      <c r="HD27" t="e">
        <f>AND('Planilla_General_07-12-2012_8_3'!P404,"AAAAAC9/r9M=")</f>
        <v>#VALUE!</v>
      </c>
      <c r="HE27">
        <f>IF('Planilla_General_07-12-2012_8_3'!405:405,"AAAAAC9/r9Q=",0)</f>
        <v>0</v>
      </c>
      <c r="HF27" t="e">
        <f>AND('Planilla_General_07-12-2012_8_3'!A405,"AAAAAC9/r9U=")</f>
        <v>#VALUE!</v>
      </c>
      <c r="HG27" t="e">
        <f>AND('Planilla_General_07-12-2012_8_3'!B405,"AAAAAC9/r9Y=")</f>
        <v>#VALUE!</v>
      </c>
      <c r="HH27" t="e">
        <f>AND('Planilla_General_07-12-2012_8_3'!C405,"AAAAAC9/r9c=")</f>
        <v>#VALUE!</v>
      </c>
      <c r="HI27" t="e">
        <f>AND('Planilla_General_07-12-2012_8_3'!D405,"AAAAAC9/r9g=")</f>
        <v>#VALUE!</v>
      </c>
      <c r="HJ27" t="e">
        <f>AND('Planilla_General_07-12-2012_8_3'!E405,"AAAAAC9/r9k=")</f>
        <v>#VALUE!</v>
      </c>
      <c r="HK27" t="e">
        <f>AND('Planilla_General_07-12-2012_8_3'!F405,"AAAAAC9/r9o=")</f>
        <v>#VALUE!</v>
      </c>
      <c r="HL27" t="e">
        <f>AND('Planilla_General_07-12-2012_8_3'!G405,"AAAAAC9/r9s=")</f>
        <v>#VALUE!</v>
      </c>
      <c r="HM27" t="e">
        <f>AND('Planilla_General_07-12-2012_8_3'!H405,"AAAAAC9/r9w=")</f>
        <v>#VALUE!</v>
      </c>
      <c r="HN27" t="e">
        <f>AND('Planilla_General_07-12-2012_8_3'!I405,"AAAAAC9/r90=")</f>
        <v>#VALUE!</v>
      </c>
      <c r="HO27" t="e">
        <f>AND('Planilla_General_07-12-2012_8_3'!J405,"AAAAAC9/r94=")</f>
        <v>#VALUE!</v>
      </c>
      <c r="HP27" t="e">
        <f>AND('Planilla_General_07-12-2012_8_3'!K405,"AAAAAC9/r98=")</f>
        <v>#VALUE!</v>
      </c>
      <c r="HQ27" t="e">
        <f>AND('Planilla_General_07-12-2012_8_3'!L405,"AAAAAC9/r+A=")</f>
        <v>#VALUE!</v>
      </c>
      <c r="HR27" t="e">
        <f>AND('Planilla_General_07-12-2012_8_3'!M405,"AAAAAC9/r+E=")</f>
        <v>#VALUE!</v>
      </c>
      <c r="HS27" t="e">
        <f>AND('Planilla_General_07-12-2012_8_3'!N405,"AAAAAC9/r+I=")</f>
        <v>#VALUE!</v>
      </c>
      <c r="HT27" t="e">
        <f>AND('Planilla_General_07-12-2012_8_3'!O405,"AAAAAC9/r+M=")</f>
        <v>#VALUE!</v>
      </c>
      <c r="HU27" t="e">
        <f>AND('Planilla_General_07-12-2012_8_3'!P405,"AAAAAC9/r+Q=")</f>
        <v>#VALUE!</v>
      </c>
      <c r="HV27">
        <f>IF('Planilla_General_07-12-2012_8_3'!406:406,"AAAAAC9/r+U=",0)</f>
        <v>0</v>
      </c>
      <c r="HW27" t="e">
        <f>AND('Planilla_General_07-12-2012_8_3'!A406,"AAAAAC9/r+Y=")</f>
        <v>#VALUE!</v>
      </c>
      <c r="HX27" t="e">
        <f>AND('Planilla_General_07-12-2012_8_3'!B406,"AAAAAC9/r+c=")</f>
        <v>#VALUE!</v>
      </c>
      <c r="HY27" t="e">
        <f>AND('Planilla_General_07-12-2012_8_3'!C406,"AAAAAC9/r+g=")</f>
        <v>#VALUE!</v>
      </c>
      <c r="HZ27" t="e">
        <f>AND('Planilla_General_07-12-2012_8_3'!D406,"AAAAAC9/r+k=")</f>
        <v>#VALUE!</v>
      </c>
      <c r="IA27" t="e">
        <f>AND('Planilla_General_07-12-2012_8_3'!E406,"AAAAAC9/r+o=")</f>
        <v>#VALUE!</v>
      </c>
      <c r="IB27" t="e">
        <f>AND('Planilla_General_07-12-2012_8_3'!F406,"AAAAAC9/r+s=")</f>
        <v>#VALUE!</v>
      </c>
      <c r="IC27" t="e">
        <f>AND('Planilla_General_07-12-2012_8_3'!G406,"AAAAAC9/r+w=")</f>
        <v>#VALUE!</v>
      </c>
      <c r="ID27" t="e">
        <f>AND('Planilla_General_07-12-2012_8_3'!H406,"AAAAAC9/r+0=")</f>
        <v>#VALUE!</v>
      </c>
      <c r="IE27" t="e">
        <f>AND('Planilla_General_07-12-2012_8_3'!I406,"AAAAAC9/r+4=")</f>
        <v>#VALUE!</v>
      </c>
      <c r="IF27" t="e">
        <f>AND('Planilla_General_07-12-2012_8_3'!J406,"AAAAAC9/r+8=")</f>
        <v>#VALUE!</v>
      </c>
      <c r="IG27" t="e">
        <f>AND('Planilla_General_07-12-2012_8_3'!K406,"AAAAAC9/r/A=")</f>
        <v>#VALUE!</v>
      </c>
      <c r="IH27" t="e">
        <f>AND('Planilla_General_07-12-2012_8_3'!L406,"AAAAAC9/r/E=")</f>
        <v>#VALUE!</v>
      </c>
      <c r="II27" t="e">
        <f>AND('Planilla_General_07-12-2012_8_3'!M406,"AAAAAC9/r/I=")</f>
        <v>#VALUE!</v>
      </c>
      <c r="IJ27" t="e">
        <f>AND('Planilla_General_07-12-2012_8_3'!N406,"AAAAAC9/r/M=")</f>
        <v>#VALUE!</v>
      </c>
      <c r="IK27" t="e">
        <f>AND('Planilla_General_07-12-2012_8_3'!O406,"AAAAAC9/r/Q=")</f>
        <v>#VALUE!</v>
      </c>
      <c r="IL27" t="e">
        <f>AND('Planilla_General_07-12-2012_8_3'!P406,"AAAAAC9/r/U=")</f>
        <v>#VALUE!</v>
      </c>
      <c r="IM27">
        <f>IF('Planilla_General_07-12-2012_8_3'!407:407,"AAAAAC9/r/Y=",0)</f>
        <v>0</v>
      </c>
      <c r="IN27" t="e">
        <f>AND('Planilla_General_07-12-2012_8_3'!A407,"AAAAAC9/r/c=")</f>
        <v>#VALUE!</v>
      </c>
      <c r="IO27" t="e">
        <f>AND('Planilla_General_07-12-2012_8_3'!B407,"AAAAAC9/r/g=")</f>
        <v>#VALUE!</v>
      </c>
      <c r="IP27" t="e">
        <f>AND('Planilla_General_07-12-2012_8_3'!C407,"AAAAAC9/r/k=")</f>
        <v>#VALUE!</v>
      </c>
      <c r="IQ27" t="e">
        <f>AND('Planilla_General_07-12-2012_8_3'!D407,"AAAAAC9/r/o=")</f>
        <v>#VALUE!</v>
      </c>
      <c r="IR27" t="e">
        <f>AND('Planilla_General_07-12-2012_8_3'!E407,"AAAAAC9/r/s=")</f>
        <v>#VALUE!</v>
      </c>
      <c r="IS27" t="e">
        <f>AND('Planilla_General_07-12-2012_8_3'!F407,"AAAAAC9/r/w=")</f>
        <v>#VALUE!</v>
      </c>
      <c r="IT27" t="e">
        <f>AND('Planilla_General_07-12-2012_8_3'!G407,"AAAAAC9/r/0=")</f>
        <v>#VALUE!</v>
      </c>
      <c r="IU27" t="e">
        <f>AND('Planilla_General_07-12-2012_8_3'!H407,"AAAAAC9/r/4=")</f>
        <v>#VALUE!</v>
      </c>
      <c r="IV27" t="e">
        <f>AND('Planilla_General_07-12-2012_8_3'!I407,"AAAAAC9/r/8=")</f>
        <v>#VALUE!</v>
      </c>
    </row>
    <row r="28" spans="1:256" x14ac:dyDescent="0.25">
      <c r="A28" t="e">
        <f>AND('Planilla_General_07-12-2012_8_3'!J407,"AAAAADb6/wA=")</f>
        <v>#VALUE!</v>
      </c>
      <c r="B28" t="e">
        <f>AND('Planilla_General_07-12-2012_8_3'!K407,"AAAAADb6/wE=")</f>
        <v>#VALUE!</v>
      </c>
      <c r="C28" t="e">
        <f>AND('Planilla_General_07-12-2012_8_3'!L407,"AAAAADb6/wI=")</f>
        <v>#VALUE!</v>
      </c>
      <c r="D28" t="e">
        <f>AND('Planilla_General_07-12-2012_8_3'!M407,"AAAAADb6/wM=")</f>
        <v>#VALUE!</v>
      </c>
      <c r="E28" t="e">
        <f>AND('Planilla_General_07-12-2012_8_3'!N407,"AAAAADb6/wQ=")</f>
        <v>#VALUE!</v>
      </c>
      <c r="F28" t="e">
        <f>AND('Planilla_General_07-12-2012_8_3'!O407,"AAAAADb6/wU=")</f>
        <v>#VALUE!</v>
      </c>
      <c r="G28" t="e">
        <f>AND('Planilla_General_07-12-2012_8_3'!P407,"AAAAADb6/wY=")</f>
        <v>#VALUE!</v>
      </c>
      <c r="H28" t="e">
        <f>IF('Planilla_General_07-12-2012_8_3'!408:408,"AAAAADb6/wc=",0)</f>
        <v>#VALUE!</v>
      </c>
      <c r="I28" t="e">
        <f>AND('Planilla_General_07-12-2012_8_3'!A408,"AAAAADb6/wg=")</f>
        <v>#VALUE!</v>
      </c>
      <c r="J28" t="e">
        <f>AND('Planilla_General_07-12-2012_8_3'!B408,"AAAAADb6/wk=")</f>
        <v>#VALUE!</v>
      </c>
      <c r="K28" t="e">
        <f>AND('Planilla_General_07-12-2012_8_3'!C408,"AAAAADb6/wo=")</f>
        <v>#VALUE!</v>
      </c>
      <c r="L28" t="e">
        <f>AND('Planilla_General_07-12-2012_8_3'!D408,"AAAAADb6/ws=")</f>
        <v>#VALUE!</v>
      </c>
      <c r="M28" t="e">
        <f>AND('Planilla_General_07-12-2012_8_3'!E408,"AAAAADb6/ww=")</f>
        <v>#VALUE!</v>
      </c>
      <c r="N28" t="e">
        <f>AND('Planilla_General_07-12-2012_8_3'!F408,"AAAAADb6/w0=")</f>
        <v>#VALUE!</v>
      </c>
      <c r="O28" t="e">
        <f>AND('Planilla_General_07-12-2012_8_3'!G408,"AAAAADb6/w4=")</f>
        <v>#VALUE!</v>
      </c>
      <c r="P28" t="e">
        <f>AND('Planilla_General_07-12-2012_8_3'!H408,"AAAAADb6/w8=")</f>
        <v>#VALUE!</v>
      </c>
      <c r="Q28" t="e">
        <f>AND('Planilla_General_07-12-2012_8_3'!I408,"AAAAADb6/xA=")</f>
        <v>#VALUE!</v>
      </c>
      <c r="R28" t="e">
        <f>AND('Planilla_General_07-12-2012_8_3'!J408,"AAAAADb6/xE=")</f>
        <v>#VALUE!</v>
      </c>
      <c r="S28" t="e">
        <f>AND('Planilla_General_07-12-2012_8_3'!K408,"AAAAADb6/xI=")</f>
        <v>#VALUE!</v>
      </c>
      <c r="T28" t="e">
        <f>AND('Planilla_General_07-12-2012_8_3'!L408,"AAAAADb6/xM=")</f>
        <v>#VALUE!</v>
      </c>
      <c r="U28" t="e">
        <f>AND('Planilla_General_07-12-2012_8_3'!M408,"AAAAADb6/xQ=")</f>
        <v>#VALUE!</v>
      </c>
      <c r="V28" t="e">
        <f>AND('Planilla_General_07-12-2012_8_3'!N408,"AAAAADb6/xU=")</f>
        <v>#VALUE!</v>
      </c>
      <c r="W28" t="e">
        <f>AND('Planilla_General_07-12-2012_8_3'!O408,"AAAAADb6/xY=")</f>
        <v>#VALUE!</v>
      </c>
      <c r="X28" t="e">
        <f>AND('Planilla_General_07-12-2012_8_3'!P408,"AAAAADb6/xc=")</f>
        <v>#VALUE!</v>
      </c>
      <c r="Y28">
        <f>IF('Planilla_General_07-12-2012_8_3'!409:409,"AAAAADb6/xg=",0)</f>
        <v>0</v>
      </c>
      <c r="Z28" t="e">
        <f>AND('Planilla_General_07-12-2012_8_3'!A409,"AAAAADb6/xk=")</f>
        <v>#VALUE!</v>
      </c>
      <c r="AA28" t="e">
        <f>AND('Planilla_General_07-12-2012_8_3'!B409,"AAAAADb6/xo=")</f>
        <v>#VALUE!</v>
      </c>
      <c r="AB28" t="e">
        <f>AND('Planilla_General_07-12-2012_8_3'!C409,"AAAAADb6/xs=")</f>
        <v>#VALUE!</v>
      </c>
      <c r="AC28" t="e">
        <f>AND('Planilla_General_07-12-2012_8_3'!D409,"AAAAADb6/xw=")</f>
        <v>#VALUE!</v>
      </c>
      <c r="AD28" t="e">
        <f>AND('Planilla_General_07-12-2012_8_3'!E409,"AAAAADb6/x0=")</f>
        <v>#VALUE!</v>
      </c>
      <c r="AE28" t="e">
        <f>AND('Planilla_General_07-12-2012_8_3'!F409,"AAAAADb6/x4=")</f>
        <v>#VALUE!</v>
      </c>
      <c r="AF28" t="e">
        <f>AND('Planilla_General_07-12-2012_8_3'!G409,"AAAAADb6/x8=")</f>
        <v>#VALUE!</v>
      </c>
      <c r="AG28" t="e">
        <f>AND('Planilla_General_07-12-2012_8_3'!H409,"AAAAADb6/yA=")</f>
        <v>#VALUE!</v>
      </c>
      <c r="AH28" t="e">
        <f>AND('Planilla_General_07-12-2012_8_3'!I409,"AAAAADb6/yE=")</f>
        <v>#VALUE!</v>
      </c>
      <c r="AI28" t="e">
        <f>AND('Planilla_General_07-12-2012_8_3'!J409,"AAAAADb6/yI=")</f>
        <v>#VALUE!</v>
      </c>
      <c r="AJ28" t="e">
        <f>AND('Planilla_General_07-12-2012_8_3'!K409,"AAAAADb6/yM=")</f>
        <v>#VALUE!</v>
      </c>
      <c r="AK28" t="e">
        <f>AND('Planilla_General_07-12-2012_8_3'!L409,"AAAAADb6/yQ=")</f>
        <v>#VALUE!</v>
      </c>
      <c r="AL28" t="e">
        <f>AND('Planilla_General_07-12-2012_8_3'!M409,"AAAAADb6/yU=")</f>
        <v>#VALUE!</v>
      </c>
      <c r="AM28" t="e">
        <f>AND('Planilla_General_07-12-2012_8_3'!N409,"AAAAADb6/yY=")</f>
        <v>#VALUE!</v>
      </c>
      <c r="AN28" t="e">
        <f>AND('Planilla_General_07-12-2012_8_3'!O409,"AAAAADb6/yc=")</f>
        <v>#VALUE!</v>
      </c>
      <c r="AO28" t="e">
        <f>AND('Planilla_General_07-12-2012_8_3'!P409,"AAAAADb6/yg=")</f>
        <v>#VALUE!</v>
      </c>
      <c r="AP28">
        <f>IF('Planilla_General_07-12-2012_8_3'!410:410,"AAAAADb6/yk=",0)</f>
        <v>0</v>
      </c>
      <c r="AQ28" t="e">
        <f>AND('Planilla_General_07-12-2012_8_3'!A410,"AAAAADb6/yo=")</f>
        <v>#VALUE!</v>
      </c>
      <c r="AR28" t="e">
        <f>AND('Planilla_General_07-12-2012_8_3'!B410,"AAAAADb6/ys=")</f>
        <v>#VALUE!</v>
      </c>
      <c r="AS28" t="e">
        <f>AND('Planilla_General_07-12-2012_8_3'!C410,"AAAAADb6/yw=")</f>
        <v>#VALUE!</v>
      </c>
      <c r="AT28" t="e">
        <f>AND('Planilla_General_07-12-2012_8_3'!D410,"AAAAADb6/y0=")</f>
        <v>#VALUE!</v>
      </c>
      <c r="AU28" t="e">
        <f>AND('Planilla_General_07-12-2012_8_3'!E410,"AAAAADb6/y4=")</f>
        <v>#VALUE!</v>
      </c>
      <c r="AV28" t="e">
        <f>AND('Planilla_General_07-12-2012_8_3'!F410,"AAAAADb6/y8=")</f>
        <v>#VALUE!</v>
      </c>
      <c r="AW28" t="e">
        <f>AND('Planilla_General_07-12-2012_8_3'!G410,"AAAAADb6/zA=")</f>
        <v>#VALUE!</v>
      </c>
      <c r="AX28" t="e">
        <f>AND('Planilla_General_07-12-2012_8_3'!H410,"AAAAADb6/zE=")</f>
        <v>#VALUE!</v>
      </c>
      <c r="AY28" t="e">
        <f>AND('Planilla_General_07-12-2012_8_3'!I410,"AAAAADb6/zI=")</f>
        <v>#VALUE!</v>
      </c>
      <c r="AZ28" t="e">
        <f>AND('Planilla_General_07-12-2012_8_3'!J410,"AAAAADb6/zM=")</f>
        <v>#VALUE!</v>
      </c>
      <c r="BA28" t="e">
        <f>AND('Planilla_General_07-12-2012_8_3'!K410,"AAAAADb6/zQ=")</f>
        <v>#VALUE!</v>
      </c>
      <c r="BB28" t="e">
        <f>AND('Planilla_General_07-12-2012_8_3'!L410,"AAAAADb6/zU=")</f>
        <v>#VALUE!</v>
      </c>
      <c r="BC28" t="e">
        <f>AND('Planilla_General_07-12-2012_8_3'!M410,"AAAAADb6/zY=")</f>
        <v>#VALUE!</v>
      </c>
      <c r="BD28" t="e">
        <f>AND('Planilla_General_07-12-2012_8_3'!N410,"AAAAADb6/zc=")</f>
        <v>#VALUE!</v>
      </c>
      <c r="BE28" t="e">
        <f>AND('Planilla_General_07-12-2012_8_3'!O410,"AAAAADb6/zg=")</f>
        <v>#VALUE!</v>
      </c>
      <c r="BF28" t="e">
        <f>AND('Planilla_General_07-12-2012_8_3'!P410,"AAAAADb6/zk=")</f>
        <v>#VALUE!</v>
      </c>
      <c r="BG28">
        <f>IF('Planilla_General_07-12-2012_8_3'!411:411,"AAAAADb6/zo=",0)</f>
        <v>0</v>
      </c>
      <c r="BH28" t="e">
        <f>AND('Planilla_General_07-12-2012_8_3'!A411,"AAAAADb6/zs=")</f>
        <v>#VALUE!</v>
      </c>
      <c r="BI28" t="e">
        <f>AND('Planilla_General_07-12-2012_8_3'!B411,"AAAAADb6/zw=")</f>
        <v>#VALUE!</v>
      </c>
      <c r="BJ28" t="e">
        <f>AND('Planilla_General_07-12-2012_8_3'!C411,"AAAAADb6/z0=")</f>
        <v>#VALUE!</v>
      </c>
      <c r="BK28" t="e">
        <f>AND('Planilla_General_07-12-2012_8_3'!D411,"AAAAADb6/z4=")</f>
        <v>#VALUE!</v>
      </c>
      <c r="BL28" t="e">
        <f>AND('Planilla_General_07-12-2012_8_3'!E411,"AAAAADb6/z8=")</f>
        <v>#VALUE!</v>
      </c>
      <c r="BM28" t="e">
        <f>AND('Planilla_General_07-12-2012_8_3'!F411,"AAAAADb6/0A=")</f>
        <v>#VALUE!</v>
      </c>
      <c r="BN28" t="e">
        <f>AND('Planilla_General_07-12-2012_8_3'!G411,"AAAAADb6/0E=")</f>
        <v>#VALUE!</v>
      </c>
      <c r="BO28" t="e">
        <f>AND('Planilla_General_07-12-2012_8_3'!H411,"AAAAADb6/0I=")</f>
        <v>#VALUE!</v>
      </c>
      <c r="BP28" t="e">
        <f>AND('Planilla_General_07-12-2012_8_3'!I411,"AAAAADb6/0M=")</f>
        <v>#VALUE!</v>
      </c>
      <c r="BQ28" t="e">
        <f>AND('Planilla_General_07-12-2012_8_3'!J411,"AAAAADb6/0Q=")</f>
        <v>#VALUE!</v>
      </c>
      <c r="BR28" t="e">
        <f>AND('Planilla_General_07-12-2012_8_3'!K411,"AAAAADb6/0U=")</f>
        <v>#VALUE!</v>
      </c>
      <c r="BS28" t="e">
        <f>AND('Planilla_General_07-12-2012_8_3'!L411,"AAAAADb6/0Y=")</f>
        <v>#VALUE!</v>
      </c>
      <c r="BT28" t="e">
        <f>AND('Planilla_General_07-12-2012_8_3'!M411,"AAAAADb6/0c=")</f>
        <v>#VALUE!</v>
      </c>
      <c r="BU28" t="e">
        <f>AND('Planilla_General_07-12-2012_8_3'!N411,"AAAAADb6/0g=")</f>
        <v>#VALUE!</v>
      </c>
      <c r="BV28" t="e">
        <f>AND('Planilla_General_07-12-2012_8_3'!O411,"AAAAADb6/0k=")</f>
        <v>#VALUE!</v>
      </c>
      <c r="BW28" t="e">
        <f>AND('Planilla_General_07-12-2012_8_3'!P411,"AAAAADb6/0o=")</f>
        <v>#VALUE!</v>
      </c>
      <c r="BX28">
        <f>IF('Planilla_General_07-12-2012_8_3'!412:412,"AAAAADb6/0s=",0)</f>
        <v>0</v>
      </c>
      <c r="BY28" t="e">
        <f>AND('Planilla_General_07-12-2012_8_3'!A412,"AAAAADb6/0w=")</f>
        <v>#VALUE!</v>
      </c>
      <c r="BZ28" t="e">
        <f>AND('Planilla_General_07-12-2012_8_3'!B412,"AAAAADb6/00=")</f>
        <v>#VALUE!</v>
      </c>
      <c r="CA28" t="e">
        <f>AND('Planilla_General_07-12-2012_8_3'!C412,"AAAAADb6/04=")</f>
        <v>#VALUE!</v>
      </c>
      <c r="CB28" t="e">
        <f>AND('Planilla_General_07-12-2012_8_3'!D412,"AAAAADb6/08=")</f>
        <v>#VALUE!</v>
      </c>
      <c r="CC28" t="e">
        <f>AND('Planilla_General_07-12-2012_8_3'!E412,"AAAAADb6/1A=")</f>
        <v>#VALUE!</v>
      </c>
      <c r="CD28" t="e">
        <f>AND('Planilla_General_07-12-2012_8_3'!F412,"AAAAADb6/1E=")</f>
        <v>#VALUE!</v>
      </c>
      <c r="CE28" t="e">
        <f>AND('Planilla_General_07-12-2012_8_3'!G412,"AAAAADb6/1I=")</f>
        <v>#VALUE!</v>
      </c>
      <c r="CF28" t="e">
        <f>AND('Planilla_General_07-12-2012_8_3'!H412,"AAAAADb6/1M=")</f>
        <v>#VALUE!</v>
      </c>
      <c r="CG28" t="e">
        <f>AND('Planilla_General_07-12-2012_8_3'!I412,"AAAAADb6/1Q=")</f>
        <v>#VALUE!</v>
      </c>
      <c r="CH28" t="e">
        <f>AND('Planilla_General_07-12-2012_8_3'!J412,"AAAAADb6/1U=")</f>
        <v>#VALUE!</v>
      </c>
      <c r="CI28" t="e">
        <f>AND('Planilla_General_07-12-2012_8_3'!K412,"AAAAADb6/1Y=")</f>
        <v>#VALUE!</v>
      </c>
      <c r="CJ28" t="e">
        <f>AND('Planilla_General_07-12-2012_8_3'!L412,"AAAAADb6/1c=")</f>
        <v>#VALUE!</v>
      </c>
      <c r="CK28" t="e">
        <f>AND('Planilla_General_07-12-2012_8_3'!M412,"AAAAADb6/1g=")</f>
        <v>#VALUE!</v>
      </c>
      <c r="CL28" t="e">
        <f>AND('Planilla_General_07-12-2012_8_3'!N412,"AAAAADb6/1k=")</f>
        <v>#VALUE!</v>
      </c>
      <c r="CM28" t="e">
        <f>AND('Planilla_General_07-12-2012_8_3'!O412,"AAAAADb6/1o=")</f>
        <v>#VALUE!</v>
      </c>
      <c r="CN28" t="e">
        <f>AND('Planilla_General_07-12-2012_8_3'!P412,"AAAAADb6/1s=")</f>
        <v>#VALUE!</v>
      </c>
      <c r="CO28">
        <f>IF('Planilla_General_07-12-2012_8_3'!413:413,"AAAAADb6/1w=",0)</f>
        <v>0</v>
      </c>
      <c r="CP28" t="e">
        <f>AND('Planilla_General_07-12-2012_8_3'!A413,"AAAAADb6/10=")</f>
        <v>#VALUE!</v>
      </c>
      <c r="CQ28" t="e">
        <f>AND('Planilla_General_07-12-2012_8_3'!B413,"AAAAADb6/14=")</f>
        <v>#VALUE!</v>
      </c>
      <c r="CR28" t="e">
        <f>AND('Planilla_General_07-12-2012_8_3'!C413,"AAAAADb6/18=")</f>
        <v>#VALUE!</v>
      </c>
      <c r="CS28" t="e">
        <f>AND('Planilla_General_07-12-2012_8_3'!D413,"AAAAADb6/2A=")</f>
        <v>#VALUE!</v>
      </c>
      <c r="CT28" t="e">
        <f>AND('Planilla_General_07-12-2012_8_3'!E413,"AAAAADb6/2E=")</f>
        <v>#VALUE!</v>
      </c>
      <c r="CU28" t="e">
        <f>AND('Planilla_General_07-12-2012_8_3'!F413,"AAAAADb6/2I=")</f>
        <v>#VALUE!</v>
      </c>
      <c r="CV28" t="e">
        <f>AND('Planilla_General_07-12-2012_8_3'!G413,"AAAAADb6/2M=")</f>
        <v>#VALUE!</v>
      </c>
      <c r="CW28" t="e">
        <f>AND('Planilla_General_07-12-2012_8_3'!H413,"AAAAADb6/2Q=")</f>
        <v>#VALUE!</v>
      </c>
      <c r="CX28" t="e">
        <f>AND('Planilla_General_07-12-2012_8_3'!I413,"AAAAADb6/2U=")</f>
        <v>#VALUE!</v>
      </c>
      <c r="CY28" t="e">
        <f>AND('Planilla_General_07-12-2012_8_3'!J413,"AAAAADb6/2Y=")</f>
        <v>#VALUE!</v>
      </c>
      <c r="CZ28" t="e">
        <f>AND('Planilla_General_07-12-2012_8_3'!K413,"AAAAADb6/2c=")</f>
        <v>#VALUE!</v>
      </c>
      <c r="DA28" t="e">
        <f>AND('Planilla_General_07-12-2012_8_3'!L413,"AAAAADb6/2g=")</f>
        <v>#VALUE!</v>
      </c>
      <c r="DB28" t="e">
        <f>AND('Planilla_General_07-12-2012_8_3'!M413,"AAAAADb6/2k=")</f>
        <v>#VALUE!</v>
      </c>
      <c r="DC28" t="e">
        <f>AND('Planilla_General_07-12-2012_8_3'!N413,"AAAAADb6/2o=")</f>
        <v>#VALUE!</v>
      </c>
      <c r="DD28" t="e">
        <f>AND('Planilla_General_07-12-2012_8_3'!O413,"AAAAADb6/2s=")</f>
        <v>#VALUE!</v>
      </c>
      <c r="DE28" t="e">
        <f>AND('Planilla_General_07-12-2012_8_3'!P413,"AAAAADb6/2w=")</f>
        <v>#VALUE!</v>
      </c>
      <c r="DF28">
        <f>IF('Planilla_General_07-12-2012_8_3'!414:414,"AAAAADb6/20=",0)</f>
        <v>0</v>
      </c>
      <c r="DG28" t="e">
        <f>AND('Planilla_General_07-12-2012_8_3'!A414,"AAAAADb6/24=")</f>
        <v>#VALUE!</v>
      </c>
      <c r="DH28" t="e">
        <f>AND('Planilla_General_07-12-2012_8_3'!B414,"AAAAADb6/28=")</f>
        <v>#VALUE!</v>
      </c>
      <c r="DI28" t="e">
        <f>AND('Planilla_General_07-12-2012_8_3'!C414,"AAAAADb6/3A=")</f>
        <v>#VALUE!</v>
      </c>
      <c r="DJ28" t="e">
        <f>AND('Planilla_General_07-12-2012_8_3'!D414,"AAAAADb6/3E=")</f>
        <v>#VALUE!</v>
      </c>
      <c r="DK28" t="e">
        <f>AND('Planilla_General_07-12-2012_8_3'!E414,"AAAAADb6/3I=")</f>
        <v>#VALUE!</v>
      </c>
      <c r="DL28" t="e">
        <f>AND('Planilla_General_07-12-2012_8_3'!F414,"AAAAADb6/3M=")</f>
        <v>#VALUE!</v>
      </c>
      <c r="DM28" t="e">
        <f>AND('Planilla_General_07-12-2012_8_3'!G414,"AAAAADb6/3Q=")</f>
        <v>#VALUE!</v>
      </c>
      <c r="DN28" t="e">
        <f>AND('Planilla_General_07-12-2012_8_3'!H414,"AAAAADb6/3U=")</f>
        <v>#VALUE!</v>
      </c>
      <c r="DO28" t="e">
        <f>AND('Planilla_General_07-12-2012_8_3'!I414,"AAAAADb6/3Y=")</f>
        <v>#VALUE!</v>
      </c>
      <c r="DP28" t="e">
        <f>AND('Planilla_General_07-12-2012_8_3'!J414,"AAAAADb6/3c=")</f>
        <v>#VALUE!</v>
      </c>
      <c r="DQ28" t="e">
        <f>AND('Planilla_General_07-12-2012_8_3'!K414,"AAAAADb6/3g=")</f>
        <v>#VALUE!</v>
      </c>
      <c r="DR28" t="e">
        <f>AND('Planilla_General_07-12-2012_8_3'!L414,"AAAAADb6/3k=")</f>
        <v>#VALUE!</v>
      </c>
      <c r="DS28" t="e">
        <f>AND('Planilla_General_07-12-2012_8_3'!M414,"AAAAADb6/3o=")</f>
        <v>#VALUE!</v>
      </c>
      <c r="DT28" t="e">
        <f>AND('Planilla_General_07-12-2012_8_3'!N414,"AAAAADb6/3s=")</f>
        <v>#VALUE!</v>
      </c>
      <c r="DU28" t="e">
        <f>AND('Planilla_General_07-12-2012_8_3'!O414,"AAAAADb6/3w=")</f>
        <v>#VALUE!</v>
      </c>
      <c r="DV28" t="e">
        <f>AND('Planilla_General_07-12-2012_8_3'!P414,"AAAAADb6/30=")</f>
        <v>#VALUE!</v>
      </c>
      <c r="DW28">
        <f>IF('Planilla_General_07-12-2012_8_3'!415:415,"AAAAADb6/34=",0)</f>
        <v>0</v>
      </c>
      <c r="DX28" t="e">
        <f>AND('Planilla_General_07-12-2012_8_3'!A415,"AAAAADb6/38=")</f>
        <v>#VALUE!</v>
      </c>
      <c r="DY28" t="e">
        <f>AND('Planilla_General_07-12-2012_8_3'!B415,"AAAAADb6/4A=")</f>
        <v>#VALUE!</v>
      </c>
      <c r="DZ28" t="e">
        <f>AND('Planilla_General_07-12-2012_8_3'!C415,"AAAAADb6/4E=")</f>
        <v>#VALUE!</v>
      </c>
      <c r="EA28" t="e">
        <f>AND('Planilla_General_07-12-2012_8_3'!D415,"AAAAADb6/4I=")</f>
        <v>#VALUE!</v>
      </c>
      <c r="EB28" t="e">
        <f>AND('Planilla_General_07-12-2012_8_3'!E415,"AAAAADb6/4M=")</f>
        <v>#VALUE!</v>
      </c>
      <c r="EC28" t="e">
        <f>AND('Planilla_General_07-12-2012_8_3'!F415,"AAAAADb6/4Q=")</f>
        <v>#VALUE!</v>
      </c>
      <c r="ED28" t="e">
        <f>AND('Planilla_General_07-12-2012_8_3'!G415,"AAAAADb6/4U=")</f>
        <v>#VALUE!</v>
      </c>
      <c r="EE28" t="e">
        <f>AND('Planilla_General_07-12-2012_8_3'!H415,"AAAAADb6/4Y=")</f>
        <v>#VALUE!</v>
      </c>
      <c r="EF28" t="e">
        <f>AND('Planilla_General_07-12-2012_8_3'!I415,"AAAAADb6/4c=")</f>
        <v>#VALUE!</v>
      </c>
      <c r="EG28" t="e">
        <f>AND('Planilla_General_07-12-2012_8_3'!J415,"AAAAADb6/4g=")</f>
        <v>#VALUE!</v>
      </c>
      <c r="EH28" t="e">
        <f>AND('Planilla_General_07-12-2012_8_3'!K415,"AAAAADb6/4k=")</f>
        <v>#VALUE!</v>
      </c>
      <c r="EI28" t="e">
        <f>AND('Planilla_General_07-12-2012_8_3'!L415,"AAAAADb6/4o=")</f>
        <v>#VALUE!</v>
      </c>
      <c r="EJ28" t="e">
        <f>AND('Planilla_General_07-12-2012_8_3'!M415,"AAAAADb6/4s=")</f>
        <v>#VALUE!</v>
      </c>
      <c r="EK28" t="e">
        <f>AND('Planilla_General_07-12-2012_8_3'!N415,"AAAAADb6/4w=")</f>
        <v>#VALUE!</v>
      </c>
      <c r="EL28" t="e">
        <f>AND('Planilla_General_07-12-2012_8_3'!O415,"AAAAADb6/40=")</f>
        <v>#VALUE!</v>
      </c>
      <c r="EM28" t="e">
        <f>AND('Planilla_General_07-12-2012_8_3'!P415,"AAAAADb6/44=")</f>
        <v>#VALUE!</v>
      </c>
      <c r="EN28">
        <f>IF('Planilla_General_07-12-2012_8_3'!416:416,"AAAAADb6/48=",0)</f>
        <v>0</v>
      </c>
      <c r="EO28" t="e">
        <f>AND('Planilla_General_07-12-2012_8_3'!A416,"AAAAADb6/5A=")</f>
        <v>#VALUE!</v>
      </c>
      <c r="EP28" t="e">
        <f>AND('Planilla_General_07-12-2012_8_3'!B416,"AAAAADb6/5E=")</f>
        <v>#VALUE!</v>
      </c>
      <c r="EQ28" t="e">
        <f>AND('Planilla_General_07-12-2012_8_3'!C416,"AAAAADb6/5I=")</f>
        <v>#VALUE!</v>
      </c>
      <c r="ER28" t="e">
        <f>AND('Planilla_General_07-12-2012_8_3'!D416,"AAAAADb6/5M=")</f>
        <v>#VALUE!</v>
      </c>
      <c r="ES28" t="e">
        <f>AND('Planilla_General_07-12-2012_8_3'!E416,"AAAAADb6/5Q=")</f>
        <v>#VALUE!</v>
      </c>
      <c r="ET28" t="e">
        <f>AND('Planilla_General_07-12-2012_8_3'!F416,"AAAAADb6/5U=")</f>
        <v>#VALUE!</v>
      </c>
      <c r="EU28" t="e">
        <f>AND('Planilla_General_07-12-2012_8_3'!G416,"AAAAADb6/5Y=")</f>
        <v>#VALUE!</v>
      </c>
      <c r="EV28" t="e">
        <f>AND('Planilla_General_07-12-2012_8_3'!H416,"AAAAADb6/5c=")</f>
        <v>#VALUE!</v>
      </c>
      <c r="EW28" t="e">
        <f>AND('Planilla_General_07-12-2012_8_3'!I416,"AAAAADb6/5g=")</f>
        <v>#VALUE!</v>
      </c>
      <c r="EX28" t="e">
        <f>AND('Planilla_General_07-12-2012_8_3'!J416,"AAAAADb6/5k=")</f>
        <v>#VALUE!</v>
      </c>
      <c r="EY28" t="e">
        <f>AND('Planilla_General_07-12-2012_8_3'!K416,"AAAAADb6/5o=")</f>
        <v>#VALUE!</v>
      </c>
      <c r="EZ28" t="e">
        <f>AND('Planilla_General_07-12-2012_8_3'!L416,"AAAAADb6/5s=")</f>
        <v>#VALUE!</v>
      </c>
      <c r="FA28" t="e">
        <f>AND('Planilla_General_07-12-2012_8_3'!M416,"AAAAADb6/5w=")</f>
        <v>#VALUE!</v>
      </c>
      <c r="FB28" t="e">
        <f>AND('Planilla_General_07-12-2012_8_3'!N416,"AAAAADb6/50=")</f>
        <v>#VALUE!</v>
      </c>
      <c r="FC28" t="e">
        <f>AND('Planilla_General_07-12-2012_8_3'!O416,"AAAAADb6/54=")</f>
        <v>#VALUE!</v>
      </c>
      <c r="FD28" t="e">
        <f>AND('Planilla_General_07-12-2012_8_3'!P416,"AAAAADb6/58=")</f>
        <v>#VALUE!</v>
      </c>
      <c r="FE28">
        <f>IF('Planilla_General_07-12-2012_8_3'!417:417,"AAAAADb6/6A=",0)</f>
        <v>0</v>
      </c>
      <c r="FF28" t="e">
        <f>AND('Planilla_General_07-12-2012_8_3'!A417,"AAAAADb6/6E=")</f>
        <v>#VALUE!</v>
      </c>
      <c r="FG28" t="e">
        <f>AND('Planilla_General_07-12-2012_8_3'!B417,"AAAAADb6/6I=")</f>
        <v>#VALUE!</v>
      </c>
      <c r="FH28" t="e">
        <f>AND('Planilla_General_07-12-2012_8_3'!C417,"AAAAADb6/6M=")</f>
        <v>#VALUE!</v>
      </c>
      <c r="FI28" t="e">
        <f>AND('Planilla_General_07-12-2012_8_3'!D417,"AAAAADb6/6Q=")</f>
        <v>#VALUE!</v>
      </c>
      <c r="FJ28" t="e">
        <f>AND('Planilla_General_07-12-2012_8_3'!E417,"AAAAADb6/6U=")</f>
        <v>#VALUE!</v>
      </c>
      <c r="FK28" t="e">
        <f>AND('Planilla_General_07-12-2012_8_3'!F417,"AAAAADb6/6Y=")</f>
        <v>#VALUE!</v>
      </c>
      <c r="FL28" t="e">
        <f>AND('Planilla_General_07-12-2012_8_3'!G417,"AAAAADb6/6c=")</f>
        <v>#VALUE!</v>
      </c>
      <c r="FM28" t="e">
        <f>AND('Planilla_General_07-12-2012_8_3'!H417,"AAAAADb6/6g=")</f>
        <v>#VALUE!</v>
      </c>
      <c r="FN28" t="e">
        <f>AND('Planilla_General_07-12-2012_8_3'!I417,"AAAAADb6/6k=")</f>
        <v>#VALUE!</v>
      </c>
      <c r="FO28" t="e">
        <f>AND('Planilla_General_07-12-2012_8_3'!J417,"AAAAADb6/6o=")</f>
        <v>#VALUE!</v>
      </c>
      <c r="FP28" t="e">
        <f>AND('Planilla_General_07-12-2012_8_3'!K417,"AAAAADb6/6s=")</f>
        <v>#VALUE!</v>
      </c>
      <c r="FQ28" t="e">
        <f>AND('Planilla_General_07-12-2012_8_3'!L417,"AAAAADb6/6w=")</f>
        <v>#VALUE!</v>
      </c>
      <c r="FR28" t="e">
        <f>AND('Planilla_General_07-12-2012_8_3'!M417,"AAAAADb6/60=")</f>
        <v>#VALUE!</v>
      </c>
      <c r="FS28" t="e">
        <f>AND('Planilla_General_07-12-2012_8_3'!N417,"AAAAADb6/64=")</f>
        <v>#VALUE!</v>
      </c>
      <c r="FT28" t="e">
        <f>AND('Planilla_General_07-12-2012_8_3'!O417,"AAAAADb6/68=")</f>
        <v>#VALUE!</v>
      </c>
      <c r="FU28" t="e">
        <f>AND('Planilla_General_07-12-2012_8_3'!P417,"AAAAADb6/7A=")</f>
        <v>#VALUE!</v>
      </c>
      <c r="FV28">
        <f>IF('Planilla_General_07-12-2012_8_3'!418:418,"AAAAADb6/7E=",0)</f>
        <v>0</v>
      </c>
      <c r="FW28" t="e">
        <f>AND('Planilla_General_07-12-2012_8_3'!A418,"AAAAADb6/7I=")</f>
        <v>#VALUE!</v>
      </c>
      <c r="FX28" t="e">
        <f>AND('Planilla_General_07-12-2012_8_3'!B418,"AAAAADb6/7M=")</f>
        <v>#VALUE!</v>
      </c>
      <c r="FY28" t="e">
        <f>AND('Planilla_General_07-12-2012_8_3'!C418,"AAAAADb6/7Q=")</f>
        <v>#VALUE!</v>
      </c>
      <c r="FZ28" t="e">
        <f>AND('Planilla_General_07-12-2012_8_3'!D418,"AAAAADb6/7U=")</f>
        <v>#VALUE!</v>
      </c>
      <c r="GA28" t="e">
        <f>AND('Planilla_General_07-12-2012_8_3'!E418,"AAAAADb6/7Y=")</f>
        <v>#VALUE!</v>
      </c>
      <c r="GB28" t="e">
        <f>AND('Planilla_General_07-12-2012_8_3'!F418,"AAAAADb6/7c=")</f>
        <v>#VALUE!</v>
      </c>
      <c r="GC28" t="e">
        <f>AND('Planilla_General_07-12-2012_8_3'!G418,"AAAAADb6/7g=")</f>
        <v>#VALUE!</v>
      </c>
      <c r="GD28" t="e">
        <f>AND('Planilla_General_07-12-2012_8_3'!H418,"AAAAADb6/7k=")</f>
        <v>#VALUE!</v>
      </c>
      <c r="GE28" t="e">
        <f>AND('Planilla_General_07-12-2012_8_3'!I418,"AAAAADb6/7o=")</f>
        <v>#VALUE!</v>
      </c>
      <c r="GF28" t="e">
        <f>AND('Planilla_General_07-12-2012_8_3'!J418,"AAAAADb6/7s=")</f>
        <v>#VALUE!</v>
      </c>
      <c r="GG28" t="e">
        <f>AND('Planilla_General_07-12-2012_8_3'!K418,"AAAAADb6/7w=")</f>
        <v>#VALUE!</v>
      </c>
      <c r="GH28" t="e">
        <f>AND('Planilla_General_07-12-2012_8_3'!L418,"AAAAADb6/70=")</f>
        <v>#VALUE!</v>
      </c>
      <c r="GI28" t="e">
        <f>AND('Planilla_General_07-12-2012_8_3'!M418,"AAAAADb6/74=")</f>
        <v>#VALUE!</v>
      </c>
      <c r="GJ28" t="e">
        <f>AND('Planilla_General_07-12-2012_8_3'!N418,"AAAAADb6/78=")</f>
        <v>#VALUE!</v>
      </c>
      <c r="GK28" t="e">
        <f>AND('Planilla_General_07-12-2012_8_3'!O418,"AAAAADb6/8A=")</f>
        <v>#VALUE!</v>
      </c>
      <c r="GL28" t="e">
        <f>AND('Planilla_General_07-12-2012_8_3'!P418,"AAAAADb6/8E=")</f>
        <v>#VALUE!</v>
      </c>
      <c r="GM28">
        <f>IF('Planilla_General_07-12-2012_8_3'!419:419,"AAAAADb6/8I=",0)</f>
        <v>0</v>
      </c>
      <c r="GN28" t="e">
        <f>AND('Planilla_General_07-12-2012_8_3'!A419,"AAAAADb6/8M=")</f>
        <v>#VALUE!</v>
      </c>
      <c r="GO28" t="e">
        <f>AND('Planilla_General_07-12-2012_8_3'!B419,"AAAAADb6/8Q=")</f>
        <v>#VALUE!</v>
      </c>
      <c r="GP28" t="e">
        <f>AND('Planilla_General_07-12-2012_8_3'!C419,"AAAAADb6/8U=")</f>
        <v>#VALUE!</v>
      </c>
      <c r="GQ28" t="e">
        <f>AND('Planilla_General_07-12-2012_8_3'!D419,"AAAAADb6/8Y=")</f>
        <v>#VALUE!</v>
      </c>
      <c r="GR28" t="e">
        <f>AND('Planilla_General_07-12-2012_8_3'!E419,"AAAAADb6/8c=")</f>
        <v>#VALUE!</v>
      </c>
      <c r="GS28" t="e">
        <f>AND('Planilla_General_07-12-2012_8_3'!F419,"AAAAADb6/8g=")</f>
        <v>#VALUE!</v>
      </c>
      <c r="GT28" t="e">
        <f>AND('Planilla_General_07-12-2012_8_3'!G419,"AAAAADb6/8k=")</f>
        <v>#VALUE!</v>
      </c>
      <c r="GU28" t="e">
        <f>AND('Planilla_General_07-12-2012_8_3'!H419,"AAAAADb6/8o=")</f>
        <v>#VALUE!</v>
      </c>
      <c r="GV28" t="e">
        <f>AND('Planilla_General_07-12-2012_8_3'!I419,"AAAAADb6/8s=")</f>
        <v>#VALUE!</v>
      </c>
      <c r="GW28" t="e">
        <f>AND('Planilla_General_07-12-2012_8_3'!J419,"AAAAADb6/8w=")</f>
        <v>#VALUE!</v>
      </c>
      <c r="GX28" t="e">
        <f>AND('Planilla_General_07-12-2012_8_3'!K419,"AAAAADb6/80=")</f>
        <v>#VALUE!</v>
      </c>
      <c r="GY28" t="e">
        <f>AND('Planilla_General_07-12-2012_8_3'!L419,"AAAAADb6/84=")</f>
        <v>#VALUE!</v>
      </c>
      <c r="GZ28" t="e">
        <f>AND('Planilla_General_07-12-2012_8_3'!M419,"AAAAADb6/88=")</f>
        <v>#VALUE!</v>
      </c>
      <c r="HA28" t="e">
        <f>AND('Planilla_General_07-12-2012_8_3'!N419,"AAAAADb6/9A=")</f>
        <v>#VALUE!</v>
      </c>
      <c r="HB28" t="e">
        <f>AND('Planilla_General_07-12-2012_8_3'!O419,"AAAAADb6/9E=")</f>
        <v>#VALUE!</v>
      </c>
      <c r="HC28" t="e">
        <f>AND('Planilla_General_07-12-2012_8_3'!P419,"AAAAADb6/9I=")</f>
        <v>#VALUE!</v>
      </c>
      <c r="HD28">
        <f>IF('Planilla_General_07-12-2012_8_3'!420:420,"AAAAADb6/9M=",0)</f>
        <v>0</v>
      </c>
      <c r="HE28" t="e">
        <f>AND('Planilla_General_07-12-2012_8_3'!A420,"AAAAADb6/9Q=")</f>
        <v>#VALUE!</v>
      </c>
      <c r="HF28" t="e">
        <f>AND('Planilla_General_07-12-2012_8_3'!B420,"AAAAADb6/9U=")</f>
        <v>#VALUE!</v>
      </c>
      <c r="HG28" t="e">
        <f>AND('Planilla_General_07-12-2012_8_3'!C420,"AAAAADb6/9Y=")</f>
        <v>#VALUE!</v>
      </c>
      <c r="HH28" t="e">
        <f>AND('Planilla_General_07-12-2012_8_3'!D420,"AAAAADb6/9c=")</f>
        <v>#VALUE!</v>
      </c>
      <c r="HI28" t="e">
        <f>AND('Planilla_General_07-12-2012_8_3'!E420,"AAAAADb6/9g=")</f>
        <v>#VALUE!</v>
      </c>
      <c r="HJ28" t="e">
        <f>AND('Planilla_General_07-12-2012_8_3'!F420,"AAAAADb6/9k=")</f>
        <v>#VALUE!</v>
      </c>
      <c r="HK28" t="e">
        <f>AND('Planilla_General_07-12-2012_8_3'!G420,"AAAAADb6/9o=")</f>
        <v>#VALUE!</v>
      </c>
      <c r="HL28" t="e">
        <f>AND('Planilla_General_07-12-2012_8_3'!H420,"AAAAADb6/9s=")</f>
        <v>#VALUE!</v>
      </c>
      <c r="HM28" t="e">
        <f>AND('Planilla_General_07-12-2012_8_3'!I420,"AAAAADb6/9w=")</f>
        <v>#VALUE!</v>
      </c>
      <c r="HN28" t="e">
        <f>AND('Planilla_General_07-12-2012_8_3'!J420,"AAAAADb6/90=")</f>
        <v>#VALUE!</v>
      </c>
      <c r="HO28" t="e">
        <f>AND('Planilla_General_07-12-2012_8_3'!K420,"AAAAADb6/94=")</f>
        <v>#VALUE!</v>
      </c>
      <c r="HP28" t="e">
        <f>AND('Planilla_General_07-12-2012_8_3'!L420,"AAAAADb6/98=")</f>
        <v>#VALUE!</v>
      </c>
      <c r="HQ28" t="e">
        <f>AND('Planilla_General_07-12-2012_8_3'!M420,"AAAAADb6/+A=")</f>
        <v>#VALUE!</v>
      </c>
      <c r="HR28" t="e">
        <f>AND('Planilla_General_07-12-2012_8_3'!N420,"AAAAADb6/+E=")</f>
        <v>#VALUE!</v>
      </c>
      <c r="HS28" t="e">
        <f>AND('Planilla_General_07-12-2012_8_3'!O420,"AAAAADb6/+I=")</f>
        <v>#VALUE!</v>
      </c>
      <c r="HT28" t="e">
        <f>AND('Planilla_General_07-12-2012_8_3'!P420,"AAAAADb6/+M=")</f>
        <v>#VALUE!</v>
      </c>
      <c r="HU28">
        <f>IF('Planilla_General_07-12-2012_8_3'!421:421,"AAAAADb6/+Q=",0)</f>
        <v>0</v>
      </c>
      <c r="HV28" t="e">
        <f>AND('Planilla_General_07-12-2012_8_3'!A421,"AAAAADb6/+U=")</f>
        <v>#VALUE!</v>
      </c>
      <c r="HW28" t="e">
        <f>AND('Planilla_General_07-12-2012_8_3'!B421,"AAAAADb6/+Y=")</f>
        <v>#VALUE!</v>
      </c>
      <c r="HX28" t="e">
        <f>AND('Planilla_General_07-12-2012_8_3'!C421,"AAAAADb6/+c=")</f>
        <v>#VALUE!</v>
      </c>
      <c r="HY28" t="e">
        <f>AND('Planilla_General_07-12-2012_8_3'!D421,"AAAAADb6/+g=")</f>
        <v>#VALUE!</v>
      </c>
      <c r="HZ28" t="e">
        <f>AND('Planilla_General_07-12-2012_8_3'!E421,"AAAAADb6/+k=")</f>
        <v>#VALUE!</v>
      </c>
      <c r="IA28" t="e">
        <f>AND('Planilla_General_07-12-2012_8_3'!F421,"AAAAADb6/+o=")</f>
        <v>#VALUE!</v>
      </c>
      <c r="IB28" t="e">
        <f>AND('Planilla_General_07-12-2012_8_3'!G421,"AAAAADb6/+s=")</f>
        <v>#VALUE!</v>
      </c>
      <c r="IC28" t="e">
        <f>AND('Planilla_General_07-12-2012_8_3'!H421,"AAAAADb6/+w=")</f>
        <v>#VALUE!</v>
      </c>
      <c r="ID28" t="e">
        <f>AND('Planilla_General_07-12-2012_8_3'!I421,"AAAAADb6/+0=")</f>
        <v>#VALUE!</v>
      </c>
      <c r="IE28" t="e">
        <f>AND('Planilla_General_07-12-2012_8_3'!J421,"AAAAADb6/+4=")</f>
        <v>#VALUE!</v>
      </c>
      <c r="IF28" t="e">
        <f>AND('Planilla_General_07-12-2012_8_3'!K421,"AAAAADb6/+8=")</f>
        <v>#VALUE!</v>
      </c>
      <c r="IG28" t="e">
        <f>AND('Planilla_General_07-12-2012_8_3'!L421,"AAAAADb6//A=")</f>
        <v>#VALUE!</v>
      </c>
      <c r="IH28" t="e">
        <f>AND('Planilla_General_07-12-2012_8_3'!M421,"AAAAADb6//E=")</f>
        <v>#VALUE!</v>
      </c>
      <c r="II28" t="e">
        <f>AND('Planilla_General_07-12-2012_8_3'!N421,"AAAAADb6//I=")</f>
        <v>#VALUE!</v>
      </c>
      <c r="IJ28" t="e">
        <f>AND('Planilla_General_07-12-2012_8_3'!O421,"AAAAADb6//M=")</f>
        <v>#VALUE!</v>
      </c>
      <c r="IK28" t="e">
        <f>AND('Planilla_General_07-12-2012_8_3'!P421,"AAAAADb6//Q=")</f>
        <v>#VALUE!</v>
      </c>
      <c r="IL28">
        <f>IF('Planilla_General_07-12-2012_8_3'!422:422,"AAAAADb6//U=",0)</f>
        <v>0</v>
      </c>
      <c r="IM28" t="e">
        <f>AND('Planilla_General_07-12-2012_8_3'!A422,"AAAAADb6//Y=")</f>
        <v>#VALUE!</v>
      </c>
      <c r="IN28" t="e">
        <f>AND('Planilla_General_07-12-2012_8_3'!B422,"AAAAADb6//c=")</f>
        <v>#VALUE!</v>
      </c>
      <c r="IO28" t="e">
        <f>AND('Planilla_General_07-12-2012_8_3'!C422,"AAAAADb6//g=")</f>
        <v>#VALUE!</v>
      </c>
      <c r="IP28" t="e">
        <f>AND('Planilla_General_07-12-2012_8_3'!D422,"AAAAADb6//k=")</f>
        <v>#VALUE!</v>
      </c>
      <c r="IQ28" t="e">
        <f>AND('Planilla_General_07-12-2012_8_3'!E422,"AAAAADb6//o=")</f>
        <v>#VALUE!</v>
      </c>
      <c r="IR28" t="e">
        <f>AND('Planilla_General_07-12-2012_8_3'!F422,"AAAAADb6//s=")</f>
        <v>#VALUE!</v>
      </c>
      <c r="IS28" t="e">
        <f>AND('Planilla_General_07-12-2012_8_3'!G422,"AAAAADb6//w=")</f>
        <v>#VALUE!</v>
      </c>
      <c r="IT28" t="e">
        <f>AND('Planilla_General_07-12-2012_8_3'!H422,"AAAAADb6//0=")</f>
        <v>#VALUE!</v>
      </c>
      <c r="IU28" t="e">
        <f>AND('Planilla_General_07-12-2012_8_3'!I422,"AAAAADb6//4=")</f>
        <v>#VALUE!</v>
      </c>
      <c r="IV28" t="e">
        <f>AND('Planilla_General_07-12-2012_8_3'!J422,"AAAAADb6//8=")</f>
        <v>#VALUE!</v>
      </c>
    </row>
    <row r="29" spans="1:256" x14ac:dyDescent="0.25">
      <c r="A29" t="e">
        <f>AND('Planilla_General_07-12-2012_8_3'!K422,"AAAAAG/1/wA=")</f>
        <v>#VALUE!</v>
      </c>
      <c r="B29" t="e">
        <f>AND('Planilla_General_07-12-2012_8_3'!L422,"AAAAAG/1/wE=")</f>
        <v>#VALUE!</v>
      </c>
      <c r="C29" t="e">
        <f>AND('Planilla_General_07-12-2012_8_3'!M422,"AAAAAG/1/wI=")</f>
        <v>#VALUE!</v>
      </c>
      <c r="D29" t="e">
        <f>AND('Planilla_General_07-12-2012_8_3'!N422,"AAAAAG/1/wM=")</f>
        <v>#VALUE!</v>
      </c>
      <c r="E29" t="e">
        <f>AND('Planilla_General_07-12-2012_8_3'!O422,"AAAAAG/1/wQ=")</f>
        <v>#VALUE!</v>
      </c>
      <c r="F29" t="e">
        <f>AND('Planilla_General_07-12-2012_8_3'!P422,"AAAAAG/1/wU=")</f>
        <v>#VALUE!</v>
      </c>
      <c r="G29" t="e">
        <f>IF('Planilla_General_07-12-2012_8_3'!423:423,"AAAAAG/1/wY=",0)</f>
        <v>#VALUE!</v>
      </c>
      <c r="H29" t="e">
        <f>AND('Planilla_General_07-12-2012_8_3'!A423,"AAAAAG/1/wc=")</f>
        <v>#VALUE!</v>
      </c>
      <c r="I29" t="e">
        <f>AND('Planilla_General_07-12-2012_8_3'!B423,"AAAAAG/1/wg=")</f>
        <v>#VALUE!</v>
      </c>
      <c r="J29" t="e">
        <f>AND('Planilla_General_07-12-2012_8_3'!C423,"AAAAAG/1/wk=")</f>
        <v>#VALUE!</v>
      </c>
      <c r="K29" t="e">
        <f>AND('Planilla_General_07-12-2012_8_3'!D423,"AAAAAG/1/wo=")</f>
        <v>#VALUE!</v>
      </c>
      <c r="L29" t="e">
        <f>AND('Planilla_General_07-12-2012_8_3'!E423,"AAAAAG/1/ws=")</f>
        <v>#VALUE!</v>
      </c>
      <c r="M29" t="e">
        <f>AND('Planilla_General_07-12-2012_8_3'!F423,"AAAAAG/1/ww=")</f>
        <v>#VALUE!</v>
      </c>
      <c r="N29" t="e">
        <f>AND('Planilla_General_07-12-2012_8_3'!G423,"AAAAAG/1/w0=")</f>
        <v>#VALUE!</v>
      </c>
      <c r="O29" t="e">
        <f>AND('Planilla_General_07-12-2012_8_3'!H423,"AAAAAG/1/w4=")</f>
        <v>#VALUE!</v>
      </c>
      <c r="P29" t="e">
        <f>AND('Planilla_General_07-12-2012_8_3'!I423,"AAAAAG/1/w8=")</f>
        <v>#VALUE!</v>
      </c>
      <c r="Q29" t="e">
        <f>AND('Planilla_General_07-12-2012_8_3'!J423,"AAAAAG/1/xA=")</f>
        <v>#VALUE!</v>
      </c>
      <c r="R29" t="e">
        <f>AND('Planilla_General_07-12-2012_8_3'!K423,"AAAAAG/1/xE=")</f>
        <v>#VALUE!</v>
      </c>
      <c r="S29" t="e">
        <f>AND('Planilla_General_07-12-2012_8_3'!L423,"AAAAAG/1/xI=")</f>
        <v>#VALUE!</v>
      </c>
      <c r="T29" t="e">
        <f>AND('Planilla_General_07-12-2012_8_3'!M423,"AAAAAG/1/xM=")</f>
        <v>#VALUE!</v>
      </c>
      <c r="U29" t="e">
        <f>AND('Planilla_General_07-12-2012_8_3'!N423,"AAAAAG/1/xQ=")</f>
        <v>#VALUE!</v>
      </c>
      <c r="V29" t="e">
        <f>AND('Planilla_General_07-12-2012_8_3'!O423,"AAAAAG/1/xU=")</f>
        <v>#VALUE!</v>
      </c>
      <c r="W29" t="e">
        <f>AND('Planilla_General_07-12-2012_8_3'!P423,"AAAAAG/1/xY=")</f>
        <v>#VALUE!</v>
      </c>
      <c r="X29">
        <f>IF('Planilla_General_07-12-2012_8_3'!424:424,"AAAAAG/1/xc=",0)</f>
        <v>0</v>
      </c>
      <c r="Y29" t="e">
        <f>AND('Planilla_General_07-12-2012_8_3'!A424,"AAAAAG/1/xg=")</f>
        <v>#VALUE!</v>
      </c>
      <c r="Z29" t="e">
        <f>AND('Planilla_General_07-12-2012_8_3'!B424,"AAAAAG/1/xk=")</f>
        <v>#VALUE!</v>
      </c>
      <c r="AA29" t="e">
        <f>AND('Planilla_General_07-12-2012_8_3'!C424,"AAAAAG/1/xo=")</f>
        <v>#VALUE!</v>
      </c>
      <c r="AB29" t="e">
        <f>AND('Planilla_General_07-12-2012_8_3'!D424,"AAAAAG/1/xs=")</f>
        <v>#VALUE!</v>
      </c>
      <c r="AC29" t="e">
        <f>AND('Planilla_General_07-12-2012_8_3'!E424,"AAAAAG/1/xw=")</f>
        <v>#VALUE!</v>
      </c>
      <c r="AD29" t="e">
        <f>AND('Planilla_General_07-12-2012_8_3'!F424,"AAAAAG/1/x0=")</f>
        <v>#VALUE!</v>
      </c>
      <c r="AE29" t="e">
        <f>AND('Planilla_General_07-12-2012_8_3'!G424,"AAAAAG/1/x4=")</f>
        <v>#VALUE!</v>
      </c>
      <c r="AF29" t="e">
        <f>AND('Planilla_General_07-12-2012_8_3'!H424,"AAAAAG/1/x8=")</f>
        <v>#VALUE!</v>
      </c>
      <c r="AG29" t="e">
        <f>AND('Planilla_General_07-12-2012_8_3'!I424,"AAAAAG/1/yA=")</f>
        <v>#VALUE!</v>
      </c>
      <c r="AH29" t="e">
        <f>AND('Planilla_General_07-12-2012_8_3'!J424,"AAAAAG/1/yE=")</f>
        <v>#VALUE!</v>
      </c>
      <c r="AI29" t="e">
        <f>AND('Planilla_General_07-12-2012_8_3'!K424,"AAAAAG/1/yI=")</f>
        <v>#VALUE!</v>
      </c>
      <c r="AJ29" t="e">
        <f>AND('Planilla_General_07-12-2012_8_3'!L424,"AAAAAG/1/yM=")</f>
        <v>#VALUE!</v>
      </c>
      <c r="AK29" t="e">
        <f>AND('Planilla_General_07-12-2012_8_3'!M424,"AAAAAG/1/yQ=")</f>
        <v>#VALUE!</v>
      </c>
      <c r="AL29" t="e">
        <f>AND('Planilla_General_07-12-2012_8_3'!N424,"AAAAAG/1/yU=")</f>
        <v>#VALUE!</v>
      </c>
      <c r="AM29" t="e">
        <f>AND('Planilla_General_07-12-2012_8_3'!O424,"AAAAAG/1/yY=")</f>
        <v>#VALUE!</v>
      </c>
      <c r="AN29" t="e">
        <f>AND('Planilla_General_07-12-2012_8_3'!P424,"AAAAAG/1/yc=")</f>
        <v>#VALUE!</v>
      </c>
      <c r="AO29">
        <f>IF('Planilla_General_07-12-2012_8_3'!425:425,"AAAAAG/1/yg=",0)</f>
        <v>0</v>
      </c>
      <c r="AP29" t="e">
        <f>AND('Planilla_General_07-12-2012_8_3'!A425,"AAAAAG/1/yk=")</f>
        <v>#VALUE!</v>
      </c>
      <c r="AQ29" t="e">
        <f>AND('Planilla_General_07-12-2012_8_3'!B425,"AAAAAG/1/yo=")</f>
        <v>#VALUE!</v>
      </c>
      <c r="AR29" t="e">
        <f>AND('Planilla_General_07-12-2012_8_3'!C425,"AAAAAG/1/ys=")</f>
        <v>#VALUE!</v>
      </c>
      <c r="AS29" t="e">
        <f>AND('Planilla_General_07-12-2012_8_3'!D425,"AAAAAG/1/yw=")</f>
        <v>#VALUE!</v>
      </c>
      <c r="AT29" t="e">
        <f>AND('Planilla_General_07-12-2012_8_3'!E425,"AAAAAG/1/y0=")</f>
        <v>#VALUE!</v>
      </c>
      <c r="AU29" t="e">
        <f>AND('Planilla_General_07-12-2012_8_3'!F425,"AAAAAG/1/y4=")</f>
        <v>#VALUE!</v>
      </c>
      <c r="AV29" t="e">
        <f>AND('Planilla_General_07-12-2012_8_3'!G425,"AAAAAG/1/y8=")</f>
        <v>#VALUE!</v>
      </c>
      <c r="AW29" t="e">
        <f>AND('Planilla_General_07-12-2012_8_3'!H425,"AAAAAG/1/zA=")</f>
        <v>#VALUE!</v>
      </c>
      <c r="AX29" t="e">
        <f>AND('Planilla_General_07-12-2012_8_3'!I425,"AAAAAG/1/zE=")</f>
        <v>#VALUE!</v>
      </c>
      <c r="AY29" t="e">
        <f>AND('Planilla_General_07-12-2012_8_3'!J425,"AAAAAG/1/zI=")</f>
        <v>#VALUE!</v>
      </c>
      <c r="AZ29" t="e">
        <f>AND('Planilla_General_07-12-2012_8_3'!K425,"AAAAAG/1/zM=")</f>
        <v>#VALUE!</v>
      </c>
      <c r="BA29" t="e">
        <f>AND('Planilla_General_07-12-2012_8_3'!L425,"AAAAAG/1/zQ=")</f>
        <v>#VALUE!</v>
      </c>
      <c r="BB29" t="e">
        <f>AND('Planilla_General_07-12-2012_8_3'!M425,"AAAAAG/1/zU=")</f>
        <v>#VALUE!</v>
      </c>
      <c r="BC29" t="e">
        <f>AND('Planilla_General_07-12-2012_8_3'!N425,"AAAAAG/1/zY=")</f>
        <v>#VALUE!</v>
      </c>
      <c r="BD29" t="e">
        <f>AND('Planilla_General_07-12-2012_8_3'!O425,"AAAAAG/1/zc=")</f>
        <v>#VALUE!</v>
      </c>
      <c r="BE29" t="e">
        <f>AND('Planilla_General_07-12-2012_8_3'!P425,"AAAAAG/1/zg=")</f>
        <v>#VALUE!</v>
      </c>
      <c r="BF29">
        <f>IF('Planilla_General_07-12-2012_8_3'!426:426,"AAAAAG/1/zk=",0)</f>
        <v>0</v>
      </c>
      <c r="BG29" t="e">
        <f>AND('Planilla_General_07-12-2012_8_3'!A426,"AAAAAG/1/zo=")</f>
        <v>#VALUE!</v>
      </c>
      <c r="BH29" t="e">
        <f>AND('Planilla_General_07-12-2012_8_3'!B426,"AAAAAG/1/zs=")</f>
        <v>#VALUE!</v>
      </c>
      <c r="BI29" t="e">
        <f>AND('Planilla_General_07-12-2012_8_3'!C426,"AAAAAG/1/zw=")</f>
        <v>#VALUE!</v>
      </c>
      <c r="BJ29" t="e">
        <f>AND('Planilla_General_07-12-2012_8_3'!D426,"AAAAAG/1/z0=")</f>
        <v>#VALUE!</v>
      </c>
      <c r="BK29" t="e">
        <f>AND('Planilla_General_07-12-2012_8_3'!E426,"AAAAAG/1/z4=")</f>
        <v>#VALUE!</v>
      </c>
      <c r="BL29" t="e">
        <f>AND('Planilla_General_07-12-2012_8_3'!F426,"AAAAAG/1/z8=")</f>
        <v>#VALUE!</v>
      </c>
      <c r="BM29" t="e">
        <f>AND('Planilla_General_07-12-2012_8_3'!G426,"AAAAAG/1/0A=")</f>
        <v>#VALUE!</v>
      </c>
      <c r="BN29" t="e">
        <f>AND('Planilla_General_07-12-2012_8_3'!H426,"AAAAAG/1/0E=")</f>
        <v>#VALUE!</v>
      </c>
      <c r="BO29" t="e">
        <f>AND('Planilla_General_07-12-2012_8_3'!I426,"AAAAAG/1/0I=")</f>
        <v>#VALUE!</v>
      </c>
      <c r="BP29" t="e">
        <f>AND('Planilla_General_07-12-2012_8_3'!J426,"AAAAAG/1/0M=")</f>
        <v>#VALUE!</v>
      </c>
      <c r="BQ29" t="e">
        <f>AND('Planilla_General_07-12-2012_8_3'!K426,"AAAAAG/1/0Q=")</f>
        <v>#VALUE!</v>
      </c>
      <c r="BR29" t="e">
        <f>AND('Planilla_General_07-12-2012_8_3'!L426,"AAAAAG/1/0U=")</f>
        <v>#VALUE!</v>
      </c>
      <c r="BS29" t="e">
        <f>AND('Planilla_General_07-12-2012_8_3'!M426,"AAAAAG/1/0Y=")</f>
        <v>#VALUE!</v>
      </c>
      <c r="BT29" t="e">
        <f>AND('Planilla_General_07-12-2012_8_3'!N426,"AAAAAG/1/0c=")</f>
        <v>#VALUE!</v>
      </c>
      <c r="BU29" t="e">
        <f>AND('Planilla_General_07-12-2012_8_3'!O426,"AAAAAG/1/0g=")</f>
        <v>#VALUE!</v>
      </c>
      <c r="BV29" t="e">
        <f>AND('Planilla_General_07-12-2012_8_3'!P426,"AAAAAG/1/0k=")</f>
        <v>#VALUE!</v>
      </c>
      <c r="BW29">
        <f>IF('Planilla_General_07-12-2012_8_3'!427:427,"AAAAAG/1/0o=",0)</f>
        <v>0</v>
      </c>
      <c r="BX29" t="e">
        <f>AND('Planilla_General_07-12-2012_8_3'!A427,"AAAAAG/1/0s=")</f>
        <v>#VALUE!</v>
      </c>
      <c r="BY29" t="e">
        <f>AND('Planilla_General_07-12-2012_8_3'!B427,"AAAAAG/1/0w=")</f>
        <v>#VALUE!</v>
      </c>
      <c r="BZ29" t="e">
        <f>AND('Planilla_General_07-12-2012_8_3'!C427,"AAAAAG/1/00=")</f>
        <v>#VALUE!</v>
      </c>
      <c r="CA29" t="e">
        <f>AND('Planilla_General_07-12-2012_8_3'!D427,"AAAAAG/1/04=")</f>
        <v>#VALUE!</v>
      </c>
      <c r="CB29" t="e">
        <f>AND('Planilla_General_07-12-2012_8_3'!E427,"AAAAAG/1/08=")</f>
        <v>#VALUE!</v>
      </c>
      <c r="CC29" t="e">
        <f>AND('Planilla_General_07-12-2012_8_3'!F427,"AAAAAG/1/1A=")</f>
        <v>#VALUE!</v>
      </c>
      <c r="CD29" t="e">
        <f>AND('Planilla_General_07-12-2012_8_3'!G427,"AAAAAG/1/1E=")</f>
        <v>#VALUE!</v>
      </c>
      <c r="CE29" t="e">
        <f>AND('Planilla_General_07-12-2012_8_3'!H427,"AAAAAG/1/1I=")</f>
        <v>#VALUE!</v>
      </c>
      <c r="CF29" t="e">
        <f>AND('Planilla_General_07-12-2012_8_3'!I427,"AAAAAG/1/1M=")</f>
        <v>#VALUE!</v>
      </c>
      <c r="CG29" t="e">
        <f>AND('Planilla_General_07-12-2012_8_3'!J427,"AAAAAG/1/1Q=")</f>
        <v>#VALUE!</v>
      </c>
      <c r="CH29" t="e">
        <f>AND('Planilla_General_07-12-2012_8_3'!K427,"AAAAAG/1/1U=")</f>
        <v>#VALUE!</v>
      </c>
      <c r="CI29" t="e">
        <f>AND('Planilla_General_07-12-2012_8_3'!L427,"AAAAAG/1/1Y=")</f>
        <v>#VALUE!</v>
      </c>
      <c r="CJ29" t="e">
        <f>AND('Planilla_General_07-12-2012_8_3'!M427,"AAAAAG/1/1c=")</f>
        <v>#VALUE!</v>
      </c>
      <c r="CK29" t="e">
        <f>AND('Planilla_General_07-12-2012_8_3'!N427,"AAAAAG/1/1g=")</f>
        <v>#VALUE!</v>
      </c>
      <c r="CL29" t="e">
        <f>AND('Planilla_General_07-12-2012_8_3'!O427,"AAAAAG/1/1k=")</f>
        <v>#VALUE!</v>
      </c>
      <c r="CM29" t="e">
        <f>AND('Planilla_General_07-12-2012_8_3'!P427,"AAAAAG/1/1o=")</f>
        <v>#VALUE!</v>
      </c>
      <c r="CN29">
        <f>IF('Planilla_General_07-12-2012_8_3'!428:428,"AAAAAG/1/1s=",0)</f>
        <v>0</v>
      </c>
      <c r="CO29" t="e">
        <f>AND('Planilla_General_07-12-2012_8_3'!A428,"AAAAAG/1/1w=")</f>
        <v>#VALUE!</v>
      </c>
      <c r="CP29" t="e">
        <f>AND('Planilla_General_07-12-2012_8_3'!B428,"AAAAAG/1/10=")</f>
        <v>#VALUE!</v>
      </c>
      <c r="CQ29" t="e">
        <f>AND('Planilla_General_07-12-2012_8_3'!C428,"AAAAAG/1/14=")</f>
        <v>#VALUE!</v>
      </c>
      <c r="CR29" t="e">
        <f>AND('Planilla_General_07-12-2012_8_3'!D428,"AAAAAG/1/18=")</f>
        <v>#VALUE!</v>
      </c>
      <c r="CS29" t="e">
        <f>AND('Planilla_General_07-12-2012_8_3'!E428,"AAAAAG/1/2A=")</f>
        <v>#VALUE!</v>
      </c>
      <c r="CT29" t="e">
        <f>AND('Planilla_General_07-12-2012_8_3'!F428,"AAAAAG/1/2E=")</f>
        <v>#VALUE!</v>
      </c>
      <c r="CU29" t="e">
        <f>AND('Planilla_General_07-12-2012_8_3'!G428,"AAAAAG/1/2I=")</f>
        <v>#VALUE!</v>
      </c>
      <c r="CV29" t="e">
        <f>AND('Planilla_General_07-12-2012_8_3'!H428,"AAAAAG/1/2M=")</f>
        <v>#VALUE!</v>
      </c>
      <c r="CW29" t="e">
        <f>AND('Planilla_General_07-12-2012_8_3'!I428,"AAAAAG/1/2Q=")</f>
        <v>#VALUE!</v>
      </c>
      <c r="CX29" t="e">
        <f>AND('Planilla_General_07-12-2012_8_3'!J428,"AAAAAG/1/2U=")</f>
        <v>#VALUE!</v>
      </c>
      <c r="CY29" t="e">
        <f>AND('Planilla_General_07-12-2012_8_3'!K428,"AAAAAG/1/2Y=")</f>
        <v>#VALUE!</v>
      </c>
      <c r="CZ29" t="e">
        <f>AND('Planilla_General_07-12-2012_8_3'!L428,"AAAAAG/1/2c=")</f>
        <v>#VALUE!</v>
      </c>
      <c r="DA29" t="e">
        <f>AND('Planilla_General_07-12-2012_8_3'!M428,"AAAAAG/1/2g=")</f>
        <v>#VALUE!</v>
      </c>
      <c r="DB29" t="e">
        <f>AND('Planilla_General_07-12-2012_8_3'!N428,"AAAAAG/1/2k=")</f>
        <v>#VALUE!</v>
      </c>
      <c r="DC29" t="e">
        <f>AND('Planilla_General_07-12-2012_8_3'!O428,"AAAAAG/1/2o=")</f>
        <v>#VALUE!</v>
      </c>
      <c r="DD29" t="e">
        <f>AND('Planilla_General_07-12-2012_8_3'!P428,"AAAAAG/1/2s=")</f>
        <v>#VALUE!</v>
      </c>
      <c r="DE29">
        <f>IF('Planilla_General_07-12-2012_8_3'!429:429,"AAAAAG/1/2w=",0)</f>
        <v>0</v>
      </c>
      <c r="DF29" t="e">
        <f>AND('Planilla_General_07-12-2012_8_3'!A429,"AAAAAG/1/20=")</f>
        <v>#VALUE!</v>
      </c>
      <c r="DG29" t="e">
        <f>AND('Planilla_General_07-12-2012_8_3'!B429,"AAAAAG/1/24=")</f>
        <v>#VALUE!</v>
      </c>
      <c r="DH29" t="e">
        <f>AND('Planilla_General_07-12-2012_8_3'!C429,"AAAAAG/1/28=")</f>
        <v>#VALUE!</v>
      </c>
      <c r="DI29" t="e">
        <f>AND('Planilla_General_07-12-2012_8_3'!D429,"AAAAAG/1/3A=")</f>
        <v>#VALUE!</v>
      </c>
      <c r="DJ29" t="e">
        <f>AND('Planilla_General_07-12-2012_8_3'!E429,"AAAAAG/1/3E=")</f>
        <v>#VALUE!</v>
      </c>
      <c r="DK29" t="e">
        <f>AND('Planilla_General_07-12-2012_8_3'!F429,"AAAAAG/1/3I=")</f>
        <v>#VALUE!</v>
      </c>
      <c r="DL29" t="e">
        <f>AND('Planilla_General_07-12-2012_8_3'!G429,"AAAAAG/1/3M=")</f>
        <v>#VALUE!</v>
      </c>
      <c r="DM29" t="e">
        <f>AND('Planilla_General_07-12-2012_8_3'!H429,"AAAAAG/1/3Q=")</f>
        <v>#VALUE!</v>
      </c>
      <c r="DN29" t="e">
        <f>AND('Planilla_General_07-12-2012_8_3'!I429,"AAAAAG/1/3U=")</f>
        <v>#VALUE!</v>
      </c>
      <c r="DO29" t="e">
        <f>AND('Planilla_General_07-12-2012_8_3'!J429,"AAAAAG/1/3Y=")</f>
        <v>#VALUE!</v>
      </c>
      <c r="DP29" t="e">
        <f>AND('Planilla_General_07-12-2012_8_3'!K429,"AAAAAG/1/3c=")</f>
        <v>#VALUE!</v>
      </c>
      <c r="DQ29" t="e">
        <f>AND('Planilla_General_07-12-2012_8_3'!L429,"AAAAAG/1/3g=")</f>
        <v>#VALUE!</v>
      </c>
      <c r="DR29" t="e">
        <f>AND('Planilla_General_07-12-2012_8_3'!M429,"AAAAAG/1/3k=")</f>
        <v>#VALUE!</v>
      </c>
      <c r="DS29" t="e">
        <f>AND('Planilla_General_07-12-2012_8_3'!N429,"AAAAAG/1/3o=")</f>
        <v>#VALUE!</v>
      </c>
      <c r="DT29" t="e">
        <f>AND('Planilla_General_07-12-2012_8_3'!O429,"AAAAAG/1/3s=")</f>
        <v>#VALUE!</v>
      </c>
      <c r="DU29" t="e">
        <f>AND('Planilla_General_07-12-2012_8_3'!P429,"AAAAAG/1/3w=")</f>
        <v>#VALUE!</v>
      </c>
      <c r="DV29">
        <f>IF('Planilla_General_07-12-2012_8_3'!430:430,"AAAAAG/1/30=",0)</f>
        <v>0</v>
      </c>
      <c r="DW29" t="e">
        <f>AND('Planilla_General_07-12-2012_8_3'!A430,"AAAAAG/1/34=")</f>
        <v>#VALUE!</v>
      </c>
      <c r="DX29" t="e">
        <f>AND('Planilla_General_07-12-2012_8_3'!B430,"AAAAAG/1/38=")</f>
        <v>#VALUE!</v>
      </c>
      <c r="DY29" t="e">
        <f>AND('Planilla_General_07-12-2012_8_3'!C430,"AAAAAG/1/4A=")</f>
        <v>#VALUE!</v>
      </c>
      <c r="DZ29" t="e">
        <f>AND('Planilla_General_07-12-2012_8_3'!D430,"AAAAAG/1/4E=")</f>
        <v>#VALUE!</v>
      </c>
      <c r="EA29" t="e">
        <f>AND('Planilla_General_07-12-2012_8_3'!E430,"AAAAAG/1/4I=")</f>
        <v>#VALUE!</v>
      </c>
      <c r="EB29" t="e">
        <f>AND('Planilla_General_07-12-2012_8_3'!F430,"AAAAAG/1/4M=")</f>
        <v>#VALUE!</v>
      </c>
      <c r="EC29" t="e">
        <f>AND('Planilla_General_07-12-2012_8_3'!G430,"AAAAAG/1/4Q=")</f>
        <v>#VALUE!</v>
      </c>
      <c r="ED29" t="e">
        <f>AND('Planilla_General_07-12-2012_8_3'!H430,"AAAAAG/1/4U=")</f>
        <v>#VALUE!</v>
      </c>
      <c r="EE29" t="e">
        <f>AND('Planilla_General_07-12-2012_8_3'!I430,"AAAAAG/1/4Y=")</f>
        <v>#VALUE!</v>
      </c>
      <c r="EF29" t="e">
        <f>AND('Planilla_General_07-12-2012_8_3'!J430,"AAAAAG/1/4c=")</f>
        <v>#VALUE!</v>
      </c>
      <c r="EG29" t="e">
        <f>AND('Planilla_General_07-12-2012_8_3'!K430,"AAAAAG/1/4g=")</f>
        <v>#VALUE!</v>
      </c>
      <c r="EH29" t="e">
        <f>AND('Planilla_General_07-12-2012_8_3'!L430,"AAAAAG/1/4k=")</f>
        <v>#VALUE!</v>
      </c>
      <c r="EI29" t="e">
        <f>AND('Planilla_General_07-12-2012_8_3'!M430,"AAAAAG/1/4o=")</f>
        <v>#VALUE!</v>
      </c>
      <c r="EJ29" t="e">
        <f>AND('Planilla_General_07-12-2012_8_3'!N430,"AAAAAG/1/4s=")</f>
        <v>#VALUE!</v>
      </c>
      <c r="EK29" t="e">
        <f>AND('Planilla_General_07-12-2012_8_3'!O430,"AAAAAG/1/4w=")</f>
        <v>#VALUE!</v>
      </c>
      <c r="EL29" t="e">
        <f>AND('Planilla_General_07-12-2012_8_3'!P430,"AAAAAG/1/40=")</f>
        <v>#VALUE!</v>
      </c>
      <c r="EM29">
        <f>IF('Planilla_General_07-12-2012_8_3'!431:431,"AAAAAG/1/44=",0)</f>
        <v>0</v>
      </c>
      <c r="EN29" t="e">
        <f>AND('Planilla_General_07-12-2012_8_3'!A431,"AAAAAG/1/48=")</f>
        <v>#VALUE!</v>
      </c>
      <c r="EO29" t="e">
        <f>AND('Planilla_General_07-12-2012_8_3'!B431,"AAAAAG/1/5A=")</f>
        <v>#VALUE!</v>
      </c>
      <c r="EP29" t="e">
        <f>AND('Planilla_General_07-12-2012_8_3'!C431,"AAAAAG/1/5E=")</f>
        <v>#VALUE!</v>
      </c>
      <c r="EQ29" t="e">
        <f>AND('Planilla_General_07-12-2012_8_3'!D431,"AAAAAG/1/5I=")</f>
        <v>#VALUE!</v>
      </c>
      <c r="ER29" t="e">
        <f>AND('Planilla_General_07-12-2012_8_3'!E431,"AAAAAG/1/5M=")</f>
        <v>#VALUE!</v>
      </c>
      <c r="ES29" t="e">
        <f>AND('Planilla_General_07-12-2012_8_3'!F431,"AAAAAG/1/5Q=")</f>
        <v>#VALUE!</v>
      </c>
      <c r="ET29" t="e">
        <f>AND('Planilla_General_07-12-2012_8_3'!G431,"AAAAAG/1/5U=")</f>
        <v>#VALUE!</v>
      </c>
      <c r="EU29" t="e">
        <f>AND('Planilla_General_07-12-2012_8_3'!H431,"AAAAAG/1/5Y=")</f>
        <v>#VALUE!</v>
      </c>
      <c r="EV29" t="e">
        <f>AND('Planilla_General_07-12-2012_8_3'!I431,"AAAAAG/1/5c=")</f>
        <v>#VALUE!</v>
      </c>
      <c r="EW29" t="e">
        <f>AND('Planilla_General_07-12-2012_8_3'!J431,"AAAAAG/1/5g=")</f>
        <v>#VALUE!</v>
      </c>
      <c r="EX29" t="e">
        <f>AND('Planilla_General_07-12-2012_8_3'!K431,"AAAAAG/1/5k=")</f>
        <v>#VALUE!</v>
      </c>
      <c r="EY29" t="e">
        <f>AND('Planilla_General_07-12-2012_8_3'!L431,"AAAAAG/1/5o=")</f>
        <v>#VALUE!</v>
      </c>
      <c r="EZ29" t="e">
        <f>AND('Planilla_General_07-12-2012_8_3'!M431,"AAAAAG/1/5s=")</f>
        <v>#VALUE!</v>
      </c>
      <c r="FA29" t="e">
        <f>AND('Planilla_General_07-12-2012_8_3'!N431,"AAAAAG/1/5w=")</f>
        <v>#VALUE!</v>
      </c>
      <c r="FB29" t="e">
        <f>AND('Planilla_General_07-12-2012_8_3'!O431,"AAAAAG/1/50=")</f>
        <v>#VALUE!</v>
      </c>
      <c r="FC29" t="e">
        <f>AND('Planilla_General_07-12-2012_8_3'!P431,"AAAAAG/1/54=")</f>
        <v>#VALUE!</v>
      </c>
      <c r="FD29">
        <f>IF('Planilla_General_07-12-2012_8_3'!432:432,"AAAAAG/1/58=",0)</f>
        <v>0</v>
      </c>
      <c r="FE29" t="e">
        <f>AND('Planilla_General_07-12-2012_8_3'!A432,"AAAAAG/1/6A=")</f>
        <v>#VALUE!</v>
      </c>
      <c r="FF29" t="e">
        <f>AND('Planilla_General_07-12-2012_8_3'!B432,"AAAAAG/1/6E=")</f>
        <v>#VALUE!</v>
      </c>
      <c r="FG29" t="e">
        <f>AND('Planilla_General_07-12-2012_8_3'!C432,"AAAAAG/1/6I=")</f>
        <v>#VALUE!</v>
      </c>
      <c r="FH29" t="e">
        <f>AND('Planilla_General_07-12-2012_8_3'!D432,"AAAAAG/1/6M=")</f>
        <v>#VALUE!</v>
      </c>
      <c r="FI29" t="e">
        <f>AND('Planilla_General_07-12-2012_8_3'!E432,"AAAAAG/1/6Q=")</f>
        <v>#VALUE!</v>
      </c>
      <c r="FJ29" t="e">
        <f>AND('Planilla_General_07-12-2012_8_3'!F432,"AAAAAG/1/6U=")</f>
        <v>#VALUE!</v>
      </c>
      <c r="FK29" t="e">
        <f>AND('Planilla_General_07-12-2012_8_3'!G432,"AAAAAG/1/6Y=")</f>
        <v>#VALUE!</v>
      </c>
      <c r="FL29" t="e">
        <f>AND('Planilla_General_07-12-2012_8_3'!H432,"AAAAAG/1/6c=")</f>
        <v>#VALUE!</v>
      </c>
      <c r="FM29" t="e">
        <f>AND('Planilla_General_07-12-2012_8_3'!I432,"AAAAAG/1/6g=")</f>
        <v>#VALUE!</v>
      </c>
      <c r="FN29" t="e">
        <f>AND('Planilla_General_07-12-2012_8_3'!J432,"AAAAAG/1/6k=")</f>
        <v>#VALUE!</v>
      </c>
      <c r="FO29" t="e">
        <f>AND('Planilla_General_07-12-2012_8_3'!K432,"AAAAAG/1/6o=")</f>
        <v>#VALUE!</v>
      </c>
      <c r="FP29" t="e">
        <f>AND('Planilla_General_07-12-2012_8_3'!L432,"AAAAAG/1/6s=")</f>
        <v>#VALUE!</v>
      </c>
      <c r="FQ29" t="e">
        <f>AND('Planilla_General_07-12-2012_8_3'!M432,"AAAAAG/1/6w=")</f>
        <v>#VALUE!</v>
      </c>
      <c r="FR29" t="e">
        <f>AND('Planilla_General_07-12-2012_8_3'!N432,"AAAAAG/1/60=")</f>
        <v>#VALUE!</v>
      </c>
      <c r="FS29" t="e">
        <f>AND('Planilla_General_07-12-2012_8_3'!O432,"AAAAAG/1/64=")</f>
        <v>#VALUE!</v>
      </c>
      <c r="FT29" t="e">
        <f>AND('Planilla_General_07-12-2012_8_3'!P432,"AAAAAG/1/68=")</f>
        <v>#VALUE!</v>
      </c>
      <c r="FU29">
        <f>IF('Planilla_General_07-12-2012_8_3'!433:433,"AAAAAG/1/7A=",0)</f>
        <v>0</v>
      </c>
      <c r="FV29" t="e">
        <f>AND('Planilla_General_07-12-2012_8_3'!A433,"AAAAAG/1/7E=")</f>
        <v>#VALUE!</v>
      </c>
      <c r="FW29" t="e">
        <f>AND('Planilla_General_07-12-2012_8_3'!B433,"AAAAAG/1/7I=")</f>
        <v>#VALUE!</v>
      </c>
      <c r="FX29" t="e">
        <f>AND('Planilla_General_07-12-2012_8_3'!C433,"AAAAAG/1/7M=")</f>
        <v>#VALUE!</v>
      </c>
      <c r="FY29" t="e">
        <f>AND('Planilla_General_07-12-2012_8_3'!D433,"AAAAAG/1/7Q=")</f>
        <v>#VALUE!</v>
      </c>
      <c r="FZ29" t="e">
        <f>AND('Planilla_General_07-12-2012_8_3'!E433,"AAAAAG/1/7U=")</f>
        <v>#VALUE!</v>
      </c>
      <c r="GA29" t="e">
        <f>AND('Planilla_General_07-12-2012_8_3'!F433,"AAAAAG/1/7Y=")</f>
        <v>#VALUE!</v>
      </c>
      <c r="GB29" t="e">
        <f>AND('Planilla_General_07-12-2012_8_3'!G433,"AAAAAG/1/7c=")</f>
        <v>#VALUE!</v>
      </c>
      <c r="GC29" t="e">
        <f>AND('Planilla_General_07-12-2012_8_3'!H433,"AAAAAG/1/7g=")</f>
        <v>#VALUE!</v>
      </c>
      <c r="GD29" t="e">
        <f>AND('Planilla_General_07-12-2012_8_3'!I433,"AAAAAG/1/7k=")</f>
        <v>#VALUE!</v>
      </c>
      <c r="GE29" t="e">
        <f>AND('Planilla_General_07-12-2012_8_3'!J433,"AAAAAG/1/7o=")</f>
        <v>#VALUE!</v>
      </c>
      <c r="GF29" t="e">
        <f>AND('Planilla_General_07-12-2012_8_3'!K433,"AAAAAG/1/7s=")</f>
        <v>#VALUE!</v>
      </c>
      <c r="GG29" t="e">
        <f>AND('Planilla_General_07-12-2012_8_3'!L433,"AAAAAG/1/7w=")</f>
        <v>#VALUE!</v>
      </c>
      <c r="GH29" t="e">
        <f>AND('Planilla_General_07-12-2012_8_3'!M433,"AAAAAG/1/70=")</f>
        <v>#VALUE!</v>
      </c>
      <c r="GI29" t="e">
        <f>AND('Planilla_General_07-12-2012_8_3'!N433,"AAAAAG/1/74=")</f>
        <v>#VALUE!</v>
      </c>
      <c r="GJ29" t="e">
        <f>AND('Planilla_General_07-12-2012_8_3'!O433,"AAAAAG/1/78=")</f>
        <v>#VALUE!</v>
      </c>
      <c r="GK29" t="e">
        <f>AND('Planilla_General_07-12-2012_8_3'!P433,"AAAAAG/1/8A=")</f>
        <v>#VALUE!</v>
      </c>
      <c r="GL29">
        <f>IF('Planilla_General_07-12-2012_8_3'!434:434,"AAAAAG/1/8E=",0)</f>
        <v>0</v>
      </c>
      <c r="GM29" t="e">
        <f>AND('Planilla_General_07-12-2012_8_3'!A434,"AAAAAG/1/8I=")</f>
        <v>#VALUE!</v>
      </c>
      <c r="GN29" t="e">
        <f>AND('Planilla_General_07-12-2012_8_3'!B434,"AAAAAG/1/8M=")</f>
        <v>#VALUE!</v>
      </c>
      <c r="GO29" t="e">
        <f>AND('Planilla_General_07-12-2012_8_3'!C434,"AAAAAG/1/8Q=")</f>
        <v>#VALUE!</v>
      </c>
      <c r="GP29" t="e">
        <f>AND('Planilla_General_07-12-2012_8_3'!D434,"AAAAAG/1/8U=")</f>
        <v>#VALUE!</v>
      </c>
      <c r="GQ29" t="e">
        <f>AND('Planilla_General_07-12-2012_8_3'!E434,"AAAAAG/1/8Y=")</f>
        <v>#VALUE!</v>
      </c>
      <c r="GR29" t="e">
        <f>AND('Planilla_General_07-12-2012_8_3'!F434,"AAAAAG/1/8c=")</f>
        <v>#VALUE!</v>
      </c>
      <c r="GS29" t="e">
        <f>AND('Planilla_General_07-12-2012_8_3'!G434,"AAAAAG/1/8g=")</f>
        <v>#VALUE!</v>
      </c>
      <c r="GT29" t="e">
        <f>AND('Planilla_General_07-12-2012_8_3'!H434,"AAAAAG/1/8k=")</f>
        <v>#VALUE!</v>
      </c>
      <c r="GU29" t="e">
        <f>AND('Planilla_General_07-12-2012_8_3'!I434,"AAAAAG/1/8o=")</f>
        <v>#VALUE!</v>
      </c>
      <c r="GV29" t="e">
        <f>AND('Planilla_General_07-12-2012_8_3'!J434,"AAAAAG/1/8s=")</f>
        <v>#VALUE!</v>
      </c>
      <c r="GW29" t="e">
        <f>AND('Planilla_General_07-12-2012_8_3'!K434,"AAAAAG/1/8w=")</f>
        <v>#VALUE!</v>
      </c>
      <c r="GX29" t="e">
        <f>AND('Planilla_General_07-12-2012_8_3'!L434,"AAAAAG/1/80=")</f>
        <v>#VALUE!</v>
      </c>
      <c r="GY29" t="e">
        <f>AND('Planilla_General_07-12-2012_8_3'!M434,"AAAAAG/1/84=")</f>
        <v>#VALUE!</v>
      </c>
      <c r="GZ29" t="e">
        <f>AND('Planilla_General_07-12-2012_8_3'!N434,"AAAAAG/1/88=")</f>
        <v>#VALUE!</v>
      </c>
      <c r="HA29" t="e">
        <f>AND('Planilla_General_07-12-2012_8_3'!O434,"AAAAAG/1/9A=")</f>
        <v>#VALUE!</v>
      </c>
      <c r="HB29" t="e">
        <f>AND('Planilla_General_07-12-2012_8_3'!P434,"AAAAAG/1/9E=")</f>
        <v>#VALUE!</v>
      </c>
      <c r="HC29">
        <f>IF('Planilla_General_07-12-2012_8_3'!435:435,"AAAAAG/1/9I=",0)</f>
        <v>0</v>
      </c>
      <c r="HD29" t="e">
        <f>AND('Planilla_General_07-12-2012_8_3'!A435,"AAAAAG/1/9M=")</f>
        <v>#VALUE!</v>
      </c>
      <c r="HE29" t="e">
        <f>AND('Planilla_General_07-12-2012_8_3'!B435,"AAAAAG/1/9Q=")</f>
        <v>#VALUE!</v>
      </c>
      <c r="HF29" t="e">
        <f>AND('Planilla_General_07-12-2012_8_3'!C435,"AAAAAG/1/9U=")</f>
        <v>#VALUE!</v>
      </c>
      <c r="HG29" t="e">
        <f>AND('Planilla_General_07-12-2012_8_3'!D435,"AAAAAG/1/9Y=")</f>
        <v>#VALUE!</v>
      </c>
      <c r="HH29" t="e">
        <f>AND('Planilla_General_07-12-2012_8_3'!E435,"AAAAAG/1/9c=")</f>
        <v>#VALUE!</v>
      </c>
      <c r="HI29" t="e">
        <f>AND('Planilla_General_07-12-2012_8_3'!F435,"AAAAAG/1/9g=")</f>
        <v>#VALUE!</v>
      </c>
      <c r="HJ29" t="e">
        <f>AND('Planilla_General_07-12-2012_8_3'!G435,"AAAAAG/1/9k=")</f>
        <v>#VALUE!</v>
      </c>
      <c r="HK29" t="e">
        <f>AND('Planilla_General_07-12-2012_8_3'!H435,"AAAAAG/1/9o=")</f>
        <v>#VALUE!</v>
      </c>
      <c r="HL29" t="e">
        <f>AND('Planilla_General_07-12-2012_8_3'!I435,"AAAAAG/1/9s=")</f>
        <v>#VALUE!</v>
      </c>
      <c r="HM29" t="e">
        <f>AND('Planilla_General_07-12-2012_8_3'!J435,"AAAAAG/1/9w=")</f>
        <v>#VALUE!</v>
      </c>
      <c r="HN29" t="e">
        <f>AND('Planilla_General_07-12-2012_8_3'!K435,"AAAAAG/1/90=")</f>
        <v>#VALUE!</v>
      </c>
      <c r="HO29" t="e">
        <f>AND('Planilla_General_07-12-2012_8_3'!L435,"AAAAAG/1/94=")</f>
        <v>#VALUE!</v>
      </c>
      <c r="HP29" t="e">
        <f>AND('Planilla_General_07-12-2012_8_3'!M435,"AAAAAG/1/98=")</f>
        <v>#VALUE!</v>
      </c>
      <c r="HQ29" t="e">
        <f>AND('Planilla_General_07-12-2012_8_3'!N435,"AAAAAG/1/+A=")</f>
        <v>#VALUE!</v>
      </c>
      <c r="HR29" t="e">
        <f>AND('Planilla_General_07-12-2012_8_3'!O435,"AAAAAG/1/+E=")</f>
        <v>#VALUE!</v>
      </c>
      <c r="HS29" t="e">
        <f>AND('Planilla_General_07-12-2012_8_3'!P435,"AAAAAG/1/+I=")</f>
        <v>#VALUE!</v>
      </c>
      <c r="HT29">
        <f>IF('Planilla_General_07-12-2012_8_3'!436:436,"AAAAAG/1/+M=",0)</f>
        <v>0</v>
      </c>
      <c r="HU29" t="e">
        <f>AND('Planilla_General_07-12-2012_8_3'!A436,"AAAAAG/1/+Q=")</f>
        <v>#VALUE!</v>
      </c>
      <c r="HV29" t="e">
        <f>AND('Planilla_General_07-12-2012_8_3'!B436,"AAAAAG/1/+U=")</f>
        <v>#VALUE!</v>
      </c>
      <c r="HW29" t="e">
        <f>AND('Planilla_General_07-12-2012_8_3'!C436,"AAAAAG/1/+Y=")</f>
        <v>#VALUE!</v>
      </c>
      <c r="HX29" t="e">
        <f>AND('Planilla_General_07-12-2012_8_3'!D436,"AAAAAG/1/+c=")</f>
        <v>#VALUE!</v>
      </c>
      <c r="HY29" t="e">
        <f>AND('Planilla_General_07-12-2012_8_3'!E436,"AAAAAG/1/+g=")</f>
        <v>#VALUE!</v>
      </c>
      <c r="HZ29" t="e">
        <f>AND('Planilla_General_07-12-2012_8_3'!F436,"AAAAAG/1/+k=")</f>
        <v>#VALUE!</v>
      </c>
      <c r="IA29" t="e">
        <f>AND('Planilla_General_07-12-2012_8_3'!G436,"AAAAAG/1/+o=")</f>
        <v>#VALUE!</v>
      </c>
      <c r="IB29" t="e">
        <f>AND('Planilla_General_07-12-2012_8_3'!H436,"AAAAAG/1/+s=")</f>
        <v>#VALUE!</v>
      </c>
      <c r="IC29" t="e">
        <f>AND('Planilla_General_07-12-2012_8_3'!I436,"AAAAAG/1/+w=")</f>
        <v>#VALUE!</v>
      </c>
      <c r="ID29" t="e">
        <f>AND('Planilla_General_07-12-2012_8_3'!J436,"AAAAAG/1/+0=")</f>
        <v>#VALUE!</v>
      </c>
      <c r="IE29" t="e">
        <f>AND('Planilla_General_07-12-2012_8_3'!K436,"AAAAAG/1/+4=")</f>
        <v>#VALUE!</v>
      </c>
      <c r="IF29" t="e">
        <f>AND('Planilla_General_07-12-2012_8_3'!L436,"AAAAAG/1/+8=")</f>
        <v>#VALUE!</v>
      </c>
      <c r="IG29" t="e">
        <f>AND('Planilla_General_07-12-2012_8_3'!M436,"AAAAAG/1//A=")</f>
        <v>#VALUE!</v>
      </c>
      <c r="IH29" t="e">
        <f>AND('Planilla_General_07-12-2012_8_3'!N436,"AAAAAG/1//E=")</f>
        <v>#VALUE!</v>
      </c>
      <c r="II29" t="e">
        <f>AND('Planilla_General_07-12-2012_8_3'!O436,"AAAAAG/1//I=")</f>
        <v>#VALUE!</v>
      </c>
      <c r="IJ29" t="e">
        <f>AND('Planilla_General_07-12-2012_8_3'!P436,"AAAAAG/1//M=")</f>
        <v>#VALUE!</v>
      </c>
      <c r="IK29">
        <f>IF('Planilla_General_07-12-2012_8_3'!437:437,"AAAAAG/1//Q=",0)</f>
        <v>0</v>
      </c>
      <c r="IL29" t="e">
        <f>AND('Planilla_General_07-12-2012_8_3'!A437,"AAAAAG/1//U=")</f>
        <v>#VALUE!</v>
      </c>
      <c r="IM29" t="e">
        <f>AND('Planilla_General_07-12-2012_8_3'!B437,"AAAAAG/1//Y=")</f>
        <v>#VALUE!</v>
      </c>
      <c r="IN29" t="e">
        <f>AND('Planilla_General_07-12-2012_8_3'!C437,"AAAAAG/1//c=")</f>
        <v>#VALUE!</v>
      </c>
      <c r="IO29" t="e">
        <f>AND('Planilla_General_07-12-2012_8_3'!D437,"AAAAAG/1//g=")</f>
        <v>#VALUE!</v>
      </c>
      <c r="IP29" t="e">
        <f>AND('Planilla_General_07-12-2012_8_3'!E437,"AAAAAG/1//k=")</f>
        <v>#VALUE!</v>
      </c>
      <c r="IQ29" t="e">
        <f>AND('Planilla_General_07-12-2012_8_3'!F437,"AAAAAG/1//o=")</f>
        <v>#VALUE!</v>
      </c>
      <c r="IR29" t="e">
        <f>AND('Planilla_General_07-12-2012_8_3'!G437,"AAAAAG/1//s=")</f>
        <v>#VALUE!</v>
      </c>
      <c r="IS29" t="e">
        <f>AND('Planilla_General_07-12-2012_8_3'!H437,"AAAAAG/1//w=")</f>
        <v>#VALUE!</v>
      </c>
      <c r="IT29" t="e">
        <f>AND('Planilla_General_07-12-2012_8_3'!I437,"AAAAAG/1//0=")</f>
        <v>#VALUE!</v>
      </c>
      <c r="IU29" t="e">
        <f>AND('Planilla_General_07-12-2012_8_3'!J437,"AAAAAG/1//4=")</f>
        <v>#VALUE!</v>
      </c>
      <c r="IV29" t="e">
        <f>AND('Planilla_General_07-12-2012_8_3'!K437,"AAAAAG/1//8=")</f>
        <v>#VALUE!</v>
      </c>
    </row>
    <row r="30" spans="1:256" x14ac:dyDescent="0.25">
      <c r="A30" t="e">
        <f>AND('Planilla_General_07-12-2012_8_3'!L437,"AAAAAD917AA=")</f>
        <v>#VALUE!</v>
      </c>
      <c r="B30" t="e">
        <f>AND('Planilla_General_07-12-2012_8_3'!M437,"AAAAAD917AE=")</f>
        <v>#VALUE!</v>
      </c>
      <c r="C30" t="e">
        <f>AND('Planilla_General_07-12-2012_8_3'!N437,"AAAAAD917AI=")</f>
        <v>#VALUE!</v>
      </c>
      <c r="D30" t="e">
        <f>AND('Planilla_General_07-12-2012_8_3'!O437,"AAAAAD917AM=")</f>
        <v>#VALUE!</v>
      </c>
      <c r="E30" t="e">
        <f>AND('Planilla_General_07-12-2012_8_3'!P437,"AAAAAD917AQ=")</f>
        <v>#VALUE!</v>
      </c>
      <c r="F30" t="e">
        <f>IF('Planilla_General_07-12-2012_8_3'!438:438,"AAAAAD917AU=",0)</f>
        <v>#VALUE!</v>
      </c>
      <c r="G30" t="e">
        <f>AND('Planilla_General_07-12-2012_8_3'!A438,"AAAAAD917AY=")</f>
        <v>#VALUE!</v>
      </c>
      <c r="H30" t="e">
        <f>AND('Planilla_General_07-12-2012_8_3'!B438,"AAAAAD917Ac=")</f>
        <v>#VALUE!</v>
      </c>
      <c r="I30" t="e">
        <f>AND('Planilla_General_07-12-2012_8_3'!C438,"AAAAAD917Ag=")</f>
        <v>#VALUE!</v>
      </c>
      <c r="J30" t="e">
        <f>AND('Planilla_General_07-12-2012_8_3'!D438,"AAAAAD917Ak=")</f>
        <v>#VALUE!</v>
      </c>
      <c r="K30" t="e">
        <f>AND('Planilla_General_07-12-2012_8_3'!E438,"AAAAAD917Ao=")</f>
        <v>#VALUE!</v>
      </c>
      <c r="L30" t="e">
        <f>AND('Planilla_General_07-12-2012_8_3'!F438,"AAAAAD917As=")</f>
        <v>#VALUE!</v>
      </c>
      <c r="M30" t="e">
        <f>AND('Planilla_General_07-12-2012_8_3'!G438,"AAAAAD917Aw=")</f>
        <v>#VALUE!</v>
      </c>
      <c r="N30" t="e">
        <f>AND('Planilla_General_07-12-2012_8_3'!H438,"AAAAAD917A0=")</f>
        <v>#VALUE!</v>
      </c>
      <c r="O30" t="e">
        <f>AND('Planilla_General_07-12-2012_8_3'!I438,"AAAAAD917A4=")</f>
        <v>#VALUE!</v>
      </c>
      <c r="P30" t="e">
        <f>AND('Planilla_General_07-12-2012_8_3'!J438,"AAAAAD917A8=")</f>
        <v>#VALUE!</v>
      </c>
      <c r="Q30" t="e">
        <f>AND('Planilla_General_07-12-2012_8_3'!K438,"AAAAAD917BA=")</f>
        <v>#VALUE!</v>
      </c>
      <c r="R30" t="e">
        <f>AND('Planilla_General_07-12-2012_8_3'!L438,"AAAAAD917BE=")</f>
        <v>#VALUE!</v>
      </c>
      <c r="S30" t="e">
        <f>AND('Planilla_General_07-12-2012_8_3'!M438,"AAAAAD917BI=")</f>
        <v>#VALUE!</v>
      </c>
      <c r="T30" t="e">
        <f>AND('Planilla_General_07-12-2012_8_3'!N438,"AAAAAD917BM=")</f>
        <v>#VALUE!</v>
      </c>
      <c r="U30" t="e">
        <f>AND('Planilla_General_07-12-2012_8_3'!O438,"AAAAAD917BQ=")</f>
        <v>#VALUE!</v>
      </c>
      <c r="V30" t="e">
        <f>AND('Planilla_General_07-12-2012_8_3'!P438,"AAAAAD917BU=")</f>
        <v>#VALUE!</v>
      </c>
      <c r="W30">
        <f>IF('Planilla_General_07-12-2012_8_3'!439:439,"AAAAAD917BY=",0)</f>
        <v>0</v>
      </c>
      <c r="X30" t="e">
        <f>AND('Planilla_General_07-12-2012_8_3'!A439,"AAAAAD917Bc=")</f>
        <v>#VALUE!</v>
      </c>
      <c r="Y30" t="e">
        <f>AND('Planilla_General_07-12-2012_8_3'!B439,"AAAAAD917Bg=")</f>
        <v>#VALUE!</v>
      </c>
      <c r="Z30" t="e">
        <f>AND('Planilla_General_07-12-2012_8_3'!C439,"AAAAAD917Bk=")</f>
        <v>#VALUE!</v>
      </c>
      <c r="AA30" t="e">
        <f>AND('Planilla_General_07-12-2012_8_3'!D439,"AAAAAD917Bo=")</f>
        <v>#VALUE!</v>
      </c>
      <c r="AB30" t="e">
        <f>AND('Planilla_General_07-12-2012_8_3'!E439,"AAAAAD917Bs=")</f>
        <v>#VALUE!</v>
      </c>
      <c r="AC30" t="e">
        <f>AND('Planilla_General_07-12-2012_8_3'!F439,"AAAAAD917Bw=")</f>
        <v>#VALUE!</v>
      </c>
      <c r="AD30" t="e">
        <f>AND('Planilla_General_07-12-2012_8_3'!G439,"AAAAAD917B0=")</f>
        <v>#VALUE!</v>
      </c>
      <c r="AE30" t="e">
        <f>AND('Planilla_General_07-12-2012_8_3'!H439,"AAAAAD917B4=")</f>
        <v>#VALUE!</v>
      </c>
      <c r="AF30" t="e">
        <f>AND('Planilla_General_07-12-2012_8_3'!I439,"AAAAAD917B8=")</f>
        <v>#VALUE!</v>
      </c>
      <c r="AG30" t="e">
        <f>AND('Planilla_General_07-12-2012_8_3'!J439,"AAAAAD917CA=")</f>
        <v>#VALUE!</v>
      </c>
      <c r="AH30" t="e">
        <f>AND('Planilla_General_07-12-2012_8_3'!K439,"AAAAAD917CE=")</f>
        <v>#VALUE!</v>
      </c>
      <c r="AI30" t="e">
        <f>AND('Planilla_General_07-12-2012_8_3'!L439,"AAAAAD917CI=")</f>
        <v>#VALUE!</v>
      </c>
      <c r="AJ30" t="e">
        <f>AND('Planilla_General_07-12-2012_8_3'!M439,"AAAAAD917CM=")</f>
        <v>#VALUE!</v>
      </c>
      <c r="AK30" t="e">
        <f>AND('Planilla_General_07-12-2012_8_3'!N439,"AAAAAD917CQ=")</f>
        <v>#VALUE!</v>
      </c>
      <c r="AL30" t="e">
        <f>AND('Planilla_General_07-12-2012_8_3'!O439,"AAAAAD917CU=")</f>
        <v>#VALUE!</v>
      </c>
      <c r="AM30" t="e">
        <f>AND('Planilla_General_07-12-2012_8_3'!P439,"AAAAAD917CY=")</f>
        <v>#VALUE!</v>
      </c>
      <c r="AN30">
        <f>IF('Planilla_General_07-12-2012_8_3'!440:440,"AAAAAD917Cc=",0)</f>
        <v>0</v>
      </c>
      <c r="AO30" t="e">
        <f>AND('Planilla_General_07-12-2012_8_3'!A440,"AAAAAD917Cg=")</f>
        <v>#VALUE!</v>
      </c>
      <c r="AP30" t="e">
        <f>AND('Planilla_General_07-12-2012_8_3'!B440,"AAAAAD917Ck=")</f>
        <v>#VALUE!</v>
      </c>
      <c r="AQ30" t="e">
        <f>AND('Planilla_General_07-12-2012_8_3'!C440,"AAAAAD917Co=")</f>
        <v>#VALUE!</v>
      </c>
      <c r="AR30" t="e">
        <f>AND('Planilla_General_07-12-2012_8_3'!D440,"AAAAAD917Cs=")</f>
        <v>#VALUE!</v>
      </c>
      <c r="AS30" t="e">
        <f>AND('Planilla_General_07-12-2012_8_3'!E440,"AAAAAD917Cw=")</f>
        <v>#VALUE!</v>
      </c>
      <c r="AT30" t="e">
        <f>AND('Planilla_General_07-12-2012_8_3'!F440,"AAAAAD917C0=")</f>
        <v>#VALUE!</v>
      </c>
      <c r="AU30" t="e">
        <f>AND('Planilla_General_07-12-2012_8_3'!G440,"AAAAAD917C4=")</f>
        <v>#VALUE!</v>
      </c>
      <c r="AV30" t="e">
        <f>AND('Planilla_General_07-12-2012_8_3'!H440,"AAAAAD917C8=")</f>
        <v>#VALUE!</v>
      </c>
      <c r="AW30" t="e">
        <f>AND('Planilla_General_07-12-2012_8_3'!I440,"AAAAAD917DA=")</f>
        <v>#VALUE!</v>
      </c>
      <c r="AX30" t="e">
        <f>AND('Planilla_General_07-12-2012_8_3'!J440,"AAAAAD917DE=")</f>
        <v>#VALUE!</v>
      </c>
      <c r="AY30" t="e">
        <f>AND('Planilla_General_07-12-2012_8_3'!K440,"AAAAAD917DI=")</f>
        <v>#VALUE!</v>
      </c>
      <c r="AZ30" t="e">
        <f>AND('Planilla_General_07-12-2012_8_3'!L440,"AAAAAD917DM=")</f>
        <v>#VALUE!</v>
      </c>
      <c r="BA30" t="e">
        <f>AND('Planilla_General_07-12-2012_8_3'!M440,"AAAAAD917DQ=")</f>
        <v>#VALUE!</v>
      </c>
      <c r="BB30" t="e">
        <f>AND('Planilla_General_07-12-2012_8_3'!N440,"AAAAAD917DU=")</f>
        <v>#VALUE!</v>
      </c>
      <c r="BC30" t="e">
        <f>AND('Planilla_General_07-12-2012_8_3'!O440,"AAAAAD917DY=")</f>
        <v>#VALUE!</v>
      </c>
      <c r="BD30" t="e">
        <f>AND('Planilla_General_07-12-2012_8_3'!P440,"AAAAAD917Dc=")</f>
        <v>#VALUE!</v>
      </c>
      <c r="BE30">
        <f>IF('Planilla_General_07-12-2012_8_3'!441:441,"AAAAAD917Dg=",0)</f>
        <v>0</v>
      </c>
      <c r="BF30" t="e">
        <f>AND('Planilla_General_07-12-2012_8_3'!A441,"AAAAAD917Dk=")</f>
        <v>#VALUE!</v>
      </c>
      <c r="BG30" t="e">
        <f>AND('Planilla_General_07-12-2012_8_3'!B441,"AAAAAD917Do=")</f>
        <v>#VALUE!</v>
      </c>
      <c r="BH30" t="e">
        <f>AND('Planilla_General_07-12-2012_8_3'!C441,"AAAAAD917Ds=")</f>
        <v>#VALUE!</v>
      </c>
      <c r="BI30" t="e">
        <f>AND('Planilla_General_07-12-2012_8_3'!D441,"AAAAAD917Dw=")</f>
        <v>#VALUE!</v>
      </c>
      <c r="BJ30" t="e">
        <f>AND('Planilla_General_07-12-2012_8_3'!E441,"AAAAAD917D0=")</f>
        <v>#VALUE!</v>
      </c>
      <c r="BK30" t="e">
        <f>AND('Planilla_General_07-12-2012_8_3'!F441,"AAAAAD917D4=")</f>
        <v>#VALUE!</v>
      </c>
      <c r="BL30" t="e">
        <f>AND('Planilla_General_07-12-2012_8_3'!G441,"AAAAAD917D8=")</f>
        <v>#VALUE!</v>
      </c>
      <c r="BM30" t="e">
        <f>AND('Planilla_General_07-12-2012_8_3'!H441,"AAAAAD917EA=")</f>
        <v>#VALUE!</v>
      </c>
      <c r="BN30" t="e">
        <f>AND('Planilla_General_07-12-2012_8_3'!I441,"AAAAAD917EE=")</f>
        <v>#VALUE!</v>
      </c>
      <c r="BO30" t="e">
        <f>AND('Planilla_General_07-12-2012_8_3'!J441,"AAAAAD917EI=")</f>
        <v>#VALUE!</v>
      </c>
      <c r="BP30" t="e">
        <f>AND('Planilla_General_07-12-2012_8_3'!K441,"AAAAAD917EM=")</f>
        <v>#VALUE!</v>
      </c>
      <c r="BQ30" t="e">
        <f>AND('Planilla_General_07-12-2012_8_3'!L441,"AAAAAD917EQ=")</f>
        <v>#VALUE!</v>
      </c>
      <c r="BR30" t="e">
        <f>AND('Planilla_General_07-12-2012_8_3'!M441,"AAAAAD917EU=")</f>
        <v>#VALUE!</v>
      </c>
      <c r="BS30" t="e">
        <f>AND('Planilla_General_07-12-2012_8_3'!N441,"AAAAAD917EY=")</f>
        <v>#VALUE!</v>
      </c>
      <c r="BT30" t="e">
        <f>AND('Planilla_General_07-12-2012_8_3'!O441,"AAAAAD917Ec=")</f>
        <v>#VALUE!</v>
      </c>
      <c r="BU30" t="e">
        <f>AND('Planilla_General_07-12-2012_8_3'!P441,"AAAAAD917Eg=")</f>
        <v>#VALUE!</v>
      </c>
      <c r="BV30">
        <f>IF('Planilla_General_07-12-2012_8_3'!442:442,"AAAAAD917Ek=",0)</f>
        <v>0</v>
      </c>
      <c r="BW30" t="e">
        <f>AND('Planilla_General_07-12-2012_8_3'!A442,"AAAAAD917Eo=")</f>
        <v>#VALUE!</v>
      </c>
      <c r="BX30" t="e">
        <f>AND('Planilla_General_07-12-2012_8_3'!B442,"AAAAAD917Es=")</f>
        <v>#VALUE!</v>
      </c>
      <c r="BY30" t="e">
        <f>AND('Planilla_General_07-12-2012_8_3'!C442,"AAAAAD917Ew=")</f>
        <v>#VALUE!</v>
      </c>
      <c r="BZ30" t="e">
        <f>AND('Planilla_General_07-12-2012_8_3'!D442,"AAAAAD917E0=")</f>
        <v>#VALUE!</v>
      </c>
      <c r="CA30" t="e">
        <f>AND('Planilla_General_07-12-2012_8_3'!E442,"AAAAAD917E4=")</f>
        <v>#VALUE!</v>
      </c>
      <c r="CB30" t="e">
        <f>AND('Planilla_General_07-12-2012_8_3'!F442,"AAAAAD917E8=")</f>
        <v>#VALUE!</v>
      </c>
      <c r="CC30" t="e">
        <f>AND('Planilla_General_07-12-2012_8_3'!G442,"AAAAAD917FA=")</f>
        <v>#VALUE!</v>
      </c>
      <c r="CD30" t="e">
        <f>AND('Planilla_General_07-12-2012_8_3'!H442,"AAAAAD917FE=")</f>
        <v>#VALUE!</v>
      </c>
      <c r="CE30" t="e">
        <f>AND('Planilla_General_07-12-2012_8_3'!I442,"AAAAAD917FI=")</f>
        <v>#VALUE!</v>
      </c>
      <c r="CF30" t="e">
        <f>AND('Planilla_General_07-12-2012_8_3'!J442,"AAAAAD917FM=")</f>
        <v>#VALUE!</v>
      </c>
      <c r="CG30" t="e">
        <f>AND('Planilla_General_07-12-2012_8_3'!K442,"AAAAAD917FQ=")</f>
        <v>#VALUE!</v>
      </c>
      <c r="CH30" t="e">
        <f>AND('Planilla_General_07-12-2012_8_3'!L442,"AAAAAD917FU=")</f>
        <v>#VALUE!</v>
      </c>
      <c r="CI30" t="e">
        <f>AND('Planilla_General_07-12-2012_8_3'!M442,"AAAAAD917FY=")</f>
        <v>#VALUE!</v>
      </c>
      <c r="CJ30" t="e">
        <f>AND('Planilla_General_07-12-2012_8_3'!N442,"AAAAAD917Fc=")</f>
        <v>#VALUE!</v>
      </c>
      <c r="CK30" t="e">
        <f>AND('Planilla_General_07-12-2012_8_3'!O442,"AAAAAD917Fg=")</f>
        <v>#VALUE!</v>
      </c>
      <c r="CL30" t="e">
        <f>AND('Planilla_General_07-12-2012_8_3'!P442,"AAAAAD917Fk=")</f>
        <v>#VALUE!</v>
      </c>
      <c r="CM30">
        <f>IF('Planilla_General_07-12-2012_8_3'!443:443,"AAAAAD917Fo=",0)</f>
        <v>0</v>
      </c>
      <c r="CN30" t="e">
        <f>AND('Planilla_General_07-12-2012_8_3'!A443,"AAAAAD917Fs=")</f>
        <v>#VALUE!</v>
      </c>
      <c r="CO30" t="e">
        <f>AND('Planilla_General_07-12-2012_8_3'!B443,"AAAAAD917Fw=")</f>
        <v>#VALUE!</v>
      </c>
      <c r="CP30" t="e">
        <f>AND('Planilla_General_07-12-2012_8_3'!C443,"AAAAAD917F0=")</f>
        <v>#VALUE!</v>
      </c>
      <c r="CQ30" t="e">
        <f>AND('Planilla_General_07-12-2012_8_3'!D443,"AAAAAD917F4=")</f>
        <v>#VALUE!</v>
      </c>
      <c r="CR30" t="e">
        <f>AND('Planilla_General_07-12-2012_8_3'!E443,"AAAAAD917F8=")</f>
        <v>#VALUE!</v>
      </c>
      <c r="CS30" t="e">
        <f>AND('Planilla_General_07-12-2012_8_3'!F443,"AAAAAD917GA=")</f>
        <v>#VALUE!</v>
      </c>
      <c r="CT30" t="e">
        <f>AND('Planilla_General_07-12-2012_8_3'!G443,"AAAAAD917GE=")</f>
        <v>#VALUE!</v>
      </c>
      <c r="CU30" t="e">
        <f>AND('Planilla_General_07-12-2012_8_3'!H443,"AAAAAD917GI=")</f>
        <v>#VALUE!</v>
      </c>
      <c r="CV30" t="e">
        <f>AND('Planilla_General_07-12-2012_8_3'!I443,"AAAAAD917GM=")</f>
        <v>#VALUE!</v>
      </c>
      <c r="CW30" t="e">
        <f>AND('Planilla_General_07-12-2012_8_3'!J443,"AAAAAD917GQ=")</f>
        <v>#VALUE!</v>
      </c>
      <c r="CX30" t="e">
        <f>AND('Planilla_General_07-12-2012_8_3'!K443,"AAAAAD917GU=")</f>
        <v>#VALUE!</v>
      </c>
      <c r="CY30" t="e">
        <f>AND('Planilla_General_07-12-2012_8_3'!L443,"AAAAAD917GY=")</f>
        <v>#VALUE!</v>
      </c>
      <c r="CZ30" t="e">
        <f>AND('Planilla_General_07-12-2012_8_3'!M443,"AAAAAD917Gc=")</f>
        <v>#VALUE!</v>
      </c>
      <c r="DA30" t="e">
        <f>AND('Planilla_General_07-12-2012_8_3'!N443,"AAAAAD917Gg=")</f>
        <v>#VALUE!</v>
      </c>
      <c r="DB30" t="e">
        <f>AND('Planilla_General_07-12-2012_8_3'!O443,"AAAAAD917Gk=")</f>
        <v>#VALUE!</v>
      </c>
      <c r="DC30" t="e">
        <f>AND('Planilla_General_07-12-2012_8_3'!P443,"AAAAAD917Go=")</f>
        <v>#VALUE!</v>
      </c>
      <c r="DD30">
        <f>IF('Planilla_General_07-12-2012_8_3'!444:444,"AAAAAD917Gs=",0)</f>
        <v>0</v>
      </c>
      <c r="DE30" t="e">
        <f>AND('Planilla_General_07-12-2012_8_3'!A444,"AAAAAD917Gw=")</f>
        <v>#VALUE!</v>
      </c>
      <c r="DF30" t="e">
        <f>AND('Planilla_General_07-12-2012_8_3'!B444,"AAAAAD917G0=")</f>
        <v>#VALUE!</v>
      </c>
      <c r="DG30" t="e">
        <f>AND('Planilla_General_07-12-2012_8_3'!C444,"AAAAAD917G4=")</f>
        <v>#VALUE!</v>
      </c>
      <c r="DH30" t="e">
        <f>AND('Planilla_General_07-12-2012_8_3'!D444,"AAAAAD917G8=")</f>
        <v>#VALUE!</v>
      </c>
      <c r="DI30" t="e">
        <f>AND('Planilla_General_07-12-2012_8_3'!E444,"AAAAAD917HA=")</f>
        <v>#VALUE!</v>
      </c>
      <c r="DJ30" t="e">
        <f>AND('Planilla_General_07-12-2012_8_3'!F444,"AAAAAD917HE=")</f>
        <v>#VALUE!</v>
      </c>
      <c r="DK30" t="e">
        <f>AND('Planilla_General_07-12-2012_8_3'!G444,"AAAAAD917HI=")</f>
        <v>#VALUE!</v>
      </c>
      <c r="DL30" t="e">
        <f>AND('Planilla_General_07-12-2012_8_3'!H444,"AAAAAD917HM=")</f>
        <v>#VALUE!</v>
      </c>
      <c r="DM30" t="e">
        <f>AND('Planilla_General_07-12-2012_8_3'!I444,"AAAAAD917HQ=")</f>
        <v>#VALUE!</v>
      </c>
      <c r="DN30" t="e">
        <f>AND('Planilla_General_07-12-2012_8_3'!J444,"AAAAAD917HU=")</f>
        <v>#VALUE!</v>
      </c>
      <c r="DO30" t="e">
        <f>AND('Planilla_General_07-12-2012_8_3'!K444,"AAAAAD917HY=")</f>
        <v>#VALUE!</v>
      </c>
      <c r="DP30" t="e">
        <f>AND('Planilla_General_07-12-2012_8_3'!L444,"AAAAAD917Hc=")</f>
        <v>#VALUE!</v>
      </c>
      <c r="DQ30" t="e">
        <f>AND('Planilla_General_07-12-2012_8_3'!M444,"AAAAAD917Hg=")</f>
        <v>#VALUE!</v>
      </c>
      <c r="DR30" t="e">
        <f>AND('Planilla_General_07-12-2012_8_3'!N444,"AAAAAD917Hk=")</f>
        <v>#VALUE!</v>
      </c>
      <c r="DS30" t="e">
        <f>AND('Planilla_General_07-12-2012_8_3'!O444,"AAAAAD917Ho=")</f>
        <v>#VALUE!</v>
      </c>
      <c r="DT30" t="e">
        <f>AND('Planilla_General_07-12-2012_8_3'!P444,"AAAAAD917Hs=")</f>
        <v>#VALUE!</v>
      </c>
      <c r="DU30">
        <f>IF('Planilla_General_07-12-2012_8_3'!445:445,"AAAAAD917Hw=",0)</f>
        <v>0</v>
      </c>
      <c r="DV30" t="e">
        <f>AND('Planilla_General_07-12-2012_8_3'!A445,"AAAAAD917H0=")</f>
        <v>#VALUE!</v>
      </c>
      <c r="DW30" t="e">
        <f>AND('Planilla_General_07-12-2012_8_3'!B445,"AAAAAD917H4=")</f>
        <v>#VALUE!</v>
      </c>
      <c r="DX30" t="e">
        <f>AND('Planilla_General_07-12-2012_8_3'!C445,"AAAAAD917H8=")</f>
        <v>#VALUE!</v>
      </c>
      <c r="DY30" t="e">
        <f>AND('Planilla_General_07-12-2012_8_3'!D445,"AAAAAD917IA=")</f>
        <v>#VALUE!</v>
      </c>
      <c r="DZ30" t="e">
        <f>AND('Planilla_General_07-12-2012_8_3'!E445,"AAAAAD917IE=")</f>
        <v>#VALUE!</v>
      </c>
      <c r="EA30" t="e">
        <f>AND('Planilla_General_07-12-2012_8_3'!F445,"AAAAAD917II=")</f>
        <v>#VALUE!</v>
      </c>
      <c r="EB30" t="e">
        <f>AND('Planilla_General_07-12-2012_8_3'!G445,"AAAAAD917IM=")</f>
        <v>#VALUE!</v>
      </c>
      <c r="EC30" t="e">
        <f>AND('Planilla_General_07-12-2012_8_3'!H445,"AAAAAD917IQ=")</f>
        <v>#VALUE!</v>
      </c>
      <c r="ED30" t="e">
        <f>AND('Planilla_General_07-12-2012_8_3'!I445,"AAAAAD917IU=")</f>
        <v>#VALUE!</v>
      </c>
      <c r="EE30" t="e">
        <f>AND('Planilla_General_07-12-2012_8_3'!J445,"AAAAAD917IY=")</f>
        <v>#VALUE!</v>
      </c>
      <c r="EF30" t="e">
        <f>AND('Planilla_General_07-12-2012_8_3'!K445,"AAAAAD917Ic=")</f>
        <v>#VALUE!</v>
      </c>
      <c r="EG30" t="e">
        <f>AND('Planilla_General_07-12-2012_8_3'!L445,"AAAAAD917Ig=")</f>
        <v>#VALUE!</v>
      </c>
      <c r="EH30" t="e">
        <f>AND('Planilla_General_07-12-2012_8_3'!M445,"AAAAAD917Ik=")</f>
        <v>#VALUE!</v>
      </c>
      <c r="EI30" t="e">
        <f>AND('Planilla_General_07-12-2012_8_3'!N445,"AAAAAD917Io=")</f>
        <v>#VALUE!</v>
      </c>
      <c r="EJ30" t="e">
        <f>AND('Planilla_General_07-12-2012_8_3'!O445,"AAAAAD917Is=")</f>
        <v>#VALUE!</v>
      </c>
      <c r="EK30" t="e">
        <f>AND('Planilla_General_07-12-2012_8_3'!P445,"AAAAAD917Iw=")</f>
        <v>#VALUE!</v>
      </c>
      <c r="EL30">
        <f>IF('Planilla_General_07-12-2012_8_3'!446:446,"AAAAAD917I0=",0)</f>
        <v>0</v>
      </c>
      <c r="EM30" t="e">
        <f>AND('Planilla_General_07-12-2012_8_3'!A446,"AAAAAD917I4=")</f>
        <v>#VALUE!</v>
      </c>
      <c r="EN30" t="e">
        <f>AND('Planilla_General_07-12-2012_8_3'!B446,"AAAAAD917I8=")</f>
        <v>#VALUE!</v>
      </c>
      <c r="EO30" t="e">
        <f>AND('Planilla_General_07-12-2012_8_3'!C446,"AAAAAD917JA=")</f>
        <v>#VALUE!</v>
      </c>
      <c r="EP30" t="e">
        <f>AND('Planilla_General_07-12-2012_8_3'!D446,"AAAAAD917JE=")</f>
        <v>#VALUE!</v>
      </c>
      <c r="EQ30" t="e">
        <f>AND('Planilla_General_07-12-2012_8_3'!E446,"AAAAAD917JI=")</f>
        <v>#VALUE!</v>
      </c>
      <c r="ER30" t="e">
        <f>AND('Planilla_General_07-12-2012_8_3'!F446,"AAAAAD917JM=")</f>
        <v>#VALUE!</v>
      </c>
      <c r="ES30" t="e">
        <f>AND('Planilla_General_07-12-2012_8_3'!G446,"AAAAAD917JQ=")</f>
        <v>#VALUE!</v>
      </c>
      <c r="ET30" t="e">
        <f>AND('Planilla_General_07-12-2012_8_3'!H446,"AAAAAD917JU=")</f>
        <v>#VALUE!</v>
      </c>
      <c r="EU30" t="e">
        <f>AND('Planilla_General_07-12-2012_8_3'!I446,"AAAAAD917JY=")</f>
        <v>#VALUE!</v>
      </c>
      <c r="EV30" t="e">
        <f>AND('Planilla_General_07-12-2012_8_3'!J446,"AAAAAD917Jc=")</f>
        <v>#VALUE!</v>
      </c>
      <c r="EW30" t="e">
        <f>AND('Planilla_General_07-12-2012_8_3'!K446,"AAAAAD917Jg=")</f>
        <v>#VALUE!</v>
      </c>
      <c r="EX30" t="e">
        <f>AND('Planilla_General_07-12-2012_8_3'!L446,"AAAAAD917Jk=")</f>
        <v>#VALUE!</v>
      </c>
      <c r="EY30" t="e">
        <f>AND('Planilla_General_07-12-2012_8_3'!M446,"AAAAAD917Jo=")</f>
        <v>#VALUE!</v>
      </c>
      <c r="EZ30" t="e">
        <f>AND('Planilla_General_07-12-2012_8_3'!N446,"AAAAAD917Js=")</f>
        <v>#VALUE!</v>
      </c>
      <c r="FA30" t="e">
        <f>AND('Planilla_General_07-12-2012_8_3'!O446,"AAAAAD917Jw=")</f>
        <v>#VALUE!</v>
      </c>
      <c r="FB30" t="e">
        <f>AND('Planilla_General_07-12-2012_8_3'!P446,"AAAAAD917J0=")</f>
        <v>#VALUE!</v>
      </c>
      <c r="FC30">
        <f>IF('Planilla_General_07-12-2012_8_3'!447:447,"AAAAAD917J4=",0)</f>
        <v>0</v>
      </c>
      <c r="FD30" t="e">
        <f>AND('Planilla_General_07-12-2012_8_3'!A447,"AAAAAD917J8=")</f>
        <v>#VALUE!</v>
      </c>
      <c r="FE30" t="e">
        <f>AND('Planilla_General_07-12-2012_8_3'!B447,"AAAAAD917KA=")</f>
        <v>#VALUE!</v>
      </c>
      <c r="FF30" t="e">
        <f>AND('Planilla_General_07-12-2012_8_3'!C447,"AAAAAD917KE=")</f>
        <v>#VALUE!</v>
      </c>
      <c r="FG30" t="e">
        <f>AND('Planilla_General_07-12-2012_8_3'!D447,"AAAAAD917KI=")</f>
        <v>#VALUE!</v>
      </c>
      <c r="FH30" t="e">
        <f>AND('Planilla_General_07-12-2012_8_3'!E447,"AAAAAD917KM=")</f>
        <v>#VALUE!</v>
      </c>
      <c r="FI30" t="e">
        <f>AND('Planilla_General_07-12-2012_8_3'!F447,"AAAAAD917KQ=")</f>
        <v>#VALUE!</v>
      </c>
      <c r="FJ30" t="e">
        <f>AND('Planilla_General_07-12-2012_8_3'!G447,"AAAAAD917KU=")</f>
        <v>#VALUE!</v>
      </c>
      <c r="FK30" t="e">
        <f>AND('Planilla_General_07-12-2012_8_3'!H447,"AAAAAD917KY=")</f>
        <v>#VALUE!</v>
      </c>
      <c r="FL30" t="e">
        <f>AND('Planilla_General_07-12-2012_8_3'!I447,"AAAAAD917Kc=")</f>
        <v>#VALUE!</v>
      </c>
      <c r="FM30" t="e">
        <f>AND('Planilla_General_07-12-2012_8_3'!J447,"AAAAAD917Kg=")</f>
        <v>#VALUE!</v>
      </c>
      <c r="FN30" t="e">
        <f>AND('Planilla_General_07-12-2012_8_3'!K447,"AAAAAD917Kk=")</f>
        <v>#VALUE!</v>
      </c>
      <c r="FO30" t="e">
        <f>AND('Planilla_General_07-12-2012_8_3'!L447,"AAAAAD917Ko=")</f>
        <v>#VALUE!</v>
      </c>
      <c r="FP30" t="e">
        <f>AND('Planilla_General_07-12-2012_8_3'!M447,"AAAAAD917Ks=")</f>
        <v>#VALUE!</v>
      </c>
      <c r="FQ30" t="e">
        <f>AND('Planilla_General_07-12-2012_8_3'!N447,"AAAAAD917Kw=")</f>
        <v>#VALUE!</v>
      </c>
      <c r="FR30" t="e">
        <f>AND('Planilla_General_07-12-2012_8_3'!O447,"AAAAAD917K0=")</f>
        <v>#VALUE!</v>
      </c>
      <c r="FS30" t="e">
        <f>AND('Planilla_General_07-12-2012_8_3'!P447,"AAAAAD917K4=")</f>
        <v>#VALUE!</v>
      </c>
      <c r="FT30">
        <f>IF('Planilla_General_07-12-2012_8_3'!448:448,"AAAAAD917K8=",0)</f>
        <v>0</v>
      </c>
      <c r="FU30" t="e">
        <f>AND('Planilla_General_07-12-2012_8_3'!A448,"AAAAAD917LA=")</f>
        <v>#VALUE!</v>
      </c>
      <c r="FV30" t="e">
        <f>AND('Planilla_General_07-12-2012_8_3'!B448,"AAAAAD917LE=")</f>
        <v>#VALUE!</v>
      </c>
      <c r="FW30" t="e">
        <f>AND('Planilla_General_07-12-2012_8_3'!C448,"AAAAAD917LI=")</f>
        <v>#VALUE!</v>
      </c>
      <c r="FX30" t="e">
        <f>AND('Planilla_General_07-12-2012_8_3'!D448,"AAAAAD917LM=")</f>
        <v>#VALUE!</v>
      </c>
      <c r="FY30" t="e">
        <f>AND('Planilla_General_07-12-2012_8_3'!E448,"AAAAAD917LQ=")</f>
        <v>#VALUE!</v>
      </c>
      <c r="FZ30" t="e">
        <f>AND('Planilla_General_07-12-2012_8_3'!F448,"AAAAAD917LU=")</f>
        <v>#VALUE!</v>
      </c>
      <c r="GA30" t="e">
        <f>AND('Planilla_General_07-12-2012_8_3'!G448,"AAAAAD917LY=")</f>
        <v>#VALUE!</v>
      </c>
      <c r="GB30" t="e">
        <f>AND('Planilla_General_07-12-2012_8_3'!H448,"AAAAAD917Lc=")</f>
        <v>#VALUE!</v>
      </c>
      <c r="GC30" t="e">
        <f>AND('Planilla_General_07-12-2012_8_3'!I448,"AAAAAD917Lg=")</f>
        <v>#VALUE!</v>
      </c>
      <c r="GD30" t="e">
        <f>AND('Planilla_General_07-12-2012_8_3'!J448,"AAAAAD917Lk=")</f>
        <v>#VALUE!</v>
      </c>
      <c r="GE30" t="e">
        <f>AND('Planilla_General_07-12-2012_8_3'!K448,"AAAAAD917Lo=")</f>
        <v>#VALUE!</v>
      </c>
      <c r="GF30" t="e">
        <f>AND('Planilla_General_07-12-2012_8_3'!L448,"AAAAAD917Ls=")</f>
        <v>#VALUE!</v>
      </c>
      <c r="GG30" t="e">
        <f>AND('Planilla_General_07-12-2012_8_3'!M448,"AAAAAD917Lw=")</f>
        <v>#VALUE!</v>
      </c>
      <c r="GH30" t="e">
        <f>AND('Planilla_General_07-12-2012_8_3'!N448,"AAAAAD917L0=")</f>
        <v>#VALUE!</v>
      </c>
      <c r="GI30" t="e">
        <f>AND('Planilla_General_07-12-2012_8_3'!O448,"AAAAAD917L4=")</f>
        <v>#VALUE!</v>
      </c>
      <c r="GJ30" t="e">
        <f>AND('Planilla_General_07-12-2012_8_3'!P448,"AAAAAD917L8=")</f>
        <v>#VALUE!</v>
      </c>
      <c r="GK30">
        <f>IF('Planilla_General_07-12-2012_8_3'!449:449,"AAAAAD917MA=",0)</f>
        <v>0</v>
      </c>
      <c r="GL30" t="e">
        <f>AND('Planilla_General_07-12-2012_8_3'!A449,"AAAAAD917ME=")</f>
        <v>#VALUE!</v>
      </c>
      <c r="GM30" t="e">
        <f>AND('Planilla_General_07-12-2012_8_3'!B449,"AAAAAD917MI=")</f>
        <v>#VALUE!</v>
      </c>
      <c r="GN30" t="e">
        <f>AND('Planilla_General_07-12-2012_8_3'!C449,"AAAAAD917MM=")</f>
        <v>#VALUE!</v>
      </c>
      <c r="GO30" t="e">
        <f>AND('Planilla_General_07-12-2012_8_3'!D449,"AAAAAD917MQ=")</f>
        <v>#VALUE!</v>
      </c>
      <c r="GP30" t="e">
        <f>AND('Planilla_General_07-12-2012_8_3'!E449,"AAAAAD917MU=")</f>
        <v>#VALUE!</v>
      </c>
      <c r="GQ30" t="e">
        <f>AND('Planilla_General_07-12-2012_8_3'!F449,"AAAAAD917MY=")</f>
        <v>#VALUE!</v>
      </c>
      <c r="GR30" t="e">
        <f>AND('Planilla_General_07-12-2012_8_3'!G449,"AAAAAD917Mc=")</f>
        <v>#VALUE!</v>
      </c>
      <c r="GS30" t="e">
        <f>AND('Planilla_General_07-12-2012_8_3'!H449,"AAAAAD917Mg=")</f>
        <v>#VALUE!</v>
      </c>
      <c r="GT30" t="e">
        <f>AND('Planilla_General_07-12-2012_8_3'!I449,"AAAAAD917Mk=")</f>
        <v>#VALUE!</v>
      </c>
      <c r="GU30" t="e">
        <f>AND('Planilla_General_07-12-2012_8_3'!J449,"AAAAAD917Mo=")</f>
        <v>#VALUE!</v>
      </c>
      <c r="GV30" t="e">
        <f>AND('Planilla_General_07-12-2012_8_3'!K449,"AAAAAD917Ms=")</f>
        <v>#VALUE!</v>
      </c>
      <c r="GW30" t="e">
        <f>AND('Planilla_General_07-12-2012_8_3'!L449,"AAAAAD917Mw=")</f>
        <v>#VALUE!</v>
      </c>
      <c r="GX30" t="e">
        <f>AND('Planilla_General_07-12-2012_8_3'!M449,"AAAAAD917M0=")</f>
        <v>#VALUE!</v>
      </c>
      <c r="GY30" t="e">
        <f>AND('Planilla_General_07-12-2012_8_3'!N449,"AAAAAD917M4=")</f>
        <v>#VALUE!</v>
      </c>
      <c r="GZ30" t="e">
        <f>AND('Planilla_General_07-12-2012_8_3'!O449,"AAAAAD917M8=")</f>
        <v>#VALUE!</v>
      </c>
      <c r="HA30" t="e">
        <f>AND('Planilla_General_07-12-2012_8_3'!P449,"AAAAAD917NA=")</f>
        <v>#VALUE!</v>
      </c>
      <c r="HB30">
        <f>IF('Planilla_General_07-12-2012_8_3'!450:450,"AAAAAD917NE=",0)</f>
        <v>0</v>
      </c>
      <c r="HC30" t="e">
        <f>AND('Planilla_General_07-12-2012_8_3'!A450,"AAAAAD917NI=")</f>
        <v>#VALUE!</v>
      </c>
      <c r="HD30" t="e">
        <f>AND('Planilla_General_07-12-2012_8_3'!B450,"AAAAAD917NM=")</f>
        <v>#VALUE!</v>
      </c>
      <c r="HE30" t="e">
        <f>AND('Planilla_General_07-12-2012_8_3'!C450,"AAAAAD917NQ=")</f>
        <v>#VALUE!</v>
      </c>
      <c r="HF30" t="e">
        <f>AND('Planilla_General_07-12-2012_8_3'!D450,"AAAAAD917NU=")</f>
        <v>#VALUE!</v>
      </c>
      <c r="HG30" t="e">
        <f>AND('Planilla_General_07-12-2012_8_3'!E450,"AAAAAD917NY=")</f>
        <v>#VALUE!</v>
      </c>
      <c r="HH30" t="e">
        <f>AND('Planilla_General_07-12-2012_8_3'!F450,"AAAAAD917Nc=")</f>
        <v>#VALUE!</v>
      </c>
      <c r="HI30" t="e">
        <f>AND('Planilla_General_07-12-2012_8_3'!G450,"AAAAAD917Ng=")</f>
        <v>#VALUE!</v>
      </c>
      <c r="HJ30" t="e">
        <f>AND('Planilla_General_07-12-2012_8_3'!H450,"AAAAAD917Nk=")</f>
        <v>#VALUE!</v>
      </c>
      <c r="HK30" t="e">
        <f>AND('Planilla_General_07-12-2012_8_3'!I450,"AAAAAD917No=")</f>
        <v>#VALUE!</v>
      </c>
      <c r="HL30" t="e">
        <f>AND('Planilla_General_07-12-2012_8_3'!J450,"AAAAAD917Ns=")</f>
        <v>#VALUE!</v>
      </c>
      <c r="HM30" t="e">
        <f>AND('Planilla_General_07-12-2012_8_3'!K450,"AAAAAD917Nw=")</f>
        <v>#VALUE!</v>
      </c>
      <c r="HN30" t="e">
        <f>AND('Planilla_General_07-12-2012_8_3'!L450,"AAAAAD917N0=")</f>
        <v>#VALUE!</v>
      </c>
      <c r="HO30" t="e">
        <f>AND('Planilla_General_07-12-2012_8_3'!M450,"AAAAAD917N4=")</f>
        <v>#VALUE!</v>
      </c>
      <c r="HP30" t="e">
        <f>AND('Planilla_General_07-12-2012_8_3'!N450,"AAAAAD917N8=")</f>
        <v>#VALUE!</v>
      </c>
      <c r="HQ30" t="e">
        <f>AND('Planilla_General_07-12-2012_8_3'!O450,"AAAAAD917OA=")</f>
        <v>#VALUE!</v>
      </c>
      <c r="HR30" t="e">
        <f>AND('Planilla_General_07-12-2012_8_3'!P450,"AAAAAD917OE=")</f>
        <v>#VALUE!</v>
      </c>
      <c r="HS30">
        <f>IF('Planilla_General_07-12-2012_8_3'!451:451,"AAAAAD917OI=",0)</f>
        <v>0</v>
      </c>
      <c r="HT30" t="e">
        <f>AND('Planilla_General_07-12-2012_8_3'!A451,"AAAAAD917OM=")</f>
        <v>#VALUE!</v>
      </c>
      <c r="HU30" t="e">
        <f>AND('Planilla_General_07-12-2012_8_3'!B451,"AAAAAD917OQ=")</f>
        <v>#VALUE!</v>
      </c>
      <c r="HV30" t="e">
        <f>AND('Planilla_General_07-12-2012_8_3'!C451,"AAAAAD917OU=")</f>
        <v>#VALUE!</v>
      </c>
      <c r="HW30" t="e">
        <f>AND('Planilla_General_07-12-2012_8_3'!D451,"AAAAAD917OY=")</f>
        <v>#VALUE!</v>
      </c>
      <c r="HX30" t="e">
        <f>AND('Planilla_General_07-12-2012_8_3'!E451,"AAAAAD917Oc=")</f>
        <v>#VALUE!</v>
      </c>
      <c r="HY30" t="e">
        <f>AND('Planilla_General_07-12-2012_8_3'!F451,"AAAAAD917Og=")</f>
        <v>#VALUE!</v>
      </c>
      <c r="HZ30" t="e">
        <f>AND('Planilla_General_07-12-2012_8_3'!G451,"AAAAAD917Ok=")</f>
        <v>#VALUE!</v>
      </c>
      <c r="IA30" t="e">
        <f>AND('Planilla_General_07-12-2012_8_3'!H451,"AAAAAD917Oo=")</f>
        <v>#VALUE!</v>
      </c>
      <c r="IB30" t="e">
        <f>AND('Planilla_General_07-12-2012_8_3'!I451,"AAAAAD917Os=")</f>
        <v>#VALUE!</v>
      </c>
      <c r="IC30" t="e">
        <f>AND('Planilla_General_07-12-2012_8_3'!J451,"AAAAAD917Ow=")</f>
        <v>#VALUE!</v>
      </c>
      <c r="ID30" t="e">
        <f>AND('Planilla_General_07-12-2012_8_3'!K451,"AAAAAD917O0=")</f>
        <v>#VALUE!</v>
      </c>
      <c r="IE30" t="e">
        <f>AND('Planilla_General_07-12-2012_8_3'!L451,"AAAAAD917O4=")</f>
        <v>#VALUE!</v>
      </c>
      <c r="IF30" t="e">
        <f>AND('Planilla_General_07-12-2012_8_3'!M451,"AAAAAD917O8=")</f>
        <v>#VALUE!</v>
      </c>
      <c r="IG30" t="e">
        <f>AND('Planilla_General_07-12-2012_8_3'!N451,"AAAAAD917PA=")</f>
        <v>#VALUE!</v>
      </c>
      <c r="IH30" t="e">
        <f>AND('Planilla_General_07-12-2012_8_3'!O451,"AAAAAD917PE=")</f>
        <v>#VALUE!</v>
      </c>
      <c r="II30" t="e">
        <f>AND('Planilla_General_07-12-2012_8_3'!P451,"AAAAAD917PI=")</f>
        <v>#VALUE!</v>
      </c>
      <c r="IJ30">
        <f>IF('Planilla_General_07-12-2012_8_3'!452:452,"AAAAAD917PM=",0)</f>
        <v>0</v>
      </c>
      <c r="IK30" t="e">
        <f>AND('Planilla_General_07-12-2012_8_3'!A452,"AAAAAD917PQ=")</f>
        <v>#VALUE!</v>
      </c>
      <c r="IL30" t="e">
        <f>AND('Planilla_General_07-12-2012_8_3'!B452,"AAAAAD917PU=")</f>
        <v>#VALUE!</v>
      </c>
      <c r="IM30" t="e">
        <f>AND('Planilla_General_07-12-2012_8_3'!C452,"AAAAAD917PY=")</f>
        <v>#VALUE!</v>
      </c>
      <c r="IN30" t="e">
        <f>AND('Planilla_General_07-12-2012_8_3'!D452,"AAAAAD917Pc=")</f>
        <v>#VALUE!</v>
      </c>
      <c r="IO30" t="e">
        <f>AND('Planilla_General_07-12-2012_8_3'!E452,"AAAAAD917Pg=")</f>
        <v>#VALUE!</v>
      </c>
      <c r="IP30" t="e">
        <f>AND('Planilla_General_07-12-2012_8_3'!F452,"AAAAAD917Pk=")</f>
        <v>#VALUE!</v>
      </c>
      <c r="IQ30" t="e">
        <f>AND('Planilla_General_07-12-2012_8_3'!G452,"AAAAAD917Po=")</f>
        <v>#VALUE!</v>
      </c>
      <c r="IR30" t="e">
        <f>AND('Planilla_General_07-12-2012_8_3'!H452,"AAAAAD917Ps=")</f>
        <v>#VALUE!</v>
      </c>
      <c r="IS30" t="e">
        <f>AND('Planilla_General_07-12-2012_8_3'!I452,"AAAAAD917Pw=")</f>
        <v>#VALUE!</v>
      </c>
      <c r="IT30" t="e">
        <f>AND('Planilla_General_07-12-2012_8_3'!J452,"AAAAAD917P0=")</f>
        <v>#VALUE!</v>
      </c>
      <c r="IU30" t="e">
        <f>AND('Planilla_General_07-12-2012_8_3'!K452,"AAAAAD917P4=")</f>
        <v>#VALUE!</v>
      </c>
      <c r="IV30" t="e">
        <f>AND('Planilla_General_07-12-2012_8_3'!L452,"AAAAAD917P8=")</f>
        <v>#VALUE!</v>
      </c>
    </row>
    <row r="31" spans="1:256" x14ac:dyDescent="0.25">
      <c r="A31" t="e">
        <f>AND('Planilla_General_07-12-2012_8_3'!M452,"AAAAAFJf2gA=")</f>
        <v>#VALUE!</v>
      </c>
      <c r="B31" t="e">
        <f>AND('Planilla_General_07-12-2012_8_3'!N452,"AAAAAFJf2gE=")</f>
        <v>#VALUE!</v>
      </c>
      <c r="C31" t="e">
        <f>AND('Planilla_General_07-12-2012_8_3'!O452,"AAAAAFJf2gI=")</f>
        <v>#VALUE!</v>
      </c>
      <c r="D31" t="e">
        <f>AND('Planilla_General_07-12-2012_8_3'!P452,"AAAAAFJf2gM=")</f>
        <v>#VALUE!</v>
      </c>
      <c r="E31" t="e">
        <f>IF('Planilla_General_07-12-2012_8_3'!453:453,"AAAAAFJf2gQ=",0)</f>
        <v>#VALUE!</v>
      </c>
      <c r="F31" t="e">
        <f>AND('Planilla_General_07-12-2012_8_3'!A453,"AAAAAFJf2gU=")</f>
        <v>#VALUE!</v>
      </c>
      <c r="G31" t="e">
        <f>AND('Planilla_General_07-12-2012_8_3'!B453,"AAAAAFJf2gY=")</f>
        <v>#VALUE!</v>
      </c>
      <c r="H31" t="e">
        <f>AND('Planilla_General_07-12-2012_8_3'!C453,"AAAAAFJf2gc=")</f>
        <v>#VALUE!</v>
      </c>
      <c r="I31" t="e">
        <f>AND('Planilla_General_07-12-2012_8_3'!D453,"AAAAAFJf2gg=")</f>
        <v>#VALUE!</v>
      </c>
      <c r="J31" t="e">
        <f>AND('Planilla_General_07-12-2012_8_3'!E453,"AAAAAFJf2gk=")</f>
        <v>#VALUE!</v>
      </c>
      <c r="K31" t="e">
        <f>AND('Planilla_General_07-12-2012_8_3'!F453,"AAAAAFJf2go=")</f>
        <v>#VALUE!</v>
      </c>
      <c r="L31" t="e">
        <f>AND('Planilla_General_07-12-2012_8_3'!G453,"AAAAAFJf2gs=")</f>
        <v>#VALUE!</v>
      </c>
      <c r="M31" t="e">
        <f>AND('Planilla_General_07-12-2012_8_3'!H453,"AAAAAFJf2gw=")</f>
        <v>#VALUE!</v>
      </c>
      <c r="N31" t="e">
        <f>AND('Planilla_General_07-12-2012_8_3'!I453,"AAAAAFJf2g0=")</f>
        <v>#VALUE!</v>
      </c>
      <c r="O31" t="e">
        <f>AND('Planilla_General_07-12-2012_8_3'!J453,"AAAAAFJf2g4=")</f>
        <v>#VALUE!</v>
      </c>
      <c r="P31" t="e">
        <f>AND('Planilla_General_07-12-2012_8_3'!K453,"AAAAAFJf2g8=")</f>
        <v>#VALUE!</v>
      </c>
      <c r="Q31" t="e">
        <f>AND('Planilla_General_07-12-2012_8_3'!L453,"AAAAAFJf2hA=")</f>
        <v>#VALUE!</v>
      </c>
      <c r="R31" t="e">
        <f>AND('Planilla_General_07-12-2012_8_3'!M453,"AAAAAFJf2hE=")</f>
        <v>#VALUE!</v>
      </c>
      <c r="S31" t="e">
        <f>AND('Planilla_General_07-12-2012_8_3'!N453,"AAAAAFJf2hI=")</f>
        <v>#VALUE!</v>
      </c>
      <c r="T31" t="e">
        <f>AND('Planilla_General_07-12-2012_8_3'!O453,"AAAAAFJf2hM=")</f>
        <v>#VALUE!</v>
      </c>
      <c r="U31" t="e">
        <f>AND('Planilla_General_07-12-2012_8_3'!P453,"AAAAAFJf2hQ=")</f>
        <v>#VALUE!</v>
      </c>
      <c r="V31">
        <f>IF('Planilla_General_07-12-2012_8_3'!454:454,"AAAAAFJf2hU=",0)</f>
        <v>0</v>
      </c>
      <c r="W31" t="e">
        <f>AND('Planilla_General_07-12-2012_8_3'!A454,"AAAAAFJf2hY=")</f>
        <v>#VALUE!</v>
      </c>
      <c r="X31" t="e">
        <f>AND('Planilla_General_07-12-2012_8_3'!B454,"AAAAAFJf2hc=")</f>
        <v>#VALUE!</v>
      </c>
      <c r="Y31" t="e">
        <f>AND('Planilla_General_07-12-2012_8_3'!C454,"AAAAAFJf2hg=")</f>
        <v>#VALUE!</v>
      </c>
      <c r="Z31" t="e">
        <f>AND('Planilla_General_07-12-2012_8_3'!D454,"AAAAAFJf2hk=")</f>
        <v>#VALUE!</v>
      </c>
      <c r="AA31" t="e">
        <f>AND('Planilla_General_07-12-2012_8_3'!E454,"AAAAAFJf2ho=")</f>
        <v>#VALUE!</v>
      </c>
      <c r="AB31" t="e">
        <f>AND('Planilla_General_07-12-2012_8_3'!F454,"AAAAAFJf2hs=")</f>
        <v>#VALUE!</v>
      </c>
      <c r="AC31" t="e">
        <f>AND('Planilla_General_07-12-2012_8_3'!G454,"AAAAAFJf2hw=")</f>
        <v>#VALUE!</v>
      </c>
      <c r="AD31" t="e">
        <f>AND('Planilla_General_07-12-2012_8_3'!H454,"AAAAAFJf2h0=")</f>
        <v>#VALUE!</v>
      </c>
      <c r="AE31" t="e">
        <f>AND('Planilla_General_07-12-2012_8_3'!I454,"AAAAAFJf2h4=")</f>
        <v>#VALUE!</v>
      </c>
      <c r="AF31" t="e">
        <f>AND('Planilla_General_07-12-2012_8_3'!J454,"AAAAAFJf2h8=")</f>
        <v>#VALUE!</v>
      </c>
      <c r="AG31" t="e">
        <f>AND('Planilla_General_07-12-2012_8_3'!K454,"AAAAAFJf2iA=")</f>
        <v>#VALUE!</v>
      </c>
      <c r="AH31" t="e">
        <f>AND('Planilla_General_07-12-2012_8_3'!L454,"AAAAAFJf2iE=")</f>
        <v>#VALUE!</v>
      </c>
      <c r="AI31" t="e">
        <f>AND('Planilla_General_07-12-2012_8_3'!M454,"AAAAAFJf2iI=")</f>
        <v>#VALUE!</v>
      </c>
      <c r="AJ31" t="e">
        <f>AND('Planilla_General_07-12-2012_8_3'!N454,"AAAAAFJf2iM=")</f>
        <v>#VALUE!</v>
      </c>
      <c r="AK31" t="e">
        <f>AND('Planilla_General_07-12-2012_8_3'!O454,"AAAAAFJf2iQ=")</f>
        <v>#VALUE!</v>
      </c>
      <c r="AL31" t="e">
        <f>AND('Planilla_General_07-12-2012_8_3'!P454,"AAAAAFJf2iU=")</f>
        <v>#VALUE!</v>
      </c>
      <c r="AM31">
        <f>IF('Planilla_General_07-12-2012_8_3'!455:455,"AAAAAFJf2iY=",0)</f>
        <v>0</v>
      </c>
      <c r="AN31" t="e">
        <f>AND('Planilla_General_07-12-2012_8_3'!A455,"AAAAAFJf2ic=")</f>
        <v>#VALUE!</v>
      </c>
      <c r="AO31" t="e">
        <f>AND('Planilla_General_07-12-2012_8_3'!B455,"AAAAAFJf2ig=")</f>
        <v>#VALUE!</v>
      </c>
      <c r="AP31" t="e">
        <f>AND('Planilla_General_07-12-2012_8_3'!C455,"AAAAAFJf2ik=")</f>
        <v>#VALUE!</v>
      </c>
      <c r="AQ31" t="e">
        <f>AND('Planilla_General_07-12-2012_8_3'!D455,"AAAAAFJf2io=")</f>
        <v>#VALUE!</v>
      </c>
      <c r="AR31" t="e">
        <f>AND('Planilla_General_07-12-2012_8_3'!E455,"AAAAAFJf2is=")</f>
        <v>#VALUE!</v>
      </c>
      <c r="AS31" t="e">
        <f>AND('Planilla_General_07-12-2012_8_3'!F455,"AAAAAFJf2iw=")</f>
        <v>#VALUE!</v>
      </c>
      <c r="AT31" t="e">
        <f>AND('Planilla_General_07-12-2012_8_3'!G455,"AAAAAFJf2i0=")</f>
        <v>#VALUE!</v>
      </c>
      <c r="AU31" t="e">
        <f>AND('Planilla_General_07-12-2012_8_3'!H455,"AAAAAFJf2i4=")</f>
        <v>#VALUE!</v>
      </c>
      <c r="AV31" t="e">
        <f>AND('Planilla_General_07-12-2012_8_3'!I455,"AAAAAFJf2i8=")</f>
        <v>#VALUE!</v>
      </c>
      <c r="AW31" t="e">
        <f>AND('Planilla_General_07-12-2012_8_3'!J455,"AAAAAFJf2jA=")</f>
        <v>#VALUE!</v>
      </c>
      <c r="AX31" t="e">
        <f>AND('Planilla_General_07-12-2012_8_3'!K455,"AAAAAFJf2jE=")</f>
        <v>#VALUE!</v>
      </c>
      <c r="AY31" t="e">
        <f>AND('Planilla_General_07-12-2012_8_3'!L455,"AAAAAFJf2jI=")</f>
        <v>#VALUE!</v>
      </c>
      <c r="AZ31" t="e">
        <f>AND('Planilla_General_07-12-2012_8_3'!M455,"AAAAAFJf2jM=")</f>
        <v>#VALUE!</v>
      </c>
      <c r="BA31" t="e">
        <f>AND('Planilla_General_07-12-2012_8_3'!N455,"AAAAAFJf2jQ=")</f>
        <v>#VALUE!</v>
      </c>
      <c r="BB31" t="e">
        <f>AND('Planilla_General_07-12-2012_8_3'!O455,"AAAAAFJf2jU=")</f>
        <v>#VALUE!</v>
      </c>
      <c r="BC31" t="e">
        <f>AND('Planilla_General_07-12-2012_8_3'!P455,"AAAAAFJf2jY=")</f>
        <v>#VALUE!</v>
      </c>
      <c r="BD31">
        <f>IF('Planilla_General_07-12-2012_8_3'!456:456,"AAAAAFJf2jc=",0)</f>
        <v>0</v>
      </c>
      <c r="BE31" t="e">
        <f>AND('Planilla_General_07-12-2012_8_3'!A456,"AAAAAFJf2jg=")</f>
        <v>#VALUE!</v>
      </c>
      <c r="BF31" t="e">
        <f>AND('Planilla_General_07-12-2012_8_3'!B456,"AAAAAFJf2jk=")</f>
        <v>#VALUE!</v>
      </c>
      <c r="BG31" t="e">
        <f>AND('Planilla_General_07-12-2012_8_3'!C456,"AAAAAFJf2jo=")</f>
        <v>#VALUE!</v>
      </c>
      <c r="BH31" t="e">
        <f>AND('Planilla_General_07-12-2012_8_3'!D456,"AAAAAFJf2js=")</f>
        <v>#VALUE!</v>
      </c>
      <c r="BI31" t="e">
        <f>AND('Planilla_General_07-12-2012_8_3'!E456,"AAAAAFJf2jw=")</f>
        <v>#VALUE!</v>
      </c>
      <c r="BJ31" t="e">
        <f>AND('Planilla_General_07-12-2012_8_3'!F456,"AAAAAFJf2j0=")</f>
        <v>#VALUE!</v>
      </c>
      <c r="BK31" t="e">
        <f>AND('Planilla_General_07-12-2012_8_3'!G456,"AAAAAFJf2j4=")</f>
        <v>#VALUE!</v>
      </c>
      <c r="BL31" t="e">
        <f>AND('Planilla_General_07-12-2012_8_3'!H456,"AAAAAFJf2j8=")</f>
        <v>#VALUE!</v>
      </c>
      <c r="BM31" t="e">
        <f>AND('Planilla_General_07-12-2012_8_3'!I456,"AAAAAFJf2kA=")</f>
        <v>#VALUE!</v>
      </c>
      <c r="BN31" t="e">
        <f>AND('Planilla_General_07-12-2012_8_3'!J456,"AAAAAFJf2kE=")</f>
        <v>#VALUE!</v>
      </c>
      <c r="BO31" t="e">
        <f>AND('Planilla_General_07-12-2012_8_3'!K456,"AAAAAFJf2kI=")</f>
        <v>#VALUE!</v>
      </c>
      <c r="BP31" t="e">
        <f>AND('Planilla_General_07-12-2012_8_3'!L456,"AAAAAFJf2kM=")</f>
        <v>#VALUE!</v>
      </c>
      <c r="BQ31" t="e">
        <f>AND('Planilla_General_07-12-2012_8_3'!M456,"AAAAAFJf2kQ=")</f>
        <v>#VALUE!</v>
      </c>
      <c r="BR31" t="e">
        <f>AND('Planilla_General_07-12-2012_8_3'!N456,"AAAAAFJf2kU=")</f>
        <v>#VALUE!</v>
      </c>
      <c r="BS31" t="e">
        <f>AND('Planilla_General_07-12-2012_8_3'!O456,"AAAAAFJf2kY=")</f>
        <v>#VALUE!</v>
      </c>
      <c r="BT31" t="e">
        <f>AND('Planilla_General_07-12-2012_8_3'!P456,"AAAAAFJf2kc=")</f>
        <v>#VALUE!</v>
      </c>
      <c r="BU31">
        <f>IF('Planilla_General_07-12-2012_8_3'!457:457,"AAAAAFJf2kg=",0)</f>
        <v>0</v>
      </c>
      <c r="BV31" t="e">
        <f>AND('Planilla_General_07-12-2012_8_3'!A457,"AAAAAFJf2kk=")</f>
        <v>#VALUE!</v>
      </c>
      <c r="BW31" t="e">
        <f>AND('Planilla_General_07-12-2012_8_3'!B457,"AAAAAFJf2ko=")</f>
        <v>#VALUE!</v>
      </c>
      <c r="BX31" t="e">
        <f>AND('Planilla_General_07-12-2012_8_3'!C457,"AAAAAFJf2ks=")</f>
        <v>#VALUE!</v>
      </c>
      <c r="BY31" t="e">
        <f>AND('Planilla_General_07-12-2012_8_3'!D457,"AAAAAFJf2kw=")</f>
        <v>#VALUE!</v>
      </c>
      <c r="BZ31" t="e">
        <f>AND('Planilla_General_07-12-2012_8_3'!E457,"AAAAAFJf2k0=")</f>
        <v>#VALUE!</v>
      </c>
      <c r="CA31" t="e">
        <f>AND('Planilla_General_07-12-2012_8_3'!F457,"AAAAAFJf2k4=")</f>
        <v>#VALUE!</v>
      </c>
      <c r="CB31" t="e">
        <f>AND('Planilla_General_07-12-2012_8_3'!G457,"AAAAAFJf2k8=")</f>
        <v>#VALUE!</v>
      </c>
      <c r="CC31" t="e">
        <f>AND('Planilla_General_07-12-2012_8_3'!H457,"AAAAAFJf2lA=")</f>
        <v>#VALUE!</v>
      </c>
      <c r="CD31" t="e">
        <f>AND('Planilla_General_07-12-2012_8_3'!I457,"AAAAAFJf2lE=")</f>
        <v>#VALUE!</v>
      </c>
      <c r="CE31" t="e">
        <f>AND('Planilla_General_07-12-2012_8_3'!J457,"AAAAAFJf2lI=")</f>
        <v>#VALUE!</v>
      </c>
      <c r="CF31" t="e">
        <f>AND('Planilla_General_07-12-2012_8_3'!K457,"AAAAAFJf2lM=")</f>
        <v>#VALUE!</v>
      </c>
      <c r="CG31" t="e">
        <f>AND('Planilla_General_07-12-2012_8_3'!L457,"AAAAAFJf2lQ=")</f>
        <v>#VALUE!</v>
      </c>
      <c r="CH31" t="e">
        <f>AND('Planilla_General_07-12-2012_8_3'!M457,"AAAAAFJf2lU=")</f>
        <v>#VALUE!</v>
      </c>
      <c r="CI31" t="e">
        <f>AND('Planilla_General_07-12-2012_8_3'!N457,"AAAAAFJf2lY=")</f>
        <v>#VALUE!</v>
      </c>
      <c r="CJ31" t="e">
        <f>AND('Planilla_General_07-12-2012_8_3'!O457,"AAAAAFJf2lc=")</f>
        <v>#VALUE!</v>
      </c>
      <c r="CK31" t="e">
        <f>AND('Planilla_General_07-12-2012_8_3'!P457,"AAAAAFJf2lg=")</f>
        <v>#VALUE!</v>
      </c>
      <c r="CL31">
        <f>IF('Planilla_General_07-12-2012_8_3'!458:458,"AAAAAFJf2lk=",0)</f>
        <v>0</v>
      </c>
      <c r="CM31" t="e">
        <f>AND('Planilla_General_07-12-2012_8_3'!A458,"AAAAAFJf2lo=")</f>
        <v>#VALUE!</v>
      </c>
      <c r="CN31" t="e">
        <f>AND('Planilla_General_07-12-2012_8_3'!B458,"AAAAAFJf2ls=")</f>
        <v>#VALUE!</v>
      </c>
      <c r="CO31" t="e">
        <f>AND('Planilla_General_07-12-2012_8_3'!C458,"AAAAAFJf2lw=")</f>
        <v>#VALUE!</v>
      </c>
      <c r="CP31" t="e">
        <f>AND('Planilla_General_07-12-2012_8_3'!D458,"AAAAAFJf2l0=")</f>
        <v>#VALUE!</v>
      </c>
      <c r="CQ31" t="e">
        <f>AND('Planilla_General_07-12-2012_8_3'!E458,"AAAAAFJf2l4=")</f>
        <v>#VALUE!</v>
      </c>
      <c r="CR31" t="e">
        <f>AND('Planilla_General_07-12-2012_8_3'!F458,"AAAAAFJf2l8=")</f>
        <v>#VALUE!</v>
      </c>
      <c r="CS31" t="e">
        <f>AND('Planilla_General_07-12-2012_8_3'!G458,"AAAAAFJf2mA=")</f>
        <v>#VALUE!</v>
      </c>
      <c r="CT31" t="e">
        <f>AND('Planilla_General_07-12-2012_8_3'!H458,"AAAAAFJf2mE=")</f>
        <v>#VALUE!</v>
      </c>
      <c r="CU31" t="e">
        <f>AND('Planilla_General_07-12-2012_8_3'!I458,"AAAAAFJf2mI=")</f>
        <v>#VALUE!</v>
      </c>
      <c r="CV31" t="e">
        <f>AND('Planilla_General_07-12-2012_8_3'!J458,"AAAAAFJf2mM=")</f>
        <v>#VALUE!</v>
      </c>
      <c r="CW31" t="e">
        <f>AND('Planilla_General_07-12-2012_8_3'!K458,"AAAAAFJf2mQ=")</f>
        <v>#VALUE!</v>
      </c>
      <c r="CX31" t="e">
        <f>AND('Planilla_General_07-12-2012_8_3'!L458,"AAAAAFJf2mU=")</f>
        <v>#VALUE!</v>
      </c>
      <c r="CY31" t="e">
        <f>AND('Planilla_General_07-12-2012_8_3'!M458,"AAAAAFJf2mY=")</f>
        <v>#VALUE!</v>
      </c>
      <c r="CZ31" t="e">
        <f>AND('Planilla_General_07-12-2012_8_3'!N458,"AAAAAFJf2mc=")</f>
        <v>#VALUE!</v>
      </c>
      <c r="DA31" t="e">
        <f>AND('Planilla_General_07-12-2012_8_3'!O458,"AAAAAFJf2mg=")</f>
        <v>#VALUE!</v>
      </c>
      <c r="DB31" t="e">
        <f>AND('Planilla_General_07-12-2012_8_3'!P458,"AAAAAFJf2mk=")</f>
        <v>#VALUE!</v>
      </c>
      <c r="DC31">
        <f>IF('Planilla_General_07-12-2012_8_3'!459:459,"AAAAAFJf2mo=",0)</f>
        <v>0</v>
      </c>
      <c r="DD31" t="e">
        <f>AND('Planilla_General_07-12-2012_8_3'!A459,"AAAAAFJf2ms=")</f>
        <v>#VALUE!</v>
      </c>
      <c r="DE31" t="e">
        <f>AND('Planilla_General_07-12-2012_8_3'!B459,"AAAAAFJf2mw=")</f>
        <v>#VALUE!</v>
      </c>
      <c r="DF31" t="e">
        <f>AND('Planilla_General_07-12-2012_8_3'!C459,"AAAAAFJf2m0=")</f>
        <v>#VALUE!</v>
      </c>
      <c r="DG31" t="e">
        <f>AND('Planilla_General_07-12-2012_8_3'!D459,"AAAAAFJf2m4=")</f>
        <v>#VALUE!</v>
      </c>
      <c r="DH31" t="e">
        <f>AND('Planilla_General_07-12-2012_8_3'!E459,"AAAAAFJf2m8=")</f>
        <v>#VALUE!</v>
      </c>
      <c r="DI31" t="e">
        <f>AND('Planilla_General_07-12-2012_8_3'!F459,"AAAAAFJf2nA=")</f>
        <v>#VALUE!</v>
      </c>
      <c r="DJ31" t="e">
        <f>AND('Planilla_General_07-12-2012_8_3'!G459,"AAAAAFJf2nE=")</f>
        <v>#VALUE!</v>
      </c>
      <c r="DK31" t="e">
        <f>AND('Planilla_General_07-12-2012_8_3'!H459,"AAAAAFJf2nI=")</f>
        <v>#VALUE!</v>
      </c>
      <c r="DL31" t="e">
        <f>AND('Planilla_General_07-12-2012_8_3'!I459,"AAAAAFJf2nM=")</f>
        <v>#VALUE!</v>
      </c>
      <c r="DM31" t="e">
        <f>AND('Planilla_General_07-12-2012_8_3'!J459,"AAAAAFJf2nQ=")</f>
        <v>#VALUE!</v>
      </c>
      <c r="DN31" t="e">
        <f>AND('Planilla_General_07-12-2012_8_3'!K459,"AAAAAFJf2nU=")</f>
        <v>#VALUE!</v>
      </c>
      <c r="DO31" t="e">
        <f>AND('Planilla_General_07-12-2012_8_3'!L459,"AAAAAFJf2nY=")</f>
        <v>#VALUE!</v>
      </c>
      <c r="DP31" t="e">
        <f>AND('Planilla_General_07-12-2012_8_3'!M459,"AAAAAFJf2nc=")</f>
        <v>#VALUE!</v>
      </c>
      <c r="DQ31" t="e">
        <f>AND('Planilla_General_07-12-2012_8_3'!N459,"AAAAAFJf2ng=")</f>
        <v>#VALUE!</v>
      </c>
      <c r="DR31" t="e">
        <f>AND('Planilla_General_07-12-2012_8_3'!O459,"AAAAAFJf2nk=")</f>
        <v>#VALUE!</v>
      </c>
      <c r="DS31" t="e">
        <f>AND('Planilla_General_07-12-2012_8_3'!P459,"AAAAAFJf2no=")</f>
        <v>#VALUE!</v>
      </c>
      <c r="DT31">
        <f>IF('Planilla_General_07-12-2012_8_3'!460:460,"AAAAAFJf2ns=",0)</f>
        <v>0</v>
      </c>
      <c r="DU31" t="e">
        <f>AND('Planilla_General_07-12-2012_8_3'!A460,"AAAAAFJf2nw=")</f>
        <v>#VALUE!</v>
      </c>
      <c r="DV31" t="e">
        <f>AND('Planilla_General_07-12-2012_8_3'!B460,"AAAAAFJf2n0=")</f>
        <v>#VALUE!</v>
      </c>
      <c r="DW31" t="e">
        <f>AND('Planilla_General_07-12-2012_8_3'!C460,"AAAAAFJf2n4=")</f>
        <v>#VALUE!</v>
      </c>
      <c r="DX31" t="e">
        <f>AND('Planilla_General_07-12-2012_8_3'!D460,"AAAAAFJf2n8=")</f>
        <v>#VALUE!</v>
      </c>
      <c r="DY31" t="e">
        <f>AND('Planilla_General_07-12-2012_8_3'!E460,"AAAAAFJf2oA=")</f>
        <v>#VALUE!</v>
      </c>
      <c r="DZ31" t="e">
        <f>AND('Planilla_General_07-12-2012_8_3'!F460,"AAAAAFJf2oE=")</f>
        <v>#VALUE!</v>
      </c>
      <c r="EA31" t="e">
        <f>AND('Planilla_General_07-12-2012_8_3'!G460,"AAAAAFJf2oI=")</f>
        <v>#VALUE!</v>
      </c>
      <c r="EB31" t="e">
        <f>AND('Planilla_General_07-12-2012_8_3'!H460,"AAAAAFJf2oM=")</f>
        <v>#VALUE!</v>
      </c>
      <c r="EC31" t="e">
        <f>AND('Planilla_General_07-12-2012_8_3'!I460,"AAAAAFJf2oQ=")</f>
        <v>#VALUE!</v>
      </c>
      <c r="ED31" t="e">
        <f>AND('Planilla_General_07-12-2012_8_3'!J460,"AAAAAFJf2oU=")</f>
        <v>#VALUE!</v>
      </c>
      <c r="EE31" t="e">
        <f>AND('Planilla_General_07-12-2012_8_3'!K460,"AAAAAFJf2oY=")</f>
        <v>#VALUE!</v>
      </c>
      <c r="EF31" t="e">
        <f>AND('Planilla_General_07-12-2012_8_3'!L460,"AAAAAFJf2oc=")</f>
        <v>#VALUE!</v>
      </c>
      <c r="EG31" t="e">
        <f>AND('Planilla_General_07-12-2012_8_3'!M460,"AAAAAFJf2og=")</f>
        <v>#VALUE!</v>
      </c>
      <c r="EH31" t="e">
        <f>AND('Planilla_General_07-12-2012_8_3'!N460,"AAAAAFJf2ok=")</f>
        <v>#VALUE!</v>
      </c>
      <c r="EI31" t="e">
        <f>AND('Planilla_General_07-12-2012_8_3'!O460,"AAAAAFJf2oo=")</f>
        <v>#VALUE!</v>
      </c>
      <c r="EJ31" t="e">
        <f>AND('Planilla_General_07-12-2012_8_3'!P460,"AAAAAFJf2os=")</f>
        <v>#VALUE!</v>
      </c>
      <c r="EK31">
        <f>IF('Planilla_General_07-12-2012_8_3'!461:461,"AAAAAFJf2ow=",0)</f>
        <v>0</v>
      </c>
      <c r="EL31" t="e">
        <f>AND('Planilla_General_07-12-2012_8_3'!A461,"AAAAAFJf2o0=")</f>
        <v>#VALUE!</v>
      </c>
      <c r="EM31" t="e">
        <f>AND('Planilla_General_07-12-2012_8_3'!B461,"AAAAAFJf2o4=")</f>
        <v>#VALUE!</v>
      </c>
      <c r="EN31" t="e">
        <f>AND('Planilla_General_07-12-2012_8_3'!C461,"AAAAAFJf2o8=")</f>
        <v>#VALUE!</v>
      </c>
      <c r="EO31" t="e">
        <f>AND('Planilla_General_07-12-2012_8_3'!D461,"AAAAAFJf2pA=")</f>
        <v>#VALUE!</v>
      </c>
      <c r="EP31" t="e">
        <f>AND('Planilla_General_07-12-2012_8_3'!E461,"AAAAAFJf2pE=")</f>
        <v>#VALUE!</v>
      </c>
      <c r="EQ31" t="e">
        <f>AND('Planilla_General_07-12-2012_8_3'!F461,"AAAAAFJf2pI=")</f>
        <v>#VALUE!</v>
      </c>
      <c r="ER31" t="e">
        <f>AND('Planilla_General_07-12-2012_8_3'!G461,"AAAAAFJf2pM=")</f>
        <v>#VALUE!</v>
      </c>
      <c r="ES31" t="e">
        <f>AND('Planilla_General_07-12-2012_8_3'!H461,"AAAAAFJf2pQ=")</f>
        <v>#VALUE!</v>
      </c>
      <c r="ET31" t="e">
        <f>AND('Planilla_General_07-12-2012_8_3'!I461,"AAAAAFJf2pU=")</f>
        <v>#VALUE!</v>
      </c>
      <c r="EU31" t="e">
        <f>AND('Planilla_General_07-12-2012_8_3'!J461,"AAAAAFJf2pY=")</f>
        <v>#VALUE!</v>
      </c>
      <c r="EV31" t="e">
        <f>AND('Planilla_General_07-12-2012_8_3'!K461,"AAAAAFJf2pc=")</f>
        <v>#VALUE!</v>
      </c>
      <c r="EW31" t="e">
        <f>AND('Planilla_General_07-12-2012_8_3'!L461,"AAAAAFJf2pg=")</f>
        <v>#VALUE!</v>
      </c>
      <c r="EX31" t="e">
        <f>AND('Planilla_General_07-12-2012_8_3'!M461,"AAAAAFJf2pk=")</f>
        <v>#VALUE!</v>
      </c>
      <c r="EY31" t="e">
        <f>AND('Planilla_General_07-12-2012_8_3'!N461,"AAAAAFJf2po=")</f>
        <v>#VALUE!</v>
      </c>
      <c r="EZ31" t="e">
        <f>AND('Planilla_General_07-12-2012_8_3'!O461,"AAAAAFJf2ps=")</f>
        <v>#VALUE!</v>
      </c>
      <c r="FA31" t="e">
        <f>AND('Planilla_General_07-12-2012_8_3'!P461,"AAAAAFJf2pw=")</f>
        <v>#VALUE!</v>
      </c>
      <c r="FB31">
        <f>IF('Planilla_General_07-12-2012_8_3'!462:462,"AAAAAFJf2p0=",0)</f>
        <v>0</v>
      </c>
      <c r="FC31" t="e">
        <f>AND('Planilla_General_07-12-2012_8_3'!A462,"AAAAAFJf2p4=")</f>
        <v>#VALUE!</v>
      </c>
      <c r="FD31" t="e">
        <f>AND('Planilla_General_07-12-2012_8_3'!B462,"AAAAAFJf2p8=")</f>
        <v>#VALUE!</v>
      </c>
      <c r="FE31" t="e">
        <f>AND('Planilla_General_07-12-2012_8_3'!C462,"AAAAAFJf2qA=")</f>
        <v>#VALUE!</v>
      </c>
      <c r="FF31" t="e">
        <f>AND('Planilla_General_07-12-2012_8_3'!D462,"AAAAAFJf2qE=")</f>
        <v>#VALUE!</v>
      </c>
      <c r="FG31" t="e">
        <f>AND('Planilla_General_07-12-2012_8_3'!E462,"AAAAAFJf2qI=")</f>
        <v>#VALUE!</v>
      </c>
      <c r="FH31" t="e">
        <f>AND('Planilla_General_07-12-2012_8_3'!F462,"AAAAAFJf2qM=")</f>
        <v>#VALUE!</v>
      </c>
      <c r="FI31" t="e">
        <f>AND('Planilla_General_07-12-2012_8_3'!G462,"AAAAAFJf2qQ=")</f>
        <v>#VALUE!</v>
      </c>
      <c r="FJ31" t="e">
        <f>AND('Planilla_General_07-12-2012_8_3'!H462,"AAAAAFJf2qU=")</f>
        <v>#VALUE!</v>
      </c>
      <c r="FK31" t="e">
        <f>AND('Planilla_General_07-12-2012_8_3'!I462,"AAAAAFJf2qY=")</f>
        <v>#VALUE!</v>
      </c>
      <c r="FL31" t="e">
        <f>AND('Planilla_General_07-12-2012_8_3'!J462,"AAAAAFJf2qc=")</f>
        <v>#VALUE!</v>
      </c>
      <c r="FM31" t="e">
        <f>AND('Planilla_General_07-12-2012_8_3'!K462,"AAAAAFJf2qg=")</f>
        <v>#VALUE!</v>
      </c>
      <c r="FN31" t="e">
        <f>AND('Planilla_General_07-12-2012_8_3'!L462,"AAAAAFJf2qk=")</f>
        <v>#VALUE!</v>
      </c>
      <c r="FO31" t="e">
        <f>AND('Planilla_General_07-12-2012_8_3'!M462,"AAAAAFJf2qo=")</f>
        <v>#VALUE!</v>
      </c>
      <c r="FP31" t="e">
        <f>AND('Planilla_General_07-12-2012_8_3'!N462,"AAAAAFJf2qs=")</f>
        <v>#VALUE!</v>
      </c>
      <c r="FQ31" t="e">
        <f>AND('Planilla_General_07-12-2012_8_3'!O462,"AAAAAFJf2qw=")</f>
        <v>#VALUE!</v>
      </c>
      <c r="FR31" t="e">
        <f>AND('Planilla_General_07-12-2012_8_3'!P462,"AAAAAFJf2q0=")</f>
        <v>#VALUE!</v>
      </c>
      <c r="FS31">
        <f>IF('Planilla_General_07-12-2012_8_3'!463:463,"AAAAAFJf2q4=",0)</f>
        <v>0</v>
      </c>
      <c r="FT31" t="e">
        <f>AND('Planilla_General_07-12-2012_8_3'!A463,"AAAAAFJf2q8=")</f>
        <v>#VALUE!</v>
      </c>
      <c r="FU31" t="e">
        <f>AND('Planilla_General_07-12-2012_8_3'!B463,"AAAAAFJf2rA=")</f>
        <v>#VALUE!</v>
      </c>
      <c r="FV31" t="e">
        <f>AND('Planilla_General_07-12-2012_8_3'!C463,"AAAAAFJf2rE=")</f>
        <v>#VALUE!</v>
      </c>
      <c r="FW31" t="e">
        <f>AND('Planilla_General_07-12-2012_8_3'!D463,"AAAAAFJf2rI=")</f>
        <v>#VALUE!</v>
      </c>
      <c r="FX31" t="e">
        <f>AND('Planilla_General_07-12-2012_8_3'!E463,"AAAAAFJf2rM=")</f>
        <v>#VALUE!</v>
      </c>
      <c r="FY31" t="e">
        <f>AND('Planilla_General_07-12-2012_8_3'!F463,"AAAAAFJf2rQ=")</f>
        <v>#VALUE!</v>
      </c>
      <c r="FZ31" t="e">
        <f>AND('Planilla_General_07-12-2012_8_3'!G463,"AAAAAFJf2rU=")</f>
        <v>#VALUE!</v>
      </c>
      <c r="GA31" t="e">
        <f>AND('Planilla_General_07-12-2012_8_3'!H463,"AAAAAFJf2rY=")</f>
        <v>#VALUE!</v>
      </c>
      <c r="GB31" t="e">
        <f>AND('Planilla_General_07-12-2012_8_3'!I463,"AAAAAFJf2rc=")</f>
        <v>#VALUE!</v>
      </c>
      <c r="GC31" t="e">
        <f>AND('Planilla_General_07-12-2012_8_3'!J463,"AAAAAFJf2rg=")</f>
        <v>#VALUE!</v>
      </c>
      <c r="GD31" t="e">
        <f>AND('Planilla_General_07-12-2012_8_3'!K463,"AAAAAFJf2rk=")</f>
        <v>#VALUE!</v>
      </c>
      <c r="GE31" t="e">
        <f>AND('Planilla_General_07-12-2012_8_3'!L463,"AAAAAFJf2ro=")</f>
        <v>#VALUE!</v>
      </c>
      <c r="GF31" t="e">
        <f>AND('Planilla_General_07-12-2012_8_3'!M463,"AAAAAFJf2rs=")</f>
        <v>#VALUE!</v>
      </c>
      <c r="GG31" t="e">
        <f>AND('Planilla_General_07-12-2012_8_3'!N463,"AAAAAFJf2rw=")</f>
        <v>#VALUE!</v>
      </c>
      <c r="GH31" t="e">
        <f>AND('Planilla_General_07-12-2012_8_3'!O463,"AAAAAFJf2r0=")</f>
        <v>#VALUE!</v>
      </c>
      <c r="GI31" t="e">
        <f>AND('Planilla_General_07-12-2012_8_3'!P463,"AAAAAFJf2r4=")</f>
        <v>#VALUE!</v>
      </c>
      <c r="GJ31">
        <f>IF('Planilla_General_07-12-2012_8_3'!464:464,"AAAAAFJf2r8=",0)</f>
        <v>0</v>
      </c>
      <c r="GK31" t="e">
        <f>AND('Planilla_General_07-12-2012_8_3'!A464,"AAAAAFJf2sA=")</f>
        <v>#VALUE!</v>
      </c>
      <c r="GL31" t="e">
        <f>AND('Planilla_General_07-12-2012_8_3'!B464,"AAAAAFJf2sE=")</f>
        <v>#VALUE!</v>
      </c>
      <c r="GM31" t="e">
        <f>AND('Planilla_General_07-12-2012_8_3'!C464,"AAAAAFJf2sI=")</f>
        <v>#VALUE!</v>
      </c>
      <c r="GN31" t="e">
        <f>AND('Planilla_General_07-12-2012_8_3'!D464,"AAAAAFJf2sM=")</f>
        <v>#VALUE!</v>
      </c>
      <c r="GO31" t="e">
        <f>AND('Planilla_General_07-12-2012_8_3'!E464,"AAAAAFJf2sQ=")</f>
        <v>#VALUE!</v>
      </c>
      <c r="GP31" t="e">
        <f>AND('Planilla_General_07-12-2012_8_3'!F464,"AAAAAFJf2sU=")</f>
        <v>#VALUE!</v>
      </c>
      <c r="GQ31" t="e">
        <f>AND('Planilla_General_07-12-2012_8_3'!G464,"AAAAAFJf2sY=")</f>
        <v>#VALUE!</v>
      </c>
      <c r="GR31" t="e">
        <f>AND('Planilla_General_07-12-2012_8_3'!H464,"AAAAAFJf2sc=")</f>
        <v>#VALUE!</v>
      </c>
      <c r="GS31" t="e">
        <f>AND('Planilla_General_07-12-2012_8_3'!I464,"AAAAAFJf2sg=")</f>
        <v>#VALUE!</v>
      </c>
      <c r="GT31" t="e">
        <f>AND('Planilla_General_07-12-2012_8_3'!J464,"AAAAAFJf2sk=")</f>
        <v>#VALUE!</v>
      </c>
      <c r="GU31" t="e">
        <f>AND('Planilla_General_07-12-2012_8_3'!K464,"AAAAAFJf2so=")</f>
        <v>#VALUE!</v>
      </c>
      <c r="GV31" t="e">
        <f>AND('Planilla_General_07-12-2012_8_3'!L464,"AAAAAFJf2ss=")</f>
        <v>#VALUE!</v>
      </c>
      <c r="GW31" t="e">
        <f>AND('Planilla_General_07-12-2012_8_3'!M464,"AAAAAFJf2sw=")</f>
        <v>#VALUE!</v>
      </c>
      <c r="GX31" t="e">
        <f>AND('Planilla_General_07-12-2012_8_3'!N464,"AAAAAFJf2s0=")</f>
        <v>#VALUE!</v>
      </c>
      <c r="GY31" t="e">
        <f>AND('Planilla_General_07-12-2012_8_3'!O464,"AAAAAFJf2s4=")</f>
        <v>#VALUE!</v>
      </c>
      <c r="GZ31" t="e">
        <f>AND('Planilla_General_07-12-2012_8_3'!P464,"AAAAAFJf2s8=")</f>
        <v>#VALUE!</v>
      </c>
      <c r="HA31">
        <f>IF('Planilla_General_07-12-2012_8_3'!465:465,"AAAAAFJf2tA=",0)</f>
        <v>0</v>
      </c>
      <c r="HB31" t="e">
        <f>AND('Planilla_General_07-12-2012_8_3'!A465,"AAAAAFJf2tE=")</f>
        <v>#VALUE!</v>
      </c>
      <c r="HC31" t="e">
        <f>AND('Planilla_General_07-12-2012_8_3'!B465,"AAAAAFJf2tI=")</f>
        <v>#VALUE!</v>
      </c>
      <c r="HD31" t="e">
        <f>AND('Planilla_General_07-12-2012_8_3'!C465,"AAAAAFJf2tM=")</f>
        <v>#VALUE!</v>
      </c>
      <c r="HE31" t="e">
        <f>AND('Planilla_General_07-12-2012_8_3'!D465,"AAAAAFJf2tQ=")</f>
        <v>#VALUE!</v>
      </c>
      <c r="HF31" t="e">
        <f>AND('Planilla_General_07-12-2012_8_3'!E465,"AAAAAFJf2tU=")</f>
        <v>#VALUE!</v>
      </c>
      <c r="HG31" t="e">
        <f>AND('Planilla_General_07-12-2012_8_3'!F465,"AAAAAFJf2tY=")</f>
        <v>#VALUE!</v>
      </c>
      <c r="HH31" t="e">
        <f>AND('Planilla_General_07-12-2012_8_3'!G465,"AAAAAFJf2tc=")</f>
        <v>#VALUE!</v>
      </c>
      <c r="HI31" t="e">
        <f>AND('Planilla_General_07-12-2012_8_3'!H465,"AAAAAFJf2tg=")</f>
        <v>#VALUE!</v>
      </c>
      <c r="HJ31" t="e">
        <f>AND('Planilla_General_07-12-2012_8_3'!I465,"AAAAAFJf2tk=")</f>
        <v>#VALUE!</v>
      </c>
      <c r="HK31" t="e">
        <f>AND('Planilla_General_07-12-2012_8_3'!J465,"AAAAAFJf2to=")</f>
        <v>#VALUE!</v>
      </c>
      <c r="HL31" t="e">
        <f>AND('Planilla_General_07-12-2012_8_3'!K465,"AAAAAFJf2ts=")</f>
        <v>#VALUE!</v>
      </c>
      <c r="HM31" t="e">
        <f>AND('Planilla_General_07-12-2012_8_3'!L465,"AAAAAFJf2tw=")</f>
        <v>#VALUE!</v>
      </c>
      <c r="HN31" t="e">
        <f>AND('Planilla_General_07-12-2012_8_3'!M465,"AAAAAFJf2t0=")</f>
        <v>#VALUE!</v>
      </c>
      <c r="HO31" t="e">
        <f>AND('Planilla_General_07-12-2012_8_3'!N465,"AAAAAFJf2t4=")</f>
        <v>#VALUE!</v>
      </c>
      <c r="HP31" t="e">
        <f>AND('Planilla_General_07-12-2012_8_3'!O465,"AAAAAFJf2t8=")</f>
        <v>#VALUE!</v>
      </c>
      <c r="HQ31" t="e">
        <f>AND('Planilla_General_07-12-2012_8_3'!P465,"AAAAAFJf2uA=")</f>
        <v>#VALUE!</v>
      </c>
      <c r="HR31">
        <f>IF('Planilla_General_07-12-2012_8_3'!466:466,"AAAAAFJf2uE=",0)</f>
        <v>0</v>
      </c>
      <c r="HS31" t="e">
        <f>AND('Planilla_General_07-12-2012_8_3'!A466,"AAAAAFJf2uI=")</f>
        <v>#VALUE!</v>
      </c>
      <c r="HT31" t="e">
        <f>AND('Planilla_General_07-12-2012_8_3'!B466,"AAAAAFJf2uM=")</f>
        <v>#VALUE!</v>
      </c>
      <c r="HU31" t="e">
        <f>AND('Planilla_General_07-12-2012_8_3'!C466,"AAAAAFJf2uQ=")</f>
        <v>#VALUE!</v>
      </c>
      <c r="HV31" t="e">
        <f>AND('Planilla_General_07-12-2012_8_3'!D466,"AAAAAFJf2uU=")</f>
        <v>#VALUE!</v>
      </c>
      <c r="HW31" t="e">
        <f>AND('Planilla_General_07-12-2012_8_3'!E466,"AAAAAFJf2uY=")</f>
        <v>#VALUE!</v>
      </c>
      <c r="HX31" t="e">
        <f>AND('Planilla_General_07-12-2012_8_3'!F466,"AAAAAFJf2uc=")</f>
        <v>#VALUE!</v>
      </c>
      <c r="HY31" t="e">
        <f>AND('Planilla_General_07-12-2012_8_3'!G466,"AAAAAFJf2ug=")</f>
        <v>#VALUE!</v>
      </c>
      <c r="HZ31" t="e">
        <f>AND('Planilla_General_07-12-2012_8_3'!H466,"AAAAAFJf2uk=")</f>
        <v>#VALUE!</v>
      </c>
      <c r="IA31" t="e">
        <f>AND('Planilla_General_07-12-2012_8_3'!I466,"AAAAAFJf2uo=")</f>
        <v>#VALUE!</v>
      </c>
      <c r="IB31" t="e">
        <f>AND('Planilla_General_07-12-2012_8_3'!J466,"AAAAAFJf2us=")</f>
        <v>#VALUE!</v>
      </c>
      <c r="IC31" t="e">
        <f>AND('Planilla_General_07-12-2012_8_3'!K466,"AAAAAFJf2uw=")</f>
        <v>#VALUE!</v>
      </c>
      <c r="ID31" t="e">
        <f>AND('Planilla_General_07-12-2012_8_3'!L466,"AAAAAFJf2u0=")</f>
        <v>#VALUE!</v>
      </c>
      <c r="IE31" t="e">
        <f>AND('Planilla_General_07-12-2012_8_3'!M466,"AAAAAFJf2u4=")</f>
        <v>#VALUE!</v>
      </c>
      <c r="IF31" t="e">
        <f>AND('Planilla_General_07-12-2012_8_3'!N466,"AAAAAFJf2u8=")</f>
        <v>#VALUE!</v>
      </c>
      <c r="IG31" t="e">
        <f>AND('Planilla_General_07-12-2012_8_3'!O466,"AAAAAFJf2vA=")</f>
        <v>#VALUE!</v>
      </c>
      <c r="IH31" t="e">
        <f>AND('Planilla_General_07-12-2012_8_3'!P466,"AAAAAFJf2vE=")</f>
        <v>#VALUE!</v>
      </c>
      <c r="II31">
        <f>IF('Planilla_General_07-12-2012_8_3'!467:467,"AAAAAFJf2vI=",0)</f>
        <v>0</v>
      </c>
      <c r="IJ31" t="e">
        <f>AND('Planilla_General_07-12-2012_8_3'!A467,"AAAAAFJf2vM=")</f>
        <v>#VALUE!</v>
      </c>
      <c r="IK31" t="e">
        <f>AND('Planilla_General_07-12-2012_8_3'!B467,"AAAAAFJf2vQ=")</f>
        <v>#VALUE!</v>
      </c>
      <c r="IL31" t="e">
        <f>AND('Planilla_General_07-12-2012_8_3'!C467,"AAAAAFJf2vU=")</f>
        <v>#VALUE!</v>
      </c>
      <c r="IM31" t="e">
        <f>AND('Planilla_General_07-12-2012_8_3'!D467,"AAAAAFJf2vY=")</f>
        <v>#VALUE!</v>
      </c>
      <c r="IN31" t="e">
        <f>AND('Planilla_General_07-12-2012_8_3'!E467,"AAAAAFJf2vc=")</f>
        <v>#VALUE!</v>
      </c>
      <c r="IO31" t="e">
        <f>AND('Planilla_General_07-12-2012_8_3'!F467,"AAAAAFJf2vg=")</f>
        <v>#VALUE!</v>
      </c>
      <c r="IP31" t="e">
        <f>AND('Planilla_General_07-12-2012_8_3'!G467,"AAAAAFJf2vk=")</f>
        <v>#VALUE!</v>
      </c>
      <c r="IQ31" t="e">
        <f>AND('Planilla_General_07-12-2012_8_3'!H467,"AAAAAFJf2vo=")</f>
        <v>#VALUE!</v>
      </c>
      <c r="IR31" t="e">
        <f>AND('Planilla_General_07-12-2012_8_3'!I467,"AAAAAFJf2vs=")</f>
        <v>#VALUE!</v>
      </c>
      <c r="IS31" t="e">
        <f>AND('Planilla_General_07-12-2012_8_3'!J467,"AAAAAFJf2vw=")</f>
        <v>#VALUE!</v>
      </c>
      <c r="IT31" t="e">
        <f>AND('Planilla_General_07-12-2012_8_3'!K467,"AAAAAFJf2v0=")</f>
        <v>#VALUE!</v>
      </c>
      <c r="IU31" t="e">
        <f>AND('Planilla_General_07-12-2012_8_3'!L467,"AAAAAFJf2v4=")</f>
        <v>#VALUE!</v>
      </c>
      <c r="IV31" t="e">
        <f>AND('Planilla_General_07-12-2012_8_3'!M467,"AAAAAFJf2v8=")</f>
        <v>#VALUE!</v>
      </c>
    </row>
    <row r="32" spans="1:256" x14ac:dyDescent="0.25">
      <c r="A32" t="e">
        <f>AND('Planilla_General_07-12-2012_8_3'!N467,"AAAAAD7tWgA=")</f>
        <v>#VALUE!</v>
      </c>
      <c r="B32" t="e">
        <f>AND('Planilla_General_07-12-2012_8_3'!O467,"AAAAAD7tWgE=")</f>
        <v>#VALUE!</v>
      </c>
      <c r="C32" t="e">
        <f>AND('Planilla_General_07-12-2012_8_3'!P467,"AAAAAD7tWgI=")</f>
        <v>#VALUE!</v>
      </c>
      <c r="D32" t="e">
        <f>IF('Planilla_General_07-12-2012_8_3'!468:468,"AAAAAD7tWgM=",0)</f>
        <v>#VALUE!</v>
      </c>
      <c r="E32" t="e">
        <f>AND('Planilla_General_07-12-2012_8_3'!A468,"AAAAAD7tWgQ=")</f>
        <v>#VALUE!</v>
      </c>
      <c r="F32" t="e">
        <f>AND('Planilla_General_07-12-2012_8_3'!B468,"AAAAAD7tWgU=")</f>
        <v>#VALUE!</v>
      </c>
      <c r="G32" t="e">
        <f>AND('Planilla_General_07-12-2012_8_3'!C468,"AAAAAD7tWgY=")</f>
        <v>#VALUE!</v>
      </c>
      <c r="H32" t="e">
        <f>AND('Planilla_General_07-12-2012_8_3'!D468,"AAAAAD7tWgc=")</f>
        <v>#VALUE!</v>
      </c>
      <c r="I32" t="e">
        <f>AND('Planilla_General_07-12-2012_8_3'!E468,"AAAAAD7tWgg=")</f>
        <v>#VALUE!</v>
      </c>
      <c r="J32" t="e">
        <f>AND('Planilla_General_07-12-2012_8_3'!F468,"AAAAAD7tWgk=")</f>
        <v>#VALUE!</v>
      </c>
      <c r="K32" t="e">
        <f>AND('Planilla_General_07-12-2012_8_3'!G468,"AAAAAD7tWgo=")</f>
        <v>#VALUE!</v>
      </c>
      <c r="L32" t="e">
        <f>AND('Planilla_General_07-12-2012_8_3'!H468,"AAAAAD7tWgs=")</f>
        <v>#VALUE!</v>
      </c>
      <c r="M32" t="e">
        <f>AND('Planilla_General_07-12-2012_8_3'!I468,"AAAAAD7tWgw=")</f>
        <v>#VALUE!</v>
      </c>
      <c r="N32" t="e">
        <f>AND('Planilla_General_07-12-2012_8_3'!J468,"AAAAAD7tWg0=")</f>
        <v>#VALUE!</v>
      </c>
      <c r="O32" t="e">
        <f>AND('Planilla_General_07-12-2012_8_3'!K468,"AAAAAD7tWg4=")</f>
        <v>#VALUE!</v>
      </c>
      <c r="P32" t="e">
        <f>AND('Planilla_General_07-12-2012_8_3'!L468,"AAAAAD7tWg8=")</f>
        <v>#VALUE!</v>
      </c>
      <c r="Q32" t="e">
        <f>AND('Planilla_General_07-12-2012_8_3'!M468,"AAAAAD7tWhA=")</f>
        <v>#VALUE!</v>
      </c>
      <c r="R32" t="e">
        <f>AND('Planilla_General_07-12-2012_8_3'!N468,"AAAAAD7tWhE=")</f>
        <v>#VALUE!</v>
      </c>
      <c r="S32" t="e">
        <f>AND('Planilla_General_07-12-2012_8_3'!O468,"AAAAAD7tWhI=")</f>
        <v>#VALUE!</v>
      </c>
      <c r="T32" t="e">
        <f>AND('Planilla_General_07-12-2012_8_3'!P468,"AAAAAD7tWhM=")</f>
        <v>#VALUE!</v>
      </c>
      <c r="U32">
        <f>IF('Planilla_General_07-12-2012_8_3'!469:469,"AAAAAD7tWhQ=",0)</f>
        <v>0</v>
      </c>
      <c r="V32" t="e">
        <f>AND('Planilla_General_07-12-2012_8_3'!A469,"AAAAAD7tWhU=")</f>
        <v>#VALUE!</v>
      </c>
      <c r="W32" t="e">
        <f>AND('Planilla_General_07-12-2012_8_3'!B469,"AAAAAD7tWhY=")</f>
        <v>#VALUE!</v>
      </c>
      <c r="X32" t="e">
        <f>AND('Planilla_General_07-12-2012_8_3'!C469,"AAAAAD7tWhc=")</f>
        <v>#VALUE!</v>
      </c>
      <c r="Y32" t="e">
        <f>AND('Planilla_General_07-12-2012_8_3'!D469,"AAAAAD7tWhg=")</f>
        <v>#VALUE!</v>
      </c>
      <c r="Z32" t="e">
        <f>AND('Planilla_General_07-12-2012_8_3'!E469,"AAAAAD7tWhk=")</f>
        <v>#VALUE!</v>
      </c>
      <c r="AA32" t="e">
        <f>AND('Planilla_General_07-12-2012_8_3'!F469,"AAAAAD7tWho=")</f>
        <v>#VALUE!</v>
      </c>
      <c r="AB32" t="e">
        <f>AND('Planilla_General_07-12-2012_8_3'!G469,"AAAAAD7tWhs=")</f>
        <v>#VALUE!</v>
      </c>
      <c r="AC32" t="e">
        <f>AND('Planilla_General_07-12-2012_8_3'!H469,"AAAAAD7tWhw=")</f>
        <v>#VALUE!</v>
      </c>
      <c r="AD32" t="e">
        <f>AND('Planilla_General_07-12-2012_8_3'!I469,"AAAAAD7tWh0=")</f>
        <v>#VALUE!</v>
      </c>
      <c r="AE32" t="e">
        <f>AND('Planilla_General_07-12-2012_8_3'!J469,"AAAAAD7tWh4=")</f>
        <v>#VALUE!</v>
      </c>
      <c r="AF32" t="e">
        <f>AND('Planilla_General_07-12-2012_8_3'!K469,"AAAAAD7tWh8=")</f>
        <v>#VALUE!</v>
      </c>
      <c r="AG32" t="e">
        <f>AND('Planilla_General_07-12-2012_8_3'!L469,"AAAAAD7tWiA=")</f>
        <v>#VALUE!</v>
      </c>
      <c r="AH32" t="e">
        <f>AND('Planilla_General_07-12-2012_8_3'!M469,"AAAAAD7tWiE=")</f>
        <v>#VALUE!</v>
      </c>
      <c r="AI32" t="e">
        <f>AND('Planilla_General_07-12-2012_8_3'!N469,"AAAAAD7tWiI=")</f>
        <v>#VALUE!</v>
      </c>
      <c r="AJ32" t="e">
        <f>AND('Planilla_General_07-12-2012_8_3'!O469,"AAAAAD7tWiM=")</f>
        <v>#VALUE!</v>
      </c>
      <c r="AK32" t="e">
        <f>AND('Planilla_General_07-12-2012_8_3'!P469,"AAAAAD7tWiQ=")</f>
        <v>#VALUE!</v>
      </c>
      <c r="AL32">
        <f>IF('Planilla_General_07-12-2012_8_3'!470:470,"AAAAAD7tWiU=",0)</f>
        <v>0</v>
      </c>
      <c r="AM32" t="e">
        <f>AND('Planilla_General_07-12-2012_8_3'!A470,"AAAAAD7tWiY=")</f>
        <v>#VALUE!</v>
      </c>
      <c r="AN32" t="e">
        <f>AND('Planilla_General_07-12-2012_8_3'!B470,"AAAAAD7tWic=")</f>
        <v>#VALUE!</v>
      </c>
      <c r="AO32" t="e">
        <f>AND('Planilla_General_07-12-2012_8_3'!C470,"AAAAAD7tWig=")</f>
        <v>#VALUE!</v>
      </c>
      <c r="AP32" t="e">
        <f>AND('Planilla_General_07-12-2012_8_3'!D470,"AAAAAD7tWik=")</f>
        <v>#VALUE!</v>
      </c>
      <c r="AQ32" t="e">
        <f>AND('Planilla_General_07-12-2012_8_3'!E470,"AAAAAD7tWio=")</f>
        <v>#VALUE!</v>
      </c>
      <c r="AR32" t="e">
        <f>AND('Planilla_General_07-12-2012_8_3'!F470,"AAAAAD7tWis=")</f>
        <v>#VALUE!</v>
      </c>
      <c r="AS32" t="e">
        <f>AND('Planilla_General_07-12-2012_8_3'!G470,"AAAAAD7tWiw=")</f>
        <v>#VALUE!</v>
      </c>
      <c r="AT32" t="e">
        <f>AND('Planilla_General_07-12-2012_8_3'!H470,"AAAAAD7tWi0=")</f>
        <v>#VALUE!</v>
      </c>
      <c r="AU32" t="e">
        <f>AND('Planilla_General_07-12-2012_8_3'!I470,"AAAAAD7tWi4=")</f>
        <v>#VALUE!</v>
      </c>
      <c r="AV32" t="e">
        <f>AND('Planilla_General_07-12-2012_8_3'!J470,"AAAAAD7tWi8=")</f>
        <v>#VALUE!</v>
      </c>
      <c r="AW32" t="e">
        <f>AND('Planilla_General_07-12-2012_8_3'!K470,"AAAAAD7tWjA=")</f>
        <v>#VALUE!</v>
      </c>
      <c r="AX32" t="e">
        <f>AND('Planilla_General_07-12-2012_8_3'!L470,"AAAAAD7tWjE=")</f>
        <v>#VALUE!</v>
      </c>
      <c r="AY32" t="e">
        <f>AND('Planilla_General_07-12-2012_8_3'!M470,"AAAAAD7tWjI=")</f>
        <v>#VALUE!</v>
      </c>
      <c r="AZ32" t="e">
        <f>AND('Planilla_General_07-12-2012_8_3'!N470,"AAAAAD7tWjM=")</f>
        <v>#VALUE!</v>
      </c>
      <c r="BA32" t="e">
        <f>AND('Planilla_General_07-12-2012_8_3'!O470,"AAAAAD7tWjQ=")</f>
        <v>#VALUE!</v>
      </c>
      <c r="BB32" t="e">
        <f>AND('Planilla_General_07-12-2012_8_3'!P470,"AAAAAD7tWjU=")</f>
        <v>#VALUE!</v>
      </c>
      <c r="BC32">
        <f>IF('Planilla_General_07-12-2012_8_3'!471:471,"AAAAAD7tWjY=",0)</f>
        <v>0</v>
      </c>
      <c r="BD32" t="e">
        <f>AND('Planilla_General_07-12-2012_8_3'!A471,"AAAAAD7tWjc=")</f>
        <v>#VALUE!</v>
      </c>
      <c r="BE32" t="e">
        <f>AND('Planilla_General_07-12-2012_8_3'!B471,"AAAAAD7tWjg=")</f>
        <v>#VALUE!</v>
      </c>
      <c r="BF32" t="e">
        <f>AND('Planilla_General_07-12-2012_8_3'!C471,"AAAAAD7tWjk=")</f>
        <v>#VALUE!</v>
      </c>
      <c r="BG32" t="e">
        <f>AND('Planilla_General_07-12-2012_8_3'!D471,"AAAAAD7tWjo=")</f>
        <v>#VALUE!</v>
      </c>
      <c r="BH32" t="e">
        <f>AND('Planilla_General_07-12-2012_8_3'!E471,"AAAAAD7tWjs=")</f>
        <v>#VALUE!</v>
      </c>
      <c r="BI32" t="e">
        <f>AND('Planilla_General_07-12-2012_8_3'!F471,"AAAAAD7tWjw=")</f>
        <v>#VALUE!</v>
      </c>
      <c r="BJ32" t="e">
        <f>AND('Planilla_General_07-12-2012_8_3'!G471,"AAAAAD7tWj0=")</f>
        <v>#VALUE!</v>
      </c>
      <c r="BK32" t="e">
        <f>AND('Planilla_General_07-12-2012_8_3'!H471,"AAAAAD7tWj4=")</f>
        <v>#VALUE!</v>
      </c>
      <c r="BL32" t="e">
        <f>AND('Planilla_General_07-12-2012_8_3'!I471,"AAAAAD7tWj8=")</f>
        <v>#VALUE!</v>
      </c>
      <c r="BM32" t="e">
        <f>AND('Planilla_General_07-12-2012_8_3'!J471,"AAAAAD7tWkA=")</f>
        <v>#VALUE!</v>
      </c>
      <c r="BN32" t="e">
        <f>AND('Planilla_General_07-12-2012_8_3'!K471,"AAAAAD7tWkE=")</f>
        <v>#VALUE!</v>
      </c>
      <c r="BO32" t="e">
        <f>AND('Planilla_General_07-12-2012_8_3'!L471,"AAAAAD7tWkI=")</f>
        <v>#VALUE!</v>
      </c>
      <c r="BP32" t="e">
        <f>AND('Planilla_General_07-12-2012_8_3'!M471,"AAAAAD7tWkM=")</f>
        <v>#VALUE!</v>
      </c>
      <c r="BQ32" t="e">
        <f>AND('Planilla_General_07-12-2012_8_3'!N471,"AAAAAD7tWkQ=")</f>
        <v>#VALUE!</v>
      </c>
      <c r="BR32" t="e">
        <f>AND('Planilla_General_07-12-2012_8_3'!O471,"AAAAAD7tWkU=")</f>
        <v>#VALUE!</v>
      </c>
      <c r="BS32" t="e">
        <f>AND('Planilla_General_07-12-2012_8_3'!P471,"AAAAAD7tWkY=")</f>
        <v>#VALUE!</v>
      </c>
      <c r="BT32">
        <f>IF('Planilla_General_07-12-2012_8_3'!472:472,"AAAAAD7tWkc=",0)</f>
        <v>0</v>
      </c>
      <c r="BU32" t="e">
        <f>AND('Planilla_General_07-12-2012_8_3'!A472,"AAAAAD7tWkg=")</f>
        <v>#VALUE!</v>
      </c>
      <c r="BV32" t="e">
        <f>AND('Planilla_General_07-12-2012_8_3'!B472,"AAAAAD7tWkk=")</f>
        <v>#VALUE!</v>
      </c>
      <c r="BW32" t="e">
        <f>AND('Planilla_General_07-12-2012_8_3'!C472,"AAAAAD7tWko=")</f>
        <v>#VALUE!</v>
      </c>
      <c r="BX32" t="e">
        <f>AND('Planilla_General_07-12-2012_8_3'!D472,"AAAAAD7tWks=")</f>
        <v>#VALUE!</v>
      </c>
      <c r="BY32" t="e">
        <f>AND('Planilla_General_07-12-2012_8_3'!E472,"AAAAAD7tWkw=")</f>
        <v>#VALUE!</v>
      </c>
      <c r="BZ32" t="e">
        <f>AND('Planilla_General_07-12-2012_8_3'!F472,"AAAAAD7tWk0=")</f>
        <v>#VALUE!</v>
      </c>
      <c r="CA32" t="e">
        <f>AND('Planilla_General_07-12-2012_8_3'!G472,"AAAAAD7tWk4=")</f>
        <v>#VALUE!</v>
      </c>
      <c r="CB32" t="e">
        <f>AND('Planilla_General_07-12-2012_8_3'!H472,"AAAAAD7tWk8=")</f>
        <v>#VALUE!</v>
      </c>
      <c r="CC32" t="e">
        <f>AND('Planilla_General_07-12-2012_8_3'!I472,"AAAAAD7tWlA=")</f>
        <v>#VALUE!</v>
      </c>
      <c r="CD32" t="e">
        <f>AND('Planilla_General_07-12-2012_8_3'!J472,"AAAAAD7tWlE=")</f>
        <v>#VALUE!</v>
      </c>
      <c r="CE32" t="e">
        <f>AND('Planilla_General_07-12-2012_8_3'!K472,"AAAAAD7tWlI=")</f>
        <v>#VALUE!</v>
      </c>
      <c r="CF32" t="e">
        <f>AND('Planilla_General_07-12-2012_8_3'!L472,"AAAAAD7tWlM=")</f>
        <v>#VALUE!</v>
      </c>
      <c r="CG32" t="e">
        <f>AND('Planilla_General_07-12-2012_8_3'!M472,"AAAAAD7tWlQ=")</f>
        <v>#VALUE!</v>
      </c>
      <c r="CH32" t="e">
        <f>AND('Planilla_General_07-12-2012_8_3'!N472,"AAAAAD7tWlU=")</f>
        <v>#VALUE!</v>
      </c>
      <c r="CI32" t="e">
        <f>AND('Planilla_General_07-12-2012_8_3'!O472,"AAAAAD7tWlY=")</f>
        <v>#VALUE!</v>
      </c>
      <c r="CJ32" t="e">
        <f>AND('Planilla_General_07-12-2012_8_3'!P472,"AAAAAD7tWlc=")</f>
        <v>#VALUE!</v>
      </c>
      <c r="CK32">
        <f>IF('Planilla_General_07-12-2012_8_3'!473:473,"AAAAAD7tWlg=",0)</f>
        <v>0</v>
      </c>
      <c r="CL32" t="e">
        <f>AND('Planilla_General_07-12-2012_8_3'!A473,"AAAAAD7tWlk=")</f>
        <v>#VALUE!</v>
      </c>
      <c r="CM32" t="e">
        <f>AND('Planilla_General_07-12-2012_8_3'!B473,"AAAAAD7tWlo=")</f>
        <v>#VALUE!</v>
      </c>
      <c r="CN32" t="e">
        <f>AND('Planilla_General_07-12-2012_8_3'!C473,"AAAAAD7tWls=")</f>
        <v>#VALUE!</v>
      </c>
      <c r="CO32" t="e">
        <f>AND('Planilla_General_07-12-2012_8_3'!D473,"AAAAAD7tWlw=")</f>
        <v>#VALUE!</v>
      </c>
      <c r="CP32" t="e">
        <f>AND('Planilla_General_07-12-2012_8_3'!E473,"AAAAAD7tWl0=")</f>
        <v>#VALUE!</v>
      </c>
      <c r="CQ32" t="e">
        <f>AND('Planilla_General_07-12-2012_8_3'!F473,"AAAAAD7tWl4=")</f>
        <v>#VALUE!</v>
      </c>
      <c r="CR32" t="e">
        <f>AND('Planilla_General_07-12-2012_8_3'!G473,"AAAAAD7tWl8=")</f>
        <v>#VALUE!</v>
      </c>
      <c r="CS32" t="e">
        <f>AND('Planilla_General_07-12-2012_8_3'!H473,"AAAAAD7tWmA=")</f>
        <v>#VALUE!</v>
      </c>
      <c r="CT32" t="e">
        <f>AND('Planilla_General_07-12-2012_8_3'!I473,"AAAAAD7tWmE=")</f>
        <v>#VALUE!</v>
      </c>
      <c r="CU32" t="e">
        <f>AND('Planilla_General_07-12-2012_8_3'!J473,"AAAAAD7tWmI=")</f>
        <v>#VALUE!</v>
      </c>
      <c r="CV32" t="e">
        <f>AND('Planilla_General_07-12-2012_8_3'!K473,"AAAAAD7tWmM=")</f>
        <v>#VALUE!</v>
      </c>
      <c r="CW32" t="e">
        <f>AND('Planilla_General_07-12-2012_8_3'!L473,"AAAAAD7tWmQ=")</f>
        <v>#VALUE!</v>
      </c>
      <c r="CX32" t="e">
        <f>AND('Planilla_General_07-12-2012_8_3'!M473,"AAAAAD7tWmU=")</f>
        <v>#VALUE!</v>
      </c>
      <c r="CY32" t="e">
        <f>AND('Planilla_General_07-12-2012_8_3'!N473,"AAAAAD7tWmY=")</f>
        <v>#VALUE!</v>
      </c>
      <c r="CZ32" t="e">
        <f>AND('Planilla_General_07-12-2012_8_3'!O473,"AAAAAD7tWmc=")</f>
        <v>#VALUE!</v>
      </c>
      <c r="DA32" t="e">
        <f>AND('Planilla_General_07-12-2012_8_3'!P473,"AAAAAD7tWmg=")</f>
        <v>#VALUE!</v>
      </c>
      <c r="DB32">
        <f>IF('Planilla_General_07-12-2012_8_3'!474:474,"AAAAAD7tWmk=",0)</f>
        <v>0</v>
      </c>
      <c r="DC32" t="e">
        <f>AND('Planilla_General_07-12-2012_8_3'!A474,"AAAAAD7tWmo=")</f>
        <v>#VALUE!</v>
      </c>
      <c r="DD32" t="e">
        <f>AND('Planilla_General_07-12-2012_8_3'!B474,"AAAAAD7tWms=")</f>
        <v>#VALUE!</v>
      </c>
      <c r="DE32" t="e">
        <f>AND('Planilla_General_07-12-2012_8_3'!C474,"AAAAAD7tWmw=")</f>
        <v>#VALUE!</v>
      </c>
      <c r="DF32" t="e">
        <f>AND('Planilla_General_07-12-2012_8_3'!D474,"AAAAAD7tWm0=")</f>
        <v>#VALUE!</v>
      </c>
      <c r="DG32" t="e">
        <f>AND('Planilla_General_07-12-2012_8_3'!E474,"AAAAAD7tWm4=")</f>
        <v>#VALUE!</v>
      </c>
      <c r="DH32" t="e">
        <f>AND('Planilla_General_07-12-2012_8_3'!F474,"AAAAAD7tWm8=")</f>
        <v>#VALUE!</v>
      </c>
      <c r="DI32" t="e">
        <f>AND('Planilla_General_07-12-2012_8_3'!G474,"AAAAAD7tWnA=")</f>
        <v>#VALUE!</v>
      </c>
      <c r="DJ32" t="e">
        <f>AND('Planilla_General_07-12-2012_8_3'!H474,"AAAAAD7tWnE=")</f>
        <v>#VALUE!</v>
      </c>
      <c r="DK32" t="e">
        <f>AND('Planilla_General_07-12-2012_8_3'!I474,"AAAAAD7tWnI=")</f>
        <v>#VALUE!</v>
      </c>
      <c r="DL32" t="e">
        <f>AND('Planilla_General_07-12-2012_8_3'!J474,"AAAAAD7tWnM=")</f>
        <v>#VALUE!</v>
      </c>
      <c r="DM32" t="e">
        <f>AND('Planilla_General_07-12-2012_8_3'!K474,"AAAAAD7tWnQ=")</f>
        <v>#VALUE!</v>
      </c>
      <c r="DN32" t="e">
        <f>AND('Planilla_General_07-12-2012_8_3'!L474,"AAAAAD7tWnU=")</f>
        <v>#VALUE!</v>
      </c>
      <c r="DO32" t="e">
        <f>AND('Planilla_General_07-12-2012_8_3'!M474,"AAAAAD7tWnY=")</f>
        <v>#VALUE!</v>
      </c>
      <c r="DP32" t="e">
        <f>AND('Planilla_General_07-12-2012_8_3'!N474,"AAAAAD7tWnc=")</f>
        <v>#VALUE!</v>
      </c>
      <c r="DQ32" t="e">
        <f>AND('Planilla_General_07-12-2012_8_3'!O474,"AAAAAD7tWng=")</f>
        <v>#VALUE!</v>
      </c>
      <c r="DR32" t="e">
        <f>AND('Planilla_General_07-12-2012_8_3'!P474,"AAAAAD7tWnk=")</f>
        <v>#VALUE!</v>
      </c>
      <c r="DS32">
        <f>IF('Planilla_General_07-12-2012_8_3'!475:475,"AAAAAD7tWno=",0)</f>
        <v>0</v>
      </c>
      <c r="DT32" t="e">
        <f>AND('Planilla_General_07-12-2012_8_3'!A475,"AAAAAD7tWns=")</f>
        <v>#VALUE!</v>
      </c>
      <c r="DU32" t="e">
        <f>AND('Planilla_General_07-12-2012_8_3'!B475,"AAAAAD7tWnw=")</f>
        <v>#VALUE!</v>
      </c>
      <c r="DV32" t="e">
        <f>AND('Planilla_General_07-12-2012_8_3'!C475,"AAAAAD7tWn0=")</f>
        <v>#VALUE!</v>
      </c>
      <c r="DW32" t="e">
        <f>AND('Planilla_General_07-12-2012_8_3'!D475,"AAAAAD7tWn4=")</f>
        <v>#VALUE!</v>
      </c>
      <c r="DX32" t="e">
        <f>AND('Planilla_General_07-12-2012_8_3'!E475,"AAAAAD7tWn8=")</f>
        <v>#VALUE!</v>
      </c>
      <c r="DY32" t="e">
        <f>AND('Planilla_General_07-12-2012_8_3'!F475,"AAAAAD7tWoA=")</f>
        <v>#VALUE!</v>
      </c>
      <c r="DZ32" t="e">
        <f>AND('Planilla_General_07-12-2012_8_3'!G475,"AAAAAD7tWoE=")</f>
        <v>#VALUE!</v>
      </c>
      <c r="EA32" t="e">
        <f>AND('Planilla_General_07-12-2012_8_3'!H475,"AAAAAD7tWoI=")</f>
        <v>#VALUE!</v>
      </c>
      <c r="EB32" t="e">
        <f>AND('Planilla_General_07-12-2012_8_3'!I475,"AAAAAD7tWoM=")</f>
        <v>#VALUE!</v>
      </c>
      <c r="EC32" t="e">
        <f>AND('Planilla_General_07-12-2012_8_3'!J475,"AAAAAD7tWoQ=")</f>
        <v>#VALUE!</v>
      </c>
      <c r="ED32" t="e">
        <f>AND('Planilla_General_07-12-2012_8_3'!K475,"AAAAAD7tWoU=")</f>
        <v>#VALUE!</v>
      </c>
      <c r="EE32" t="e">
        <f>AND('Planilla_General_07-12-2012_8_3'!L475,"AAAAAD7tWoY=")</f>
        <v>#VALUE!</v>
      </c>
      <c r="EF32" t="e">
        <f>AND('Planilla_General_07-12-2012_8_3'!M475,"AAAAAD7tWoc=")</f>
        <v>#VALUE!</v>
      </c>
      <c r="EG32" t="e">
        <f>AND('Planilla_General_07-12-2012_8_3'!N475,"AAAAAD7tWog=")</f>
        <v>#VALUE!</v>
      </c>
      <c r="EH32" t="e">
        <f>AND('Planilla_General_07-12-2012_8_3'!O475,"AAAAAD7tWok=")</f>
        <v>#VALUE!</v>
      </c>
      <c r="EI32" t="e">
        <f>AND('Planilla_General_07-12-2012_8_3'!P475,"AAAAAD7tWoo=")</f>
        <v>#VALUE!</v>
      </c>
      <c r="EJ32">
        <f>IF('Planilla_General_07-12-2012_8_3'!476:476,"AAAAAD7tWos=",0)</f>
        <v>0</v>
      </c>
      <c r="EK32" t="e">
        <f>AND('Planilla_General_07-12-2012_8_3'!A476,"AAAAAD7tWow=")</f>
        <v>#VALUE!</v>
      </c>
      <c r="EL32" t="e">
        <f>AND('Planilla_General_07-12-2012_8_3'!B476,"AAAAAD7tWo0=")</f>
        <v>#VALUE!</v>
      </c>
      <c r="EM32" t="e">
        <f>AND('Planilla_General_07-12-2012_8_3'!C476,"AAAAAD7tWo4=")</f>
        <v>#VALUE!</v>
      </c>
      <c r="EN32" t="e">
        <f>AND('Planilla_General_07-12-2012_8_3'!D476,"AAAAAD7tWo8=")</f>
        <v>#VALUE!</v>
      </c>
      <c r="EO32" t="e">
        <f>AND('Planilla_General_07-12-2012_8_3'!E476,"AAAAAD7tWpA=")</f>
        <v>#VALUE!</v>
      </c>
      <c r="EP32" t="e">
        <f>AND('Planilla_General_07-12-2012_8_3'!F476,"AAAAAD7tWpE=")</f>
        <v>#VALUE!</v>
      </c>
      <c r="EQ32" t="e">
        <f>AND('Planilla_General_07-12-2012_8_3'!G476,"AAAAAD7tWpI=")</f>
        <v>#VALUE!</v>
      </c>
      <c r="ER32" t="e">
        <f>AND('Planilla_General_07-12-2012_8_3'!H476,"AAAAAD7tWpM=")</f>
        <v>#VALUE!</v>
      </c>
      <c r="ES32" t="e">
        <f>AND('Planilla_General_07-12-2012_8_3'!I476,"AAAAAD7tWpQ=")</f>
        <v>#VALUE!</v>
      </c>
      <c r="ET32" t="e">
        <f>AND('Planilla_General_07-12-2012_8_3'!J476,"AAAAAD7tWpU=")</f>
        <v>#VALUE!</v>
      </c>
      <c r="EU32" t="e">
        <f>AND('Planilla_General_07-12-2012_8_3'!K476,"AAAAAD7tWpY=")</f>
        <v>#VALUE!</v>
      </c>
      <c r="EV32" t="e">
        <f>AND('Planilla_General_07-12-2012_8_3'!L476,"AAAAAD7tWpc=")</f>
        <v>#VALUE!</v>
      </c>
      <c r="EW32" t="e">
        <f>AND('Planilla_General_07-12-2012_8_3'!M476,"AAAAAD7tWpg=")</f>
        <v>#VALUE!</v>
      </c>
      <c r="EX32" t="e">
        <f>AND('Planilla_General_07-12-2012_8_3'!N476,"AAAAAD7tWpk=")</f>
        <v>#VALUE!</v>
      </c>
      <c r="EY32" t="e">
        <f>AND('Planilla_General_07-12-2012_8_3'!O476,"AAAAAD7tWpo=")</f>
        <v>#VALUE!</v>
      </c>
      <c r="EZ32" t="e">
        <f>AND('Planilla_General_07-12-2012_8_3'!P476,"AAAAAD7tWps=")</f>
        <v>#VALUE!</v>
      </c>
      <c r="FA32">
        <f>IF('Planilla_General_07-12-2012_8_3'!477:477,"AAAAAD7tWpw=",0)</f>
        <v>0</v>
      </c>
      <c r="FB32" t="e">
        <f>AND('Planilla_General_07-12-2012_8_3'!A477,"AAAAAD7tWp0=")</f>
        <v>#VALUE!</v>
      </c>
      <c r="FC32" t="e">
        <f>AND('Planilla_General_07-12-2012_8_3'!B477,"AAAAAD7tWp4=")</f>
        <v>#VALUE!</v>
      </c>
      <c r="FD32" t="e">
        <f>AND('Planilla_General_07-12-2012_8_3'!C477,"AAAAAD7tWp8=")</f>
        <v>#VALUE!</v>
      </c>
      <c r="FE32" t="e">
        <f>AND('Planilla_General_07-12-2012_8_3'!D477,"AAAAAD7tWqA=")</f>
        <v>#VALUE!</v>
      </c>
      <c r="FF32" t="e">
        <f>AND('Planilla_General_07-12-2012_8_3'!E477,"AAAAAD7tWqE=")</f>
        <v>#VALUE!</v>
      </c>
      <c r="FG32" t="e">
        <f>AND('Planilla_General_07-12-2012_8_3'!F477,"AAAAAD7tWqI=")</f>
        <v>#VALUE!</v>
      </c>
      <c r="FH32" t="e">
        <f>AND('Planilla_General_07-12-2012_8_3'!G477,"AAAAAD7tWqM=")</f>
        <v>#VALUE!</v>
      </c>
      <c r="FI32" t="e">
        <f>AND('Planilla_General_07-12-2012_8_3'!H477,"AAAAAD7tWqQ=")</f>
        <v>#VALUE!</v>
      </c>
      <c r="FJ32" t="e">
        <f>AND('Planilla_General_07-12-2012_8_3'!I477,"AAAAAD7tWqU=")</f>
        <v>#VALUE!</v>
      </c>
      <c r="FK32" t="e">
        <f>AND('Planilla_General_07-12-2012_8_3'!J477,"AAAAAD7tWqY=")</f>
        <v>#VALUE!</v>
      </c>
      <c r="FL32" t="e">
        <f>AND('Planilla_General_07-12-2012_8_3'!K477,"AAAAAD7tWqc=")</f>
        <v>#VALUE!</v>
      </c>
      <c r="FM32" t="e">
        <f>AND('Planilla_General_07-12-2012_8_3'!L477,"AAAAAD7tWqg=")</f>
        <v>#VALUE!</v>
      </c>
      <c r="FN32" t="e">
        <f>AND('Planilla_General_07-12-2012_8_3'!M477,"AAAAAD7tWqk=")</f>
        <v>#VALUE!</v>
      </c>
      <c r="FO32" t="e">
        <f>AND('Planilla_General_07-12-2012_8_3'!N477,"AAAAAD7tWqo=")</f>
        <v>#VALUE!</v>
      </c>
      <c r="FP32" t="e">
        <f>AND('Planilla_General_07-12-2012_8_3'!O477,"AAAAAD7tWqs=")</f>
        <v>#VALUE!</v>
      </c>
      <c r="FQ32" t="e">
        <f>AND('Planilla_General_07-12-2012_8_3'!P477,"AAAAAD7tWqw=")</f>
        <v>#VALUE!</v>
      </c>
      <c r="FR32">
        <f>IF('Planilla_General_07-12-2012_8_3'!478:478,"AAAAAD7tWq0=",0)</f>
        <v>0</v>
      </c>
      <c r="FS32" t="e">
        <f>AND('Planilla_General_07-12-2012_8_3'!A478,"AAAAAD7tWq4=")</f>
        <v>#VALUE!</v>
      </c>
      <c r="FT32" t="e">
        <f>AND('Planilla_General_07-12-2012_8_3'!B478,"AAAAAD7tWq8=")</f>
        <v>#VALUE!</v>
      </c>
      <c r="FU32" t="e">
        <f>AND('Planilla_General_07-12-2012_8_3'!C478,"AAAAAD7tWrA=")</f>
        <v>#VALUE!</v>
      </c>
      <c r="FV32" t="e">
        <f>AND('Planilla_General_07-12-2012_8_3'!D478,"AAAAAD7tWrE=")</f>
        <v>#VALUE!</v>
      </c>
      <c r="FW32" t="e">
        <f>AND('Planilla_General_07-12-2012_8_3'!E478,"AAAAAD7tWrI=")</f>
        <v>#VALUE!</v>
      </c>
      <c r="FX32" t="e">
        <f>AND('Planilla_General_07-12-2012_8_3'!F478,"AAAAAD7tWrM=")</f>
        <v>#VALUE!</v>
      </c>
      <c r="FY32" t="e">
        <f>AND('Planilla_General_07-12-2012_8_3'!G478,"AAAAAD7tWrQ=")</f>
        <v>#VALUE!</v>
      </c>
      <c r="FZ32" t="e">
        <f>AND('Planilla_General_07-12-2012_8_3'!H478,"AAAAAD7tWrU=")</f>
        <v>#VALUE!</v>
      </c>
      <c r="GA32" t="e">
        <f>AND('Planilla_General_07-12-2012_8_3'!I478,"AAAAAD7tWrY=")</f>
        <v>#VALUE!</v>
      </c>
      <c r="GB32" t="e">
        <f>AND('Planilla_General_07-12-2012_8_3'!J478,"AAAAAD7tWrc=")</f>
        <v>#VALUE!</v>
      </c>
      <c r="GC32" t="e">
        <f>AND('Planilla_General_07-12-2012_8_3'!K478,"AAAAAD7tWrg=")</f>
        <v>#VALUE!</v>
      </c>
      <c r="GD32" t="e">
        <f>AND('Planilla_General_07-12-2012_8_3'!L478,"AAAAAD7tWrk=")</f>
        <v>#VALUE!</v>
      </c>
      <c r="GE32" t="e">
        <f>AND('Planilla_General_07-12-2012_8_3'!M478,"AAAAAD7tWro=")</f>
        <v>#VALUE!</v>
      </c>
      <c r="GF32" t="e">
        <f>AND('Planilla_General_07-12-2012_8_3'!N478,"AAAAAD7tWrs=")</f>
        <v>#VALUE!</v>
      </c>
      <c r="GG32" t="e">
        <f>AND('Planilla_General_07-12-2012_8_3'!O478,"AAAAAD7tWrw=")</f>
        <v>#VALUE!</v>
      </c>
      <c r="GH32" t="e">
        <f>AND('Planilla_General_07-12-2012_8_3'!P478,"AAAAAD7tWr0=")</f>
        <v>#VALUE!</v>
      </c>
      <c r="GI32">
        <f>IF('Planilla_General_07-12-2012_8_3'!479:479,"AAAAAD7tWr4=",0)</f>
        <v>0</v>
      </c>
      <c r="GJ32" t="e">
        <f>AND('Planilla_General_07-12-2012_8_3'!A479,"AAAAAD7tWr8=")</f>
        <v>#VALUE!</v>
      </c>
      <c r="GK32" t="e">
        <f>AND('Planilla_General_07-12-2012_8_3'!B479,"AAAAAD7tWsA=")</f>
        <v>#VALUE!</v>
      </c>
      <c r="GL32" t="e">
        <f>AND('Planilla_General_07-12-2012_8_3'!C479,"AAAAAD7tWsE=")</f>
        <v>#VALUE!</v>
      </c>
      <c r="GM32" t="e">
        <f>AND('Planilla_General_07-12-2012_8_3'!D479,"AAAAAD7tWsI=")</f>
        <v>#VALUE!</v>
      </c>
      <c r="GN32" t="e">
        <f>AND('Planilla_General_07-12-2012_8_3'!E479,"AAAAAD7tWsM=")</f>
        <v>#VALUE!</v>
      </c>
      <c r="GO32" t="e">
        <f>AND('Planilla_General_07-12-2012_8_3'!F479,"AAAAAD7tWsQ=")</f>
        <v>#VALUE!</v>
      </c>
      <c r="GP32" t="e">
        <f>AND('Planilla_General_07-12-2012_8_3'!G479,"AAAAAD7tWsU=")</f>
        <v>#VALUE!</v>
      </c>
      <c r="GQ32" t="e">
        <f>AND('Planilla_General_07-12-2012_8_3'!H479,"AAAAAD7tWsY=")</f>
        <v>#VALUE!</v>
      </c>
      <c r="GR32" t="e">
        <f>AND('Planilla_General_07-12-2012_8_3'!I479,"AAAAAD7tWsc=")</f>
        <v>#VALUE!</v>
      </c>
      <c r="GS32" t="e">
        <f>AND('Planilla_General_07-12-2012_8_3'!J479,"AAAAAD7tWsg=")</f>
        <v>#VALUE!</v>
      </c>
      <c r="GT32" t="e">
        <f>AND('Planilla_General_07-12-2012_8_3'!K479,"AAAAAD7tWsk=")</f>
        <v>#VALUE!</v>
      </c>
      <c r="GU32" t="e">
        <f>AND('Planilla_General_07-12-2012_8_3'!L479,"AAAAAD7tWso=")</f>
        <v>#VALUE!</v>
      </c>
      <c r="GV32" t="e">
        <f>AND('Planilla_General_07-12-2012_8_3'!M479,"AAAAAD7tWss=")</f>
        <v>#VALUE!</v>
      </c>
      <c r="GW32" t="e">
        <f>AND('Planilla_General_07-12-2012_8_3'!N479,"AAAAAD7tWsw=")</f>
        <v>#VALUE!</v>
      </c>
      <c r="GX32" t="e">
        <f>AND('Planilla_General_07-12-2012_8_3'!O479,"AAAAAD7tWs0=")</f>
        <v>#VALUE!</v>
      </c>
      <c r="GY32" t="e">
        <f>AND('Planilla_General_07-12-2012_8_3'!P479,"AAAAAD7tWs4=")</f>
        <v>#VALUE!</v>
      </c>
      <c r="GZ32">
        <f>IF('Planilla_General_07-12-2012_8_3'!480:480,"AAAAAD7tWs8=",0)</f>
        <v>0</v>
      </c>
      <c r="HA32" t="e">
        <f>AND('Planilla_General_07-12-2012_8_3'!A480,"AAAAAD7tWtA=")</f>
        <v>#VALUE!</v>
      </c>
      <c r="HB32" t="e">
        <f>AND('Planilla_General_07-12-2012_8_3'!B480,"AAAAAD7tWtE=")</f>
        <v>#VALUE!</v>
      </c>
      <c r="HC32" t="e">
        <f>AND('Planilla_General_07-12-2012_8_3'!C480,"AAAAAD7tWtI=")</f>
        <v>#VALUE!</v>
      </c>
      <c r="HD32" t="e">
        <f>AND('Planilla_General_07-12-2012_8_3'!D480,"AAAAAD7tWtM=")</f>
        <v>#VALUE!</v>
      </c>
      <c r="HE32" t="e">
        <f>AND('Planilla_General_07-12-2012_8_3'!E480,"AAAAAD7tWtQ=")</f>
        <v>#VALUE!</v>
      </c>
      <c r="HF32" t="e">
        <f>AND('Planilla_General_07-12-2012_8_3'!F480,"AAAAAD7tWtU=")</f>
        <v>#VALUE!</v>
      </c>
      <c r="HG32" t="e">
        <f>AND('Planilla_General_07-12-2012_8_3'!G480,"AAAAAD7tWtY=")</f>
        <v>#VALUE!</v>
      </c>
      <c r="HH32" t="e">
        <f>AND('Planilla_General_07-12-2012_8_3'!H480,"AAAAAD7tWtc=")</f>
        <v>#VALUE!</v>
      </c>
      <c r="HI32" t="e">
        <f>AND('Planilla_General_07-12-2012_8_3'!I480,"AAAAAD7tWtg=")</f>
        <v>#VALUE!</v>
      </c>
      <c r="HJ32" t="e">
        <f>AND('Planilla_General_07-12-2012_8_3'!J480,"AAAAAD7tWtk=")</f>
        <v>#VALUE!</v>
      </c>
      <c r="HK32" t="e">
        <f>AND('Planilla_General_07-12-2012_8_3'!K480,"AAAAAD7tWto=")</f>
        <v>#VALUE!</v>
      </c>
      <c r="HL32" t="e">
        <f>AND('Planilla_General_07-12-2012_8_3'!L480,"AAAAAD7tWts=")</f>
        <v>#VALUE!</v>
      </c>
      <c r="HM32" t="e">
        <f>AND('Planilla_General_07-12-2012_8_3'!M480,"AAAAAD7tWtw=")</f>
        <v>#VALUE!</v>
      </c>
      <c r="HN32" t="e">
        <f>AND('Planilla_General_07-12-2012_8_3'!N480,"AAAAAD7tWt0=")</f>
        <v>#VALUE!</v>
      </c>
      <c r="HO32" t="e">
        <f>AND('Planilla_General_07-12-2012_8_3'!O480,"AAAAAD7tWt4=")</f>
        <v>#VALUE!</v>
      </c>
      <c r="HP32" t="e">
        <f>AND('Planilla_General_07-12-2012_8_3'!P480,"AAAAAD7tWt8=")</f>
        <v>#VALUE!</v>
      </c>
      <c r="HQ32">
        <f>IF('Planilla_General_07-12-2012_8_3'!481:481,"AAAAAD7tWuA=",0)</f>
        <v>0</v>
      </c>
      <c r="HR32" t="e">
        <f>AND('Planilla_General_07-12-2012_8_3'!A481,"AAAAAD7tWuE=")</f>
        <v>#VALUE!</v>
      </c>
      <c r="HS32" t="e">
        <f>AND('Planilla_General_07-12-2012_8_3'!B481,"AAAAAD7tWuI=")</f>
        <v>#VALUE!</v>
      </c>
      <c r="HT32" t="e">
        <f>AND('Planilla_General_07-12-2012_8_3'!C481,"AAAAAD7tWuM=")</f>
        <v>#VALUE!</v>
      </c>
      <c r="HU32" t="e">
        <f>AND('Planilla_General_07-12-2012_8_3'!D481,"AAAAAD7tWuQ=")</f>
        <v>#VALUE!</v>
      </c>
      <c r="HV32" t="e">
        <f>AND('Planilla_General_07-12-2012_8_3'!E481,"AAAAAD7tWuU=")</f>
        <v>#VALUE!</v>
      </c>
      <c r="HW32" t="e">
        <f>AND('Planilla_General_07-12-2012_8_3'!F481,"AAAAAD7tWuY=")</f>
        <v>#VALUE!</v>
      </c>
      <c r="HX32" t="e">
        <f>AND('Planilla_General_07-12-2012_8_3'!G481,"AAAAAD7tWuc=")</f>
        <v>#VALUE!</v>
      </c>
      <c r="HY32" t="e">
        <f>AND('Planilla_General_07-12-2012_8_3'!H481,"AAAAAD7tWug=")</f>
        <v>#VALUE!</v>
      </c>
      <c r="HZ32" t="e">
        <f>AND('Planilla_General_07-12-2012_8_3'!I481,"AAAAAD7tWuk=")</f>
        <v>#VALUE!</v>
      </c>
      <c r="IA32" t="e">
        <f>AND('Planilla_General_07-12-2012_8_3'!J481,"AAAAAD7tWuo=")</f>
        <v>#VALUE!</v>
      </c>
      <c r="IB32" t="e">
        <f>AND('Planilla_General_07-12-2012_8_3'!K481,"AAAAAD7tWus=")</f>
        <v>#VALUE!</v>
      </c>
      <c r="IC32" t="e">
        <f>AND('Planilla_General_07-12-2012_8_3'!L481,"AAAAAD7tWuw=")</f>
        <v>#VALUE!</v>
      </c>
      <c r="ID32" t="e">
        <f>AND('Planilla_General_07-12-2012_8_3'!M481,"AAAAAD7tWu0=")</f>
        <v>#VALUE!</v>
      </c>
      <c r="IE32" t="e">
        <f>AND('Planilla_General_07-12-2012_8_3'!N481,"AAAAAD7tWu4=")</f>
        <v>#VALUE!</v>
      </c>
      <c r="IF32" t="e">
        <f>AND('Planilla_General_07-12-2012_8_3'!O481,"AAAAAD7tWu8=")</f>
        <v>#VALUE!</v>
      </c>
      <c r="IG32" t="e">
        <f>AND('Planilla_General_07-12-2012_8_3'!P481,"AAAAAD7tWvA=")</f>
        <v>#VALUE!</v>
      </c>
      <c r="IH32">
        <f>IF('Planilla_General_07-12-2012_8_3'!482:482,"AAAAAD7tWvE=",0)</f>
        <v>0</v>
      </c>
      <c r="II32" t="e">
        <f>AND('Planilla_General_07-12-2012_8_3'!A482,"AAAAAD7tWvI=")</f>
        <v>#VALUE!</v>
      </c>
      <c r="IJ32" t="e">
        <f>AND('Planilla_General_07-12-2012_8_3'!B482,"AAAAAD7tWvM=")</f>
        <v>#VALUE!</v>
      </c>
      <c r="IK32" t="e">
        <f>AND('Planilla_General_07-12-2012_8_3'!C482,"AAAAAD7tWvQ=")</f>
        <v>#VALUE!</v>
      </c>
      <c r="IL32" t="e">
        <f>AND('Planilla_General_07-12-2012_8_3'!D482,"AAAAAD7tWvU=")</f>
        <v>#VALUE!</v>
      </c>
      <c r="IM32" t="e">
        <f>AND('Planilla_General_07-12-2012_8_3'!E482,"AAAAAD7tWvY=")</f>
        <v>#VALUE!</v>
      </c>
      <c r="IN32" t="e">
        <f>AND('Planilla_General_07-12-2012_8_3'!F482,"AAAAAD7tWvc=")</f>
        <v>#VALUE!</v>
      </c>
      <c r="IO32" t="e">
        <f>AND('Planilla_General_07-12-2012_8_3'!G482,"AAAAAD7tWvg=")</f>
        <v>#VALUE!</v>
      </c>
      <c r="IP32" t="e">
        <f>AND('Planilla_General_07-12-2012_8_3'!H482,"AAAAAD7tWvk=")</f>
        <v>#VALUE!</v>
      </c>
      <c r="IQ32" t="e">
        <f>AND('Planilla_General_07-12-2012_8_3'!I482,"AAAAAD7tWvo=")</f>
        <v>#VALUE!</v>
      </c>
      <c r="IR32" t="e">
        <f>AND('Planilla_General_07-12-2012_8_3'!J482,"AAAAAD7tWvs=")</f>
        <v>#VALUE!</v>
      </c>
      <c r="IS32" t="e">
        <f>AND('Planilla_General_07-12-2012_8_3'!K482,"AAAAAD7tWvw=")</f>
        <v>#VALUE!</v>
      </c>
      <c r="IT32" t="e">
        <f>AND('Planilla_General_07-12-2012_8_3'!L482,"AAAAAD7tWv0=")</f>
        <v>#VALUE!</v>
      </c>
      <c r="IU32" t="e">
        <f>AND('Planilla_General_07-12-2012_8_3'!M482,"AAAAAD7tWv4=")</f>
        <v>#VALUE!</v>
      </c>
      <c r="IV32" t="e">
        <f>AND('Planilla_General_07-12-2012_8_3'!N482,"AAAAAD7tWv8=")</f>
        <v>#VALUE!</v>
      </c>
    </row>
    <row r="33" spans="1:256" x14ac:dyDescent="0.25">
      <c r="A33" t="e">
        <f>AND('Planilla_General_07-12-2012_8_3'!O482,"AAAAAH9X3gA=")</f>
        <v>#VALUE!</v>
      </c>
      <c r="B33" t="e">
        <f>AND('Planilla_General_07-12-2012_8_3'!P482,"AAAAAH9X3gE=")</f>
        <v>#VALUE!</v>
      </c>
      <c r="C33" t="str">
        <f>IF('Planilla_General_07-12-2012_8_3'!483:483,"AAAAAH9X3gI=",0)</f>
        <v>AAAAAH9X3gI=</v>
      </c>
      <c r="D33" t="e">
        <f>AND('Planilla_General_07-12-2012_8_3'!A483,"AAAAAH9X3gM=")</f>
        <v>#VALUE!</v>
      </c>
      <c r="E33" t="e">
        <f>AND('Planilla_General_07-12-2012_8_3'!B483,"AAAAAH9X3gQ=")</f>
        <v>#VALUE!</v>
      </c>
      <c r="F33" t="e">
        <f>AND('Planilla_General_07-12-2012_8_3'!C483,"AAAAAH9X3gU=")</f>
        <v>#VALUE!</v>
      </c>
      <c r="G33" t="e">
        <f>AND('Planilla_General_07-12-2012_8_3'!D483,"AAAAAH9X3gY=")</f>
        <v>#VALUE!</v>
      </c>
      <c r="H33" t="e">
        <f>AND('Planilla_General_07-12-2012_8_3'!E483,"AAAAAH9X3gc=")</f>
        <v>#VALUE!</v>
      </c>
      <c r="I33" t="e">
        <f>AND('Planilla_General_07-12-2012_8_3'!F483,"AAAAAH9X3gg=")</f>
        <v>#VALUE!</v>
      </c>
      <c r="J33" t="e">
        <f>AND('Planilla_General_07-12-2012_8_3'!G483,"AAAAAH9X3gk=")</f>
        <v>#VALUE!</v>
      </c>
      <c r="K33" t="e">
        <f>AND('Planilla_General_07-12-2012_8_3'!H483,"AAAAAH9X3go=")</f>
        <v>#VALUE!</v>
      </c>
      <c r="L33" t="e">
        <f>AND('Planilla_General_07-12-2012_8_3'!I483,"AAAAAH9X3gs=")</f>
        <v>#VALUE!</v>
      </c>
      <c r="M33" t="e">
        <f>AND('Planilla_General_07-12-2012_8_3'!J483,"AAAAAH9X3gw=")</f>
        <v>#VALUE!</v>
      </c>
      <c r="N33" t="e">
        <f>AND('Planilla_General_07-12-2012_8_3'!K483,"AAAAAH9X3g0=")</f>
        <v>#VALUE!</v>
      </c>
      <c r="O33" t="e">
        <f>AND('Planilla_General_07-12-2012_8_3'!L483,"AAAAAH9X3g4=")</f>
        <v>#VALUE!</v>
      </c>
      <c r="P33" t="e">
        <f>AND('Planilla_General_07-12-2012_8_3'!M483,"AAAAAH9X3g8=")</f>
        <v>#VALUE!</v>
      </c>
      <c r="Q33" t="e">
        <f>AND('Planilla_General_07-12-2012_8_3'!N483,"AAAAAH9X3hA=")</f>
        <v>#VALUE!</v>
      </c>
      <c r="R33" t="e">
        <f>AND('Planilla_General_07-12-2012_8_3'!O483,"AAAAAH9X3hE=")</f>
        <v>#VALUE!</v>
      </c>
      <c r="S33" t="e">
        <f>AND('Planilla_General_07-12-2012_8_3'!P483,"AAAAAH9X3hI=")</f>
        <v>#VALUE!</v>
      </c>
      <c r="T33">
        <f>IF('Planilla_General_07-12-2012_8_3'!484:484,"AAAAAH9X3hM=",0)</f>
        <v>0</v>
      </c>
      <c r="U33" t="e">
        <f>AND('Planilla_General_07-12-2012_8_3'!A484,"AAAAAH9X3hQ=")</f>
        <v>#VALUE!</v>
      </c>
      <c r="V33" t="e">
        <f>AND('Planilla_General_07-12-2012_8_3'!B484,"AAAAAH9X3hU=")</f>
        <v>#VALUE!</v>
      </c>
      <c r="W33" t="e">
        <f>AND('Planilla_General_07-12-2012_8_3'!C484,"AAAAAH9X3hY=")</f>
        <v>#VALUE!</v>
      </c>
      <c r="X33" t="e">
        <f>AND('Planilla_General_07-12-2012_8_3'!D484,"AAAAAH9X3hc=")</f>
        <v>#VALUE!</v>
      </c>
      <c r="Y33" t="e">
        <f>AND('Planilla_General_07-12-2012_8_3'!E484,"AAAAAH9X3hg=")</f>
        <v>#VALUE!</v>
      </c>
      <c r="Z33" t="e">
        <f>AND('Planilla_General_07-12-2012_8_3'!F484,"AAAAAH9X3hk=")</f>
        <v>#VALUE!</v>
      </c>
      <c r="AA33" t="e">
        <f>AND('Planilla_General_07-12-2012_8_3'!G484,"AAAAAH9X3ho=")</f>
        <v>#VALUE!</v>
      </c>
      <c r="AB33" t="e">
        <f>AND('Planilla_General_07-12-2012_8_3'!H484,"AAAAAH9X3hs=")</f>
        <v>#VALUE!</v>
      </c>
      <c r="AC33" t="e">
        <f>AND('Planilla_General_07-12-2012_8_3'!I484,"AAAAAH9X3hw=")</f>
        <v>#VALUE!</v>
      </c>
      <c r="AD33" t="e">
        <f>AND('Planilla_General_07-12-2012_8_3'!J484,"AAAAAH9X3h0=")</f>
        <v>#VALUE!</v>
      </c>
      <c r="AE33" t="e">
        <f>AND('Planilla_General_07-12-2012_8_3'!K484,"AAAAAH9X3h4=")</f>
        <v>#VALUE!</v>
      </c>
      <c r="AF33" t="e">
        <f>AND('Planilla_General_07-12-2012_8_3'!L484,"AAAAAH9X3h8=")</f>
        <v>#VALUE!</v>
      </c>
      <c r="AG33" t="e">
        <f>AND('Planilla_General_07-12-2012_8_3'!M484,"AAAAAH9X3iA=")</f>
        <v>#VALUE!</v>
      </c>
      <c r="AH33" t="e">
        <f>AND('Planilla_General_07-12-2012_8_3'!N484,"AAAAAH9X3iE=")</f>
        <v>#VALUE!</v>
      </c>
      <c r="AI33" t="e">
        <f>AND('Planilla_General_07-12-2012_8_3'!O484,"AAAAAH9X3iI=")</f>
        <v>#VALUE!</v>
      </c>
      <c r="AJ33" t="e">
        <f>AND('Planilla_General_07-12-2012_8_3'!P484,"AAAAAH9X3iM=")</f>
        <v>#VALUE!</v>
      </c>
      <c r="AK33">
        <f>IF('Planilla_General_07-12-2012_8_3'!485:485,"AAAAAH9X3iQ=",0)</f>
        <v>0</v>
      </c>
      <c r="AL33" t="e">
        <f>AND('Planilla_General_07-12-2012_8_3'!A485,"AAAAAH9X3iU=")</f>
        <v>#VALUE!</v>
      </c>
      <c r="AM33" t="e">
        <f>AND('Planilla_General_07-12-2012_8_3'!B485,"AAAAAH9X3iY=")</f>
        <v>#VALUE!</v>
      </c>
      <c r="AN33" t="e">
        <f>AND('Planilla_General_07-12-2012_8_3'!C485,"AAAAAH9X3ic=")</f>
        <v>#VALUE!</v>
      </c>
      <c r="AO33" t="e">
        <f>AND('Planilla_General_07-12-2012_8_3'!D485,"AAAAAH9X3ig=")</f>
        <v>#VALUE!</v>
      </c>
      <c r="AP33" t="e">
        <f>AND('Planilla_General_07-12-2012_8_3'!E485,"AAAAAH9X3ik=")</f>
        <v>#VALUE!</v>
      </c>
      <c r="AQ33" t="e">
        <f>AND('Planilla_General_07-12-2012_8_3'!F485,"AAAAAH9X3io=")</f>
        <v>#VALUE!</v>
      </c>
      <c r="AR33" t="e">
        <f>AND('Planilla_General_07-12-2012_8_3'!G485,"AAAAAH9X3is=")</f>
        <v>#VALUE!</v>
      </c>
      <c r="AS33" t="e">
        <f>AND('Planilla_General_07-12-2012_8_3'!H485,"AAAAAH9X3iw=")</f>
        <v>#VALUE!</v>
      </c>
      <c r="AT33" t="e">
        <f>AND('Planilla_General_07-12-2012_8_3'!I485,"AAAAAH9X3i0=")</f>
        <v>#VALUE!</v>
      </c>
      <c r="AU33" t="e">
        <f>AND('Planilla_General_07-12-2012_8_3'!J485,"AAAAAH9X3i4=")</f>
        <v>#VALUE!</v>
      </c>
      <c r="AV33" t="e">
        <f>AND('Planilla_General_07-12-2012_8_3'!K485,"AAAAAH9X3i8=")</f>
        <v>#VALUE!</v>
      </c>
      <c r="AW33" t="e">
        <f>AND('Planilla_General_07-12-2012_8_3'!L485,"AAAAAH9X3jA=")</f>
        <v>#VALUE!</v>
      </c>
      <c r="AX33" t="e">
        <f>AND('Planilla_General_07-12-2012_8_3'!M485,"AAAAAH9X3jE=")</f>
        <v>#VALUE!</v>
      </c>
      <c r="AY33" t="e">
        <f>AND('Planilla_General_07-12-2012_8_3'!N485,"AAAAAH9X3jI=")</f>
        <v>#VALUE!</v>
      </c>
      <c r="AZ33" t="e">
        <f>AND('Planilla_General_07-12-2012_8_3'!O485,"AAAAAH9X3jM=")</f>
        <v>#VALUE!</v>
      </c>
      <c r="BA33" t="e">
        <f>AND('Planilla_General_07-12-2012_8_3'!P485,"AAAAAH9X3jQ=")</f>
        <v>#VALUE!</v>
      </c>
      <c r="BB33">
        <f>IF('Planilla_General_07-12-2012_8_3'!486:486,"AAAAAH9X3jU=",0)</f>
        <v>0</v>
      </c>
      <c r="BC33" t="e">
        <f>AND('Planilla_General_07-12-2012_8_3'!A486,"AAAAAH9X3jY=")</f>
        <v>#VALUE!</v>
      </c>
      <c r="BD33" t="e">
        <f>AND('Planilla_General_07-12-2012_8_3'!B486,"AAAAAH9X3jc=")</f>
        <v>#VALUE!</v>
      </c>
      <c r="BE33" t="e">
        <f>AND('Planilla_General_07-12-2012_8_3'!C486,"AAAAAH9X3jg=")</f>
        <v>#VALUE!</v>
      </c>
      <c r="BF33" t="e">
        <f>AND('Planilla_General_07-12-2012_8_3'!D486,"AAAAAH9X3jk=")</f>
        <v>#VALUE!</v>
      </c>
      <c r="BG33" t="e">
        <f>AND('Planilla_General_07-12-2012_8_3'!E486,"AAAAAH9X3jo=")</f>
        <v>#VALUE!</v>
      </c>
      <c r="BH33" t="e">
        <f>AND('Planilla_General_07-12-2012_8_3'!F486,"AAAAAH9X3js=")</f>
        <v>#VALUE!</v>
      </c>
      <c r="BI33" t="e">
        <f>AND('Planilla_General_07-12-2012_8_3'!G486,"AAAAAH9X3jw=")</f>
        <v>#VALUE!</v>
      </c>
      <c r="BJ33" t="e">
        <f>AND('Planilla_General_07-12-2012_8_3'!H486,"AAAAAH9X3j0=")</f>
        <v>#VALUE!</v>
      </c>
      <c r="BK33" t="e">
        <f>AND('Planilla_General_07-12-2012_8_3'!I486,"AAAAAH9X3j4=")</f>
        <v>#VALUE!</v>
      </c>
      <c r="BL33" t="e">
        <f>AND('Planilla_General_07-12-2012_8_3'!J486,"AAAAAH9X3j8=")</f>
        <v>#VALUE!</v>
      </c>
      <c r="BM33" t="e">
        <f>AND('Planilla_General_07-12-2012_8_3'!K486,"AAAAAH9X3kA=")</f>
        <v>#VALUE!</v>
      </c>
      <c r="BN33" t="e">
        <f>AND('Planilla_General_07-12-2012_8_3'!L486,"AAAAAH9X3kE=")</f>
        <v>#VALUE!</v>
      </c>
      <c r="BO33" t="e">
        <f>AND('Planilla_General_07-12-2012_8_3'!M486,"AAAAAH9X3kI=")</f>
        <v>#VALUE!</v>
      </c>
      <c r="BP33" t="e">
        <f>AND('Planilla_General_07-12-2012_8_3'!N486,"AAAAAH9X3kM=")</f>
        <v>#VALUE!</v>
      </c>
      <c r="BQ33" t="e">
        <f>AND('Planilla_General_07-12-2012_8_3'!O486,"AAAAAH9X3kQ=")</f>
        <v>#VALUE!</v>
      </c>
      <c r="BR33" t="e">
        <f>AND('Planilla_General_07-12-2012_8_3'!P486,"AAAAAH9X3kU=")</f>
        <v>#VALUE!</v>
      </c>
      <c r="BS33">
        <f>IF('Planilla_General_07-12-2012_8_3'!487:487,"AAAAAH9X3kY=",0)</f>
        <v>0</v>
      </c>
      <c r="BT33" t="e">
        <f>AND('Planilla_General_07-12-2012_8_3'!A487,"AAAAAH9X3kc=")</f>
        <v>#VALUE!</v>
      </c>
      <c r="BU33" t="e">
        <f>AND('Planilla_General_07-12-2012_8_3'!B487,"AAAAAH9X3kg=")</f>
        <v>#VALUE!</v>
      </c>
      <c r="BV33" t="e">
        <f>AND('Planilla_General_07-12-2012_8_3'!C487,"AAAAAH9X3kk=")</f>
        <v>#VALUE!</v>
      </c>
      <c r="BW33" t="e">
        <f>AND('Planilla_General_07-12-2012_8_3'!D487,"AAAAAH9X3ko=")</f>
        <v>#VALUE!</v>
      </c>
      <c r="BX33" t="e">
        <f>AND('Planilla_General_07-12-2012_8_3'!E487,"AAAAAH9X3ks=")</f>
        <v>#VALUE!</v>
      </c>
      <c r="BY33" t="e">
        <f>AND('Planilla_General_07-12-2012_8_3'!F487,"AAAAAH9X3kw=")</f>
        <v>#VALUE!</v>
      </c>
      <c r="BZ33" t="e">
        <f>AND('Planilla_General_07-12-2012_8_3'!G487,"AAAAAH9X3k0=")</f>
        <v>#VALUE!</v>
      </c>
      <c r="CA33" t="e">
        <f>AND('Planilla_General_07-12-2012_8_3'!H487,"AAAAAH9X3k4=")</f>
        <v>#VALUE!</v>
      </c>
      <c r="CB33" t="e">
        <f>AND('Planilla_General_07-12-2012_8_3'!I487,"AAAAAH9X3k8=")</f>
        <v>#VALUE!</v>
      </c>
      <c r="CC33" t="e">
        <f>AND('Planilla_General_07-12-2012_8_3'!J487,"AAAAAH9X3lA=")</f>
        <v>#VALUE!</v>
      </c>
      <c r="CD33" t="e">
        <f>AND('Planilla_General_07-12-2012_8_3'!K487,"AAAAAH9X3lE=")</f>
        <v>#VALUE!</v>
      </c>
      <c r="CE33" t="e">
        <f>AND('Planilla_General_07-12-2012_8_3'!L487,"AAAAAH9X3lI=")</f>
        <v>#VALUE!</v>
      </c>
      <c r="CF33" t="e">
        <f>AND('Planilla_General_07-12-2012_8_3'!M487,"AAAAAH9X3lM=")</f>
        <v>#VALUE!</v>
      </c>
      <c r="CG33" t="e">
        <f>AND('Planilla_General_07-12-2012_8_3'!N487,"AAAAAH9X3lQ=")</f>
        <v>#VALUE!</v>
      </c>
      <c r="CH33" t="e">
        <f>AND('Planilla_General_07-12-2012_8_3'!O487,"AAAAAH9X3lU=")</f>
        <v>#VALUE!</v>
      </c>
      <c r="CI33" t="e">
        <f>AND('Planilla_General_07-12-2012_8_3'!P487,"AAAAAH9X3lY=")</f>
        <v>#VALUE!</v>
      </c>
      <c r="CJ33">
        <f>IF('Planilla_General_07-12-2012_8_3'!488:488,"AAAAAH9X3lc=",0)</f>
        <v>0</v>
      </c>
      <c r="CK33" t="e">
        <f>AND('Planilla_General_07-12-2012_8_3'!A488,"AAAAAH9X3lg=")</f>
        <v>#VALUE!</v>
      </c>
      <c r="CL33" t="e">
        <f>AND('Planilla_General_07-12-2012_8_3'!B488,"AAAAAH9X3lk=")</f>
        <v>#VALUE!</v>
      </c>
      <c r="CM33" t="e">
        <f>AND('Planilla_General_07-12-2012_8_3'!C488,"AAAAAH9X3lo=")</f>
        <v>#VALUE!</v>
      </c>
      <c r="CN33" t="e">
        <f>AND('Planilla_General_07-12-2012_8_3'!D488,"AAAAAH9X3ls=")</f>
        <v>#VALUE!</v>
      </c>
      <c r="CO33" t="e">
        <f>AND('Planilla_General_07-12-2012_8_3'!E488,"AAAAAH9X3lw=")</f>
        <v>#VALUE!</v>
      </c>
      <c r="CP33" t="e">
        <f>AND('Planilla_General_07-12-2012_8_3'!F488,"AAAAAH9X3l0=")</f>
        <v>#VALUE!</v>
      </c>
      <c r="CQ33" t="e">
        <f>AND('Planilla_General_07-12-2012_8_3'!G488,"AAAAAH9X3l4=")</f>
        <v>#VALUE!</v>
      </c>
      <c r="CR33" t="e">
        <f>AND('Planilla_General_07-12-2012_8_3'!H488,"AAAAAH9X3l8=")</f>
        <v>#VALUE!</v>
      </c>
      <c r="CS33" t="e">
        <f>AND('Planilla_General_07-12-2012_8_3'!I488,"AAAAAH9X3mA=")</f>
        <v>#VALUE!</v>
      </c>
      <c r="CT33" t="e">
        <f>AND('Planilla_General_07-12-2012_8_3'!J488,"AAAAAH9X3mE=")</f>
        <v>#VALUE!</v>
      </c>
      <c r="CU33" t="e">
        <f>AND('Planilla_General_07-12-2012_8_3'!K488,"AAAAAH9X3mI=")</f>
        <v>#VALUE!</v>
      </c>
      <c r="CV33" t="e">
        <f>AND('Planilla_General_07-12-2012_8_3'!L488,"AAAAAH9X3mM=")</f>
        <v>#VALUE!</v>
      </c>
      <c r="CW33" t="e">
        <f>AND('Planilla_General_07-12-2012_8_3'!M488,"AAAAAH9X3mQ=")</f>
        <v>#VALUE!</v>
      </c>
      <c r="CX33" t="e">
        <f>AND('Planilla_General_07-12-2012_8_3'!N488,"AAAAAH9X3mU=")</f>
        <v>#VALUE!</v>
      </c>
      <c r="CY33" t="e">
        <f>AND('Planilla_General_07-12-2012_8_3'!O488,"AAAAAH9X3mY=")</f>
        <v>#VALUE!</v>
      </c>
      <c r="CZ33" t="e">
        <f>AND('Planilla_General_07-12-2012_8_3'!P488,"AAAAAH9X3mc=")</f>
        <v>#VALUE!</v>
      </c>
      <c r="DA33">
        <f>IF('Planilla_General_07-12-2012_8_3'!489:489,"AAAAAH9X3mg=",0)</f>
        <v>0</v>
      </c>
      <c r="DB33" t="e">
        <f>AND('Planilla_General_07-12-2012_8_3'!A489,"AAAAAH9X3mk=")</f>
        <v>#VALUE!</v>
      </c>
      <c r="DC33" t="e">
        <f>AND('Planilla_General_07-12-2012_8_3'!B489,"AAAAAH9X3mo=")</f>
        <v>#VALUE!</v>
      </c>
      <c r="DD33" t="e">
        <f>AND('Planilla_General_07-12-2012_8_3'!C489,"AAAAAH9X3ms=")</f>
        <v>#VALUE!</v>
      </c>
      <c r="DE33" t="e">
        <f>AND('Planilla_General_07-12-2012_8_3'!D489,"AAAAAH9X3mw=")</f>
        <v>#VALUE!</v>
      </c>
      <c r="DF33" t="e">
        <f>AND('Planilla_General_07-12-2012_8_3'!E489,"AAAAAH9X3m0=")</f>
        <v>#VALUE!</v>
      </c>
      <c r="DG33" t="e">
        <f>AND('Planilla_General_07-12-2012_8_3'!F489,"AAAAAH9X3m4=")</f>
        <v>#VALUE!</v>
      </c>
      <c r="DH33" t="e">
        <f>AND('Planilla_General_07-12-2012_8_3'!G489,"AAAAAH9X3m8=")</f>
        <v>#VALUE!</v>
      </c>
      <c r="DI33" t="e">
        <f>AND('Planilla_General_07-12-2012_8_3'!H489,"AAAAAH9X3nA=")</f>
        <v>#VALUE!</v>
      </c>
      <c r="DJ33" t="e">
        <f>AND('Planilla_General_07-12-2012_8_3'!I489,"AAAAAH9X3nE=")</f>
        <v>#VALUE!</v>
      </c>
      <c r="DK33" t="e">
        <f>AND('Planilla_General_07-12-2012_8_3'!J489,"AAAAAH9X3nI=")</f>
        <v>#VALUE!</v>
      </c>
      <c r="DL33" t="e">
        <f>AND('Planilla_General_07-12-2012_8_3'!K489,"AAAAAH9X3nM=")</f>
        <v>#VALUE!</v>
      </c>
      <c r="DM33" t="e">
        <f>AND('Planilla_General_07-12-2012_8_3'!L489,"AAAAAH9X3nQ=")</f>
        <v>#VALUE!</v>
      </c>
      <c r="DN33" t="e">
        <f>AND('Planilla_General_07-12-2012_8_3'!M489,"AAAAAH9X3nU=")</f>
        <v>#VALUE!</v>
      </c>
      <c r="DO33" t="e">
        <f>AND('Planilla_General_07-12-2012_8_3'!N489,"AAAAAH9X3nY=")</f>
        <v>#VALUE!</v>
      </c>
      <c r="DP33" t="e">
        <f>AND('Planilla_General_07-12-2012_8_3'!O489,"AAAAAH9X3nc=")</f>
        <v>#VALUE!</v>
      </c>
      <c r="DQ33" t="e">
        <f>AND('Planilla_General_07-12-2012_8_3'!P489,"AAAAAH9X3ng=")</f>
        <v>#VALUE!</v>
      </c>
      <c r="DR33">
        <f>IF('Planilla_General_07-12-2012_8_3'!490:490,"AAAAAH9X3nk=",0)</f>
        <v>0</v>
      </c>
      <c r="DS33" t="e">
        <f>AND('Planilla_General_07-12-2012_8_3'!A490,"AAAAAH9X3no=")</f>
        <v>#VALUE!</v>
      </c>
      <c r="DT33" t="e">
        <f>AND('Planilla_General_07-12-2012_8_3'!B490,"AAAAAH9X3ns=")</f>
        <v>#VALUE!</v>
      </c>
      <c r="DU33" t="e">
        <f>AND('Planilla_General_07-12-2012_8_3'!C490,"AAAAAH9X3nw=")</f>
        <v>#VALUE!</v>
      </c>
      <c r="DV33" t="e">
        <f>AND('Planilla_General_07-12-2012_8_3'!D490,"AAAAAH9X3n0=")</f>
        <v>#VALUE!</v>
      </c>
      <c r="DW33" t="e">
        <f>AND('Planilla_General_07-12-2012_8_3'!E490,"AAAAAH9X3n4=")</f>
        <v>#VALUE!</v>
      </c>
      <c r="DX33" t="e">
        <f>AND('Planilla_General_07-12-2012_8_3'!F490,"AAAAAH9X3n8=")</f>
        <v>#VALUE!</v>
      </c>
      <c r="DY33" t="e">
        <f>AND('Planilla_General_07-12-2012_8_3'!G490,"AAAAAH9X3oA=")</f>
        <v>#VALUE!</v>
      </c>
      <c r="DZ33" t="e">
        <f>AND('Planilla_General_07-12-2012_8_3'!H490,"AAAAAH9X3oE=")</f>
        <v>#VALUE!</v>
      </c>
      <c r="EA33" t="e">
        <f>AND('Planilla_General_07-12-2012_8_3'!I490,"AAAAAH9X3oI=")</f>
        <v>#VALUE!</v>
      </c>
      <c r="EB33" t="e">
        <f>AND('Planilla_General_07-12-2012_8_3'!J490,"AAAAAH9X3oM=")</f>
        <v>#VALUE!</v>
      </c>
      <c r="EC33" t="e">
        <f>AND('Planilla_General_07-12-2012_8_3'!K490,"AAAAAH9X3oQ=")</f>
        <v>#VALUE!</v>
      </c>
      <c r="ED33" t="e">
        <f>AND('Planilla_General_07-12-2012_8_3'!L490,"AAAAAH9X3oU=")</f>
        <v>#VALUE!</v>
      </c>
      <c r="EE33" t="e">
        <f>AND('Planilla_General_07-12-2012_8_3'!M490,"AAAAAH9X3oY=")</f>
        <v>#VALUE!</v>
      </c>
      <c r="EF33" t="e">
        <f>AND('Planilla_General_07-12-2012_8_3'!N490,"AAAAAH9X3oc=")</f>
        <v>#VALUE!</v>
      </c>
      <c r="EG33" t="e">
        <f>AND('Planilla_General_07-12-2012_8_3'!O490,"AAAAAH9X3og=")</f>
        <v>#VALUE!</v>
      </c>
      <c r="EH33" t="e">
        <f>AND('Planilla_General_07-12-2012_8_3'!P490,"AAAAAH9X3ok=")</f>
        <v>#VALUE!</v>
      </c>
      <c r="EI33">
        <f>IF('Planilla_General_07-12-2012_8_3'!491:491,"AAAAAH9X3oo=",0)</f>
        <v>0</v>
      </c>
      <c r="EJ33" t="e">
        <f>AND('Planilla_General_07-12-2012_8_3'!A491,"AAAAAH9X3os=")</f>
        <v>#VALUE!</v>
      </c>
      <c r="EK33" t="e">
        <f>AND('Planilla_General_07-12-2012_8_3'!B491,"AAAAAH9X3ow=")</f>
        <v>#VALUE!</v>
      </c>
      <c r="EL33" t="e">
        <f>AND('Planilla_General_07-12-2012_8_3'!C491,"AAAAAH9X3o0=")</f>
        <v>#VALUE!</v>
      </c>
      <c r="EM33" t="e">
        <f>AND('Planilla_General_07-12-2012_8_3'!D491,"AAAAAH9X3o4=")</f>
        <v>#VALUE!</v>
      </c>
      <c r="EN33" t="e">
        <f>AND('Planilla_General_07-12-2012_8_3'!E491,"AAAAAH9X3o8=")</f>
        <v>#VALUE!</v>
      </c>
      <c r="EO33" t="e">
        <f>AND('Planilla_General_07-12-2012_8_3'!F491,"AAAAAH9X3pA=")</f>
        <v>#VALUE!</v>
      </c>
      <c r="EP33" t="e">
        <f>AND('Planilla_General_07-12-2012_8_3'!G491,"AAAAAH9X3pE=")</f>
        <v>#VALUE!</v>
      </c>
      <c r="EQ33" t="e">
        <f>AND('Planilla_General_07-12-2012_8_3'!H491,"AAAAAH9X3pI=")</f>
        <v>#VALUE!</v>
      </c>
      <c r="ER33" t="e">
        <f>AND('Planilla_General_07-12-2012_8_3'!I491,"AAAAAH9X3pM=")</f>
        <v>#VALUE!</v>
      </c>
      <c r="ES33" t="e">
        <f>AND('Planilla_General_07-12-2012_8_3'!J491,"AAAAAH9X3pQ=")</f>
        <v>#VALUE!</v>
      </c>
      <c r="ET33" t="e">
        <f>AND('Planilla_General_07-12-2012_8_3'!K491,"AAAAAH9X3pU=")</f>
        <v>#VALUE!</v>
      </c>
      <c r="EU33" t="e">
        <f>AND('Planilla_General_07-12-2012_8_3'!L491,"AAAAAH9X3pY=")</f>
        <v>#VALUE!</v>
      </c>
      <c r="EV33" t="e">
        <f>AND('Planilla_General_07-12-2012_8_3'!M491,"AAAAAH9X3pc=")</f>
        <v>#VALUE!</v>
      </c>
      <c r="EW33" t="e">
        <f>AND('Planilla_General_07-12-2012_8_3'!N491,"AAAAAH9X3pg=")</f>
        <v>#VALUE!</v>
      </c>
      <c r="EX33" t="e">
        <f>AND('Planilla_General_07-12-2012_8_3'!O491,"AAAAAH9X3pk=")</f>
        <v>#VALUE!</v>
      </c>
      <c r="EY33" t="e">
        <f>AND('Planilla_General_07-12-2012_8_3'!P491,"AAAAAH9X3po=")</f>
        <v>#VALUE!</v>
      </c>
      <c r="EZ33">
        <f>IF('Planilla_General_07-12-2012_8_3'!492:492,"AAAAAH9X3ps=",0)</f>
        <v>0</v>
      </c>
      <c r="FA33" t="e">
        <f>AND('Planilla_General_07-12-2012_8_3'!A492,"AAAAAH9X3pw=")</f>
        <v>#VALUE!</v>
      </c>
      <c r="FB33" t="e">
        <f>AND('Planilla_General_07-12-2012_8_3'!B492,"AAAAAH9X3p0=")</f>
        <v>#VALUE!</v>
      </c>
      <c r="FC33" t="e">
        <f>AND('Planilla_General_07-12-2012_8_3'!C492,"AAAAAH9X3p4=")</f>
        <v>#VALUE!</v>
      </c>
      <c r="FD33" t="e">
        <f>AND('Planilla_General_07-12-2012_8_3'!D492,"AAAAAH9X3p8=")</f>
        <v>#VALUE!</v>
      </c>
      <c r="FE33" t="e">
        <f>AND('Planilla_General_07-12-2012_8_3'!E492,"AAAAAH9X3qA=")</f>
        <v>#VALUE!</v>
      </c>
      <c r="FF33" t="e">
        <f>AND('Planilla_General_07-12-2012_8_3'!F492,"AAAAAH9X3qE=")</f>
        <v>#VALUE!</v>
      </c>
      <c r="FG33" t="e">
        <f>AND('Planilla_General_07-12-2012_8_3'!G492,"AAAAAH9X3qI=")</f>
        <v>#VALUE!</v>
      </c>
      <c r="FH33" t="e">
        <f>AND('Planilla_General_07-12-2012_8_3'!H492,"AAAAAH9X3qM=")</f>
        <v>#VALUE!</v>
      </c>
      <c r="FI33" t="e">
        <f>AND('Planilla_General_07-12-2012_8_3'!I492,"AAAAAH9X3qQ=")</f>
        <v>#VALUE!</v>
      </c>
      <c r="FJ33" t="e">
        <f>AND('Planilla_General_07-12-2012_8_3'!J492,"AAAAAH9X3qU=")</f>
        <v>#VALUE!</v>
      </c>
      <c r="FK33" t="e">
        <f>AND('Planilla_General_07-12-2012_8_3'!K492,"AAAAAH9X3qY=")</f>
        <v>#VALUE!</v>
      </c>
      <c r="FL33" t="e">
        <f>AND('Planilla_General_07-12-2012_8_3'!L492,"AAAAAH9X3qc=")</f>
        <v>#VALUE!</v>
      </c>
      <c r="FM33" t="e">
        <f>AND('Planilla_General_07-12-2012_8_3'!M492,"AAAAAH9X3qg=")</f>
        <v>#VALUE!</v>
      </c>
      <c r="FN33" t="e">
        <f>AND('Planilla_General_07-12-2012_8_3'!N492,"AAAAAH9X3qk=")</f>
        <v>#VALUE!</v>
      </c>
      <c r="FO33" t="e">
        <f>AND('Planilla_General_07-12-2012_8_3'!O492,"AAAAAH9X3qo=")</f>
        <v>#VALUE!</v>
      </c>
      <c r="FP33" t="e">
        <f>AND('Planilla_General_07-12-2012_8_3'!P492,"AAAAAH9X3qs=")</f>
        <v>#VALUE!</v>
      </c>
      <c r="FQ33">
        <f>IF('Planilla_General_07-12-2012_8_3'!493:493,"AAAAAH9X3qw=",0)</f>
        <v>0</v>
      </c>
      <c r="FR33" t="e">
        <f>AND('Planilla_General_07-12-2012_8_3'!A493,"AAAAAH9X3q0=")</f>
        <v>#VALUE!</v>
      </c>
      <c r="FS33" t="e">
        <f>AND('Planilla_General_07-12-2012_8_3'!B493,"AAAAAH9X3q4=")</f>
        <v>#VALUE!</v>
      </c>
      <c r="FT33" t="e">
        <f>AND('Planilla_General_07-12-2012_8_3'!C493,"AAAAAH9X3q8=")</f>
        <v>#VALUE!</v>
      </c>
      <c r="FU33" t="e">
        <f>AND('Planilla_General_07-12-2012_8_3'!D493,"AAAAAH9X3rA=")</f>
        <v>#VALUE!</v>
      </c>
      <c r="FV33" t="e">
        <f>AND('Planilla_General_07-12-2012_8_3'!E493,"AAAAAH9X3rE=")</f>
        <v>#VALUE!</v>
      </c>
      <c r="FW33" t="e">
        <f>AND('Planilla_General_07-12-2012_8_3'!F493,"AAAAAH9X3rI=")</f>
        <v>#VALUE!</v>
      </c>
      <c r="FX33" t="e">
        <f>AND('Planilla_General_07-12-2012_8_3'!G493,"AAAAAH9X3rM=")</f>
        <v>#VALUE!</v>
      </c>
      <c r="FY33" t="e">
        <f>AND('Planilla_General_07-12-2012_8_3'!H493,"AAAAAH9X3rQ=")</f>
        <v>#VALUE!</v>
      </c>
      <c r="FZ33" t="e">
        <f>AND('Planilla_General_07-12-2012_8_3'!I493,"AAAAAH9X3rU=")</f>
        <v>#VALUE!</v>
      </c>
      <c r="GA33" t="e">
        <f>AND('Planilla_General_07-12-2012_8_3'!J493,"AAAAAH9X3rY=")</f>
        <v>#VALUE!</v>
      </c>
      <c r="GB33" t="e">
        <f>AND('Planilla_General_07-12-2012_8_3'!K493,"AAAAAH9X3rc=")</f>
        <v>#VALUE!</v>
      </c>
      <c r="GC33" t="e">
        <f>AND('Planilla_General_07-12-2012_8_3'!L493,"AAAAAH9X3rg=")</f>
        <v>#VALUE!</v>
      </c>
      <c r="GD33" t="e">
        <f>AND('Planilla_General_07-12-2012_8_3'!M493,"AAAAAH9X3rk=")</f>
        <v>#VALUE!</v>
      </c>
      <c r="GE33" t="e">
        <f>AND('Planilla_General_07-12-2012_8_3'!N493,"AAAAAH9X3ro=")</f>
        <v>#VALUE!</v>
      </c>
      <c r="GF33" t="e">
        <f>AND('Planilla_General_07-12-2012_8_3'!O493,"AAAAAH9X3rs=")</f>
        <v>#VALUE!</v>
      </c>
      <c r="GG33" t="e">
        <f>AND('Planilla_General_07-12-2012_8_3'!P493,"AAAAAH9X3rw=")</f>
        <v>#VALUE!</v>
      </c>
      <c r="GH33">
        <f>IF('Planilla_General_07-12-2012_8_3'!494:494,"AAAAAH9X3r0=",0)</f>
        <v>0</v>
      </c>
      <c r="GI33" t="e">
        <f>AND('Planilla_General_07-12-2012_8_3'!A494,"AAAAAH9X3r4=")</f>
        <v>#VALUE!</v>
      </c>
      <c r="GJ33" t="e">
        <f>AND('Planilla_General_07-12-2012_8_3'!B494,"AAAAAH9X3r8=")</f>
        <v>#VALUE!</v>
      </c>
      <c r="GK33" t="e">
        <f>AND('Planilla_General_07-12-2012_8_3'!C494,"AAAAAH9X3sA=")</f>
        <v>#VALUE!</v>
      </c>
      <c r="GL33" t="e">
        <f>AND('Planilla_General_07-12-2012_8_3'!D494,"AAAAAH9X3sE=")</f>
        <v>#VALUE!</v>
      </c>
      <c r="GM33" t="e">
        <f>AND('Planilla_General_07-12-2012_8_3'!E494,"AAAAAH9X3sI=")</f>
        <v>#VALUE!</v>
      </c>
      <c r="GN33" t="e">
        <f>AND('Planilla_General_07-12-2012_8_3'!F494,"AAAAAH9X3sM=")</f>
        <v>#VALUE!</v>
      </c>
      <c r="GO33" t="e">
        <f>AND('Planilla_General_07-12-2012_8_3'!G494,"AAAAAH9X3sQ=")</f>
        <v>#VALUE!</v>
      </c>
      <c r="GP33" t="e">
        <f>AND('Planilla_General_07-12-2012_8_3'!H494,"AAAAAH9X3sU=")</f>
        <v>#VALUE!</v>
      </c>
      <c r="GQ33" t="e">
        <f>AND('Planilla_General_07-12-2012_8_3'!I494,"AAAAAH9X3sY=")</f>
        <v>#VALUE!</v>
      </c>
      <c r="GR33" t="e">
        <f>AND('Planilla_General_07-12-2012_8_3'!J494,"AAAAAH9X3sc=")</f>
        <v>#VALUE!</v>
      </c>
      <c r="GS33" t="e">
        <f>AND('Planilla_General_07-12-2012_8_3'!K494,"AAAAAH9X3sg=")</f>
        <v>#VALUE!</v>
      </c>
      <c r="GT33" t="e">
        <f>AND('Planilla_General_07-12-2012_8_3'!L494,"AAAAAH9X3sk=")</f>
        <v>#VALUE!</v>
      </c>
      <c r="GU33" t="e">
        <f>AND('Planilla_General_07-12-2012_8_3'!M494,"AAAAAH9X3so=")</f>
        <v>#VALUE!</v>
      </c>
      <c r="GV33" t="e">
        <f>AND('Planilla_General_07-12-2012_8_3'!N494,"AAAAAH9X3ss=")</f>
        <v>#VALUE!</v>
      </c>
      <c r="GW33" t="e">
        <f>AND('Planilla_General_07-12-2012_8_3'!O494,"AAAAAH9X3sw=")</f>
        <v>#VALUE!</v>
      </c>
      <c r="GX33" t="e">
        <f>AND('Planilla_General_07-12-2012_8_3'!P494,"AAAAAH9X3s0=")</f>
        <v>#VALUE!</v>
      </c>
      <c r="GY33">
        <f>IF('Planilla_General_07-12-2012_8_3'!495:495,"AAAAAH9X3s4=",0)</f>
        <v>0</v>
      </c>
      <c r="GZ33" t="e">
        <f>AND('Planilla_General_07-12-2012_8_3'!A495,"AAAAAH9X3s8=")</f>
        <v>#VALUE!</v>
      </c>
      <c r="HA33" t="e">
        <f>AND('Planilla_General_07-12-2012_8_3'!B495,"AAAAAH9X3tA=")</f>
        <v>#VALUE!</v>
      </c>
      <c r="HB33" t="e">
        <f>AND('Planilla_General_07-12-2012_8_3'!C495,"AAAAAH9X3tE=")</f>
        <v>#VALUE!</v>
      </c>
      <c r="HC33" t="e">
        <f>AND('Planilla_General_07-12-2012_8_3'!D495,"AAAAAH9X3tI=")</f>
        <v>#VALUE!</v>
      </c>
      <c r="HD33" t="e">
        <f>AND('Planilla_General_07-12-2012_8_3'!E495,"AAAAAH9X3tM=")</f>
        <v>#VALUE!</v>
      </c>
      <c r="HE33" t="e">
        <f>AND('Planilla_General_07-12-2012_8_3'!F495,"AAAAAH9X3tQ=")</f>
        <v>#VALUE!</v>
      </c>
      <c r="HF33" t="e">
        <f>AND('Planilla_General_07-12-2012_8_3'!G495,"AAAAAH9X3tU=")</f>
        <v>#VALUE!</v>
      </c>
      <c r="HG33" t="e">
        <f>AND('Planilla_General_07-12-2012_8_3'!H495,"AAAAAH9X3tY=")</f>
        <v>#VALUE!</v>
      </c>
      <c r="HH33" t="e">
        <f>AND('Planilla_General_07-12-2012_8_3'!I495,"AAAAAH9X3tc=")</f>
        <v>#VALUE!</v>
      </c>
      <c r="HI33" t="e">
        <f>AND('Planilla_General_07-12-2012_8_3'!J495,"AAAAAH9X3tg=")</f>
        <v>#VALUE!</v>
      </c>
      <c r="HJ33" t="e">
        <f>AND('Planilla_General_07-12-2012_8_3'!K495,"AAAAAH9X3tk=")</f>
        <v>#VALUE!</v>
      </c>
      <c r="HK33" t="e">
        <f>AND('Planilla_General_07-12-2012_8_3'!L495,"AAAAAH9X3to=")</f>
        <v>#VALUE!</v>
      </c>
      <c r="HL33" t="e">
        <f>AND('Planilla_General_07-12-2012_8_3'!M495,"AAAAAH9X3ts=")</f>
        <v>#VALUE!</v>
      </c>
      <c r="HM33" t="e">
        <f>AND('Planilla_General_07-12-2012_8_3'!N495,"AAAAAH9X3tw=")</f>
        <v>#VALUE!</v>
      </c>
      <c r="HN33" t="e">
        <f>AND('Planilla_General_07-12-2012_8_3'!O495,"AAAAAH9X3t0=")</f>
        <v>#VALUE!</v>
      </c>
      <c r="HO33" t="e">
        <f>AND('Planilla_General_07-12-2012_8_3'!P495,"AAAAAH9X3t4=")</f>
        <v>#VALUE!</v>
      </c>
      <c r="HP33">
        <f>IF('Planilla_General_07-12-2012_8_3'!496:496,"AAAAAH9X3t8=",0)</f>
        <v>0</v>
      </c>
      <c r="HQ33" t="e">
        <f>AND('Planilla_General_07-12-2012_8_3'!A496,"AAAAAH9X3uA=")</f>
        <v>#VALUE!</v>
      </c>
      <c r="HR33" t="e">
        <f>AND('Planilla_General_07-12-2012_8_3'!B496,"AAAAAH9X3uE=")</f>
        <v>#VALUE!</v>
      </c>
      <c r="HS33" t="e">
        <f>AND('Planilla_General_07-12-2012_8_3'!C496,"AAAAAH9X3uI=")</f>
        <v>#VALUE!</v>
      </c>
      <c r="HT33" t="e">
        <f>AND('Planilla_General_07-12-2012_8_3'!D496,"AAAAAH9X3uM=")</f>
        <v>#VALUE!</v>
      </c>
      <c r="HU33" t="e">
        <f>AND('Planilla_General_07-12-2012_8_3'!E496,"AAAAAH9X3uQ=")</f>
        <v>#VALUE!</v>
      </c>
      <c r="HV33" t="e">
        <f>AND('Planilla_General_07-12-2012_8_3'!F496,"AAAAAH9X3uU=")</f>
        <v>#VALUE!</v>
      </c>
      <c r="HW33" t="e">
        <f>AND('Planilla_General_07-12-2012_8_3'!G496,"AAAAAH9X3uY=")</f>
        <v>#VALUE!</v>
      </c>
      <c r="HX33" t="e">
        <f>AND('Planilla_General_07-12-2012_8_3'!H496,"AAAAAH9X3uc=")</f>
        <v>#VALUE!</v>
      </c>
      <c r="HY33" t="e">
        <f>AND('Planilla_General_07-12-2012_8_3'!I496,"AAAAAH9X3ug=")</f>
        <v>#VALUE!</v>
      </c>
      <c r="HZ33" t="e">
        <f>AND('Planilla_General_07-12-2012_8_3'!J496,"AAAAAH9X3uk=")</f>
        <v>#VALUE!</v>
      </c>
      <c r="IA33" t="e">
        <f>AND('Planilla_General_07-12-2012_8_3'!K496,"AAAAAH9X3uo=")</f>
        <v>#VALUE!</v>
      </c>
      <c r="IB33" t="e">
        <f>AND('Planilla_General_07-12-2012_8_3'!L496,"AAAAAH9X3us=")</f>
        <v>#VALUE!</v>
      </c>
      <c r="IC33" t="e">
        <f>AND('Planilla_General_07-12-2012_8_3'!M496,"AAAAAH9X3uw=")</f>
        <v>#VALUE!</v>
      </c>
      <c r="ID33" t="e">
        <f>AND('Planilla_General_07-12-2012_8_3'!N496,"AAAAAH9X3u0=")</f>
        <v>#VALUE!</v>
      </c>
      <c r="IE33" t="e">
        <f>AND('Planilla_General_07-12-2012_8_3'!O496,"AAAAAH9X3u4=")</f>
        <v>#VALUE!</v>
      </c>
      <c r="IF33" t="e">
        <f>AND('Planilla_General_07-12-2012_8_3'!P496,"AAAAAH9X3u8=")</f>
        <v>#VALUE!</v>
      </c>
      <c r="IG33">
        <f>IF('Planilla_General_07-12-2012_8_3'!497:497,"AAAAAH9X3vA=",0)</f>
        <v>0</v>
      </c>
      <c r="IH33" t="e">
        <f>AND('Planilla_General_07-12-2012_8_3'!A497,"AAAAAH9X3vE=")</f>
        <v>#VALUE!</v>
      </c>
      <c r="II33" t="e">
        <f>AND('Planilla_General_07-12-2012_8_3'!B497,"AAAAAH9X3vI=")</f>
        <v>#VALUE!</v>
      </c>
      <c r="IJ33" t="e">
        <f>AND('Planilla_General_07-12-2012_8_3'!C497,"AAAAAH9X3vM=")</f>
        <v>#VALUE!</v>
      </c>
      <c r="IK33" t="e">
        <f>AND('Planilla_General_07-12-2012_8_3'!D497,"AAAAAH9X3vQ=")</f>
        <v>#VALUE!</v>
      </c>
      <c r="IL33" t="e">
        <f>AND('Planilla_General_07-12-2012_8_3'!E497,"AAAAAH9X3vU=")</f>
        <v>#VALUE!</v>
      </c>
      <c r="IM33" t="e">
        <f>AND('Planilla_General_07-12-2012_8_3'!F497,"AAAAAH9X3vY=")</f>
        <v>#VALUE!</v>
      </c>
      <c r="IN33" t="e">
        <f>AND('Planilla_General_07-12-2012_8_3'!G497,"AAAAAH9X3vc=")</f>
        <v>#VALUE!</v>
      </c>
      <c r="IO33" t="e">
        <f>AND('Planilla_General_07-12-2012_8_3'!H497,"AAAAAH9X3vg=")</f>
        <v>#VALUE!</v>
      </c>
      <c r="IP33" t="e">
        <f>AND('Planilla_General_07-12-2012_8_3'!I497,"AAAAAH9X3vk=")</f>
        <v>#VALUE!</v>
      </c>
      <c r="IQ33" t="e">
        <f>AND('Planilla_General_07-12-2012_8_3'!J497,"AAAAAH9X3vo=")</f>
        <v>#VALUE!</v>
      </c>
      <c r="IR33" t="e">
        <f>AND('Planilla_General_07-12-2012_8_3'!K497,"AAAAAH9X3vs=")</f>
        <v>#VALUE!</v>
      </c>
      <c r="IS33" t="e">
        <f>AND('Planilla_General_07-12-2012_8_3'!L497,"AAAAAH9X3vw=")</f>
        <v>#VALUE!</v>
      </c>
      <c r="IT33" t="e">
        <f>AND('Planilla_General_07-12-2012_8_3'!M497,"AAAAAH9X3v0=")</f>
        <v>#VALUE!</v>
      </c>
      <c r="IU33" t="e">
        <f>AND('Planilla_General_07-12-2012_8_3'!N497,"AAAAAH9X3v4=")</f>
        <v>#VALUE!</v>
      </c>
      <c r="IV33" t="e">
        <f>AND('Planilla_General_07-12-2012_8_3'!O497,"AAAAAH9X3v8=")</f>
        <v>#VALUE!</v>
      </c>
    </row>
    <row r="34" spans="1:256" x14ac:dyDescent="0.25">
      <c r="A34" t="e">
        <f>AND('Planilla_General_07-12-2012_8_3'!P497,"AAAAAHc/vwA=")</f>
        <v>#VALUE!</v>
      </c>
      <c r="B34" t="e">
        <f>IF('Planilla_General_07-12-2012_8_3'!498:498,"AAAAAHc/vwE=",0)</f>
        <v>#VALUE!</v>
      </c>
      <c r="C34" t="e">
        <f>AND('Planilla_General_07-12-2012_8_3'!A498,"AAAAAHc/vwI=")</f>
        <v>#VALUE!</v>
      </c>
      <c r="D34" t="e">
        <f>AND('Planilla_General_07-12-2012_8_3'!B498,"AAAAAHc/vwM=")</f>
        <v>#VALUE!</v>
      </c>
      <c r="E34" t="e">
        <f>AND('Planilla_General_07-12-2012_8_3'!C498,"AAAAAHc/vwQ=")</f>
        <v>#VALUE!</v>
      </c>
      <c r="F34" t="e">
        <f>AND('Planilla_General_07-12-2012_8_3'!D498,"AAAAAHc/vwU=")</f>
        <v>#VALUE!</v>
      </c>
      <c r="G34" t="e">
        <f>AND('Planilla_General_07-12-2012_8_3'!E498,"AAAAAHc/vwY=")</f>
        <v>#VALUE!</v>
      </c>
      <c r="H34" t="e">
        <f>AND('Planilla_General_07-12-2012_8_3'!F498,"AAAAAHc/vwc=")</f>
        <v>#VALUE!</v>
      </c>
      <c r="I34" t="e">
        <f>AND('Planilla_General_07-12-2012_8_3'!G498,"AAAAAHc/vwg=")</f>
        <v>#VALUE!</v>
      </c>
      <c r="J34" t="e">
        <f>AND('Planilla_General_07-12-2012_8_3'!H498,"AAAAAHc/vwk=")</f>
        <v>#VALUE!</v>
      </c>
      <c r="K34" t="e">
        <f>AND('Planilla_General_07-12-2012_8_3'!I498,"AAAAAHc/vwo=")</f>
        <v>#VALUE!</v>
      </c>
      <c r="L34" t="e">
        <f>AND('Planilla_General_07-12-2012_8_3'!J498,"AAAAAHc/vws=")</f>
        <v>#VALUE!</v>
      </c>
      <c r="M34" t="e">
        <f>AND('Planilla_General_07-12-2012_8_3'!K498,"AAAAAHc/vww=")</f>
        <v>#VALUE!</v>
      </c>
      <c r="N34" t="e">
        <f>AND('Planilla_General_07-12-2012_8_3'!L498,"AAAAAHc/vw0=")</f>
        <v>#VALUE!</v>
      </c>
      <c r="O34" t="e">
        <f>AND('Planilla_General_07-12-2012_8_3'!M498,"AAAAAHc/vw4=")</f>
        <v>#VALUE!</v>
      </c>
      <c r="P34" t="e">
        <f>AND('Planilla_General_07-12-2012_8_3'!N498,"AAAAAHc/vw8=")</f>
        <v>#VALUE!</v>
      </c>
      <c r="Q34" t="e">
        <f>AND('Planilla_General_07-12-2012_8_3'!O498,"AAAAAHc/vxA=")</f>
        <v>#VALUE!</v>
      </c>
      <c r="R34" t="e">
        <f>AND('Planilla_General_07-12-2012_8_3'!P498,"AAAAAHc/vxE=")</f>
        <v>#VALUE!</v>
      </c>
      <c r="S34">
        <f>IF('Planilla_General_07-12-2012_8_3'!499:499,"AAAAAHc/vxI=",0)</f>
        <v>0</v>
      </c>
      <c r="T34" t="e">
        <f>AND('Planilla_General_07-12-2012_8_3'!A499,"AAAAAHc/vxM=")</f>
        <v>#VALUE!</v>
      </c>
      <c r="U34" t="e">
        <f>AND('Planilla_General_07-12-2012_8_3'!B499,"AAAAAHc/vxQ=")</f>
        <v>#VALUE!</v>
      </c>
      <c r="V34" t="e">
        <f>AND('Planilla_General_07-12-2012_8_3'!C499,"AAAAAHc/vxU=")</f>
        <v>#VALUE!</v>
      </c>
      <c r="W34" t="e">
        <f>AND('Planilla_General_07-12-2012_8_3'!D499,"AAAAAHc/vxY=")</f>
        <v>#VALUE!</v>
      </c>
      <c r="X34" t="e">
        <f>AND('Planilla_General_07-12-2012_8_3'!E499,"AAAAAHc/vxc=")</f>
        <v>#VALUE!</v>
      </c>
      <c r="Y34" t="e">
        <f>AND('Planilla_General_07-12-2012_8_3'!F499,"AAAAAHc/vxg=")</f>
        <v>#VALUE!</v>
      </c>
      <c r="Z34" t="e">
        <f>AND('Planilla_General_07-12-2012_8_3'!G499,"AAAAAHc/vxk=")</f>
        <v>#VALUE!</v>
      </c>
      <c r="AA34" t="e">
        <f>AND('Planilla_General_07-12-2012_8_3'!H499,"AAAAAHc/vxo=")</f>
        <v>#VALUE!</v>
      </c>
      <c r="AB34" t="e">
        <f>AND('Planilla_General_07-12-2012_8_3'!I499,"AAAAAHc/vxs=")</f>
        <v>#VALUE!</v>
      </c>
      <c r="AC34" t="e">
        <f>AND('Planilla_General_07-12-2012_8_3'!J499,"AAAAAHc/vxw=")</f>
        <v>#VALUE!</v>
      </c>
      <c r="AD34" t="e">
        <f>AND('Planilla_General_07-12-2012_8_3'!K499,"AAAAAHc/vx0=")</f>
        <v>#VALUE!</v>
      </c>
      <c r="AE34" t="e">
        <f>AND('Planilla_General_07-12-2012_8_3'!L499,"AAAAAHc/vx4=")</f>
        <v>#VALUE!</v>
      </c>
      <c r="AF34" t="e">
        <f>AND('Planilla_General_07-12-2012_8_3'!M499,"AAAAAHc/vx8=")</f>
        <v>#VALUE!</v>
      </c>
      <c r="AG34" t="e">
        <f>AND('Planilla_General_07-12-2012_8_3'!N499,"AAAAAHc/vyA=")</f>
        <v>#VALUE!</v>
      </c>
      <c r="AH34" t="e">
        <f>AND('Planilla_General_07-12-2012_8_3'!O499,"AAAAAHc/vyE=")</f>
        <v>#VALUE!</v>
      </c>
      <c r="AI34" t="e">
        <f>AND('Planilla_General_07-12-2012_8_3'!P499,"AAAAAHc/vyI=")</f>
        <v>#VALUE!</v>
      </c>
      <c r="AJ34">
        <f>IF('Planilla_General_07-12-2012_8_3'!500:500,"AAAAAHc/vyM=",0)</f>
        <v>0</v>
      </c>
      <c r="AK34" t="e">
        <f>AND('Planilla_General_07-12-2012_8_3'!A500,"AAAAAHc/vyQ=")</f>
        <v>#VALUE!</v>
      </c>
      <c r="AL34" t="e">
        <f>AND('Planilla_General_07-12-2012_8_3'!B500,"AAAAAHc/vyU=")</f>
        <v>#VALUE!</v>
      </c>
      <c r="AM34" t="e">
        <f>AND('Planilla_General_07-12-2012_8_3'!C500,"AAAAAHc/vyY=")</f>
        <v>#VALUE!</v>
      </c>
      <c r="AN34" t="e">
        <f>AND('Planilla_General_07-12-2012_8_3'!D500,"AAAAAHc/vyc=")</f>
        <v>#VALUE!</v>
      </c>
      <c r="AO34" t="e">
        <f>AND('Planilla_General_07-12-2012_8_3'!E500,"AAAAAHc/vyg=")</f>
        <v>#VALUE!</v>
      </c>
      <c r="AP34" t="e">
        <f>AND('Planilla_General_07-12-2012_8_3'!F500,"AAAAAHc/vyk=")</f>
        <v>#VALUE!</v>
      </c>
      <c r="AQ34" t="e">
        <f>AND('Planilla_General_07-12-2012_8_3'!G500,"AAAAAHc/vyo=")</f>
        <v>#VALUE!</v>
      </c>
      <c r="AR34" t="e">
        <f>AND('Planilla_General_07-12-2012_8_3'!H500,"AAAAAHc/vys=")</f>
        <v>#VALUE!</v>
      </c>
      <c r="AS34" t="e">
        <f>AND('Planilla_General_07-12-2012_8_3'!I500,"AAAAAHc/vyw=")</f>
        <v>#VALUE!</v>
      </c>
      <c r="AT34" t="e">
        <f>AND('Planilla_General_07-12-2012_8_3'!J500,"AAAAAHc/vy0=")</f>
        <v>#VALUE!</v>
      </c>
      <c r="AU34" t="e">
        <f>AND('Planilla_General_07-12-2012_8_3'!K500,"AAAAAHc/vy4=")</f>
        <v>#VALUE!</v>
      </c>
      <c r="AV34" t="e">
        <f>AND('Planilla_General_07-12-2012_8_3'!L500,"AAAAAHc/vy8=")</f>
        <v>#VALUE!</v>
      </c>
      <c r="AW34" t="e">
        <f>AND('Planilla_General_07-12-2012_8_3'!M500,"AAAAAHc/vzA=")</f>
        <v>#VALUE!</v>
      </c>
      <c r="AX34" t="e">
        <f>AND('Planilla_General_07-12-2012_8_3'!N500,"AAAAAHc/vzE=")</f>
        <v>#VALUE!</v>
      </c>
      <c r="AY34" t="e">
        <f>AND('Planilla_General_07-12-2012_8_3'!O500,"AAAAAHc/vzI=")</f>
        <v>#VALUE!</v>
      </c>
      <c r="AZ34" t="e">
        <f>AND('Planilla_General_07-12-2012_8_3'!P500,"AAAAAHc/vzM=")</f>
        <v>#VALUE!</v>
      </c>
      <c r="BA34">
        <f>IF('Planilla_General_07-12-2012_8_3'!501:501,"AAAAAHc/vzQ=",0)</f>
        <v>0</v>
      </c>
      <c r="BB34" t="e">
        <f>AND('Planilla_General_07-12-2012_8_3'!A501,"AAAAAHc/vzU=")</f>
        <v>#VALUE!</v>
      </c>
      <c r="BC34" t="e">
        <f>AND('Planilla_General_07-12-2012_8_3'!B501,"AAAAAHc/vzY=")</f>
        <v>#VALUE!</v>
      </c>
      <c r="BD34" t="e">
        <f>AND('Planilla_General_07-12-2012_8_3'!C501,"AAAAAHc/vzc=")</f>
        <v>#VALUE!</v>
      </c>
      <c r="BE34" t="e">
        <f>AND('Planilla_General_07-12-2012_8_3'!D501,"AAAAAHc/vzg=")</f>
        <v>#VALUE!</v>
      </c>
      <c r="BF34" t="e">
        <f>AND('Planilla_General_07-12-2012_8_3'!E501,"AAAAAHc/vzk=")</f>
        <v>#VALUE!</v>
      </c>
      <c r="BG34" t="e">
        <f>AND('Planilla_General_07-12-2012_8_3'!F501,"AAAAAHc/vzo=")</f>
        <v>#VALUE!</v>
      </c>
      <c r="BH34" t="e">
        <f>AND('Planilla_General_07-12-2012_8_3'!G501,"AAAAAHc/vzs=")</f>
        <v>#VALUE!</v>
      </c>
      <c r="BI34" t="e">
        <f>AND('Planilla_General_07-12-2012_8_3'!H501,"AAAAAHc/vzw=")</f>
        <v>#VALUE!</v>
      </c>
      <c r="BJ34" t="e">
        <f>AND('Planilla_General_07-12-2012_8_3'!I501,"AAAAAHc/vz0=")</f>
        <v>#VALUE!</v>
      </c>
      <c r="BK34" t="e">
        <f>AND('Planilla_General_07-12-2012_8_3'!J501,"AAAAAHc/vz4=")</f>
        <v>#VALUE!</v>
      </c>
      <c r="BL34" t="e">
        <f>AND('Planilla_General_07-12-2012_8_3'!K501,"AAAAAHc/vz8=")</f>
        <v>#VALUE!</v>
      </c>
      <c r="BM34" t="e">
        <f>AND('Planilla_General_07-12-2012_8_3'!L501,"AAAAAHc/v0A=")</f>
        <v>#VALUE!</v>
      </c>
      <c r="BN34" t="e">
        <f>AND('Planilla_General_07-12-2012_8_3'!M501,"AAAAAHc/v0E=")</f>
        <v>#VALUE!</v>
      </c>
      <c r="BO34" t="e">
        <f>AND('Planilla_General_07-12-2012_8_3'!N501,"AAAAAHc/v0I=")</f>
        <v>#VALUE!</v>
      </c>
      <c r="BP34" t="e">
        <f>AND('Planilla_General_07-12-2012_8_3'!O501,"AAAAAHc/v0M=")</f>
        <v>#VALUE!</v>
      </c>
      <c r="BQ34" t="e">
        <f>AND('Planilla_General_07-12-2012_8_3'!P501,"AAAAAHc/v0Q=")</f>
        <v>#VALUE!</v>
      </c>
      <c r="BR34">
        <f>IF('Planilla_General_07-12-2012_8_3'!502:502,"AAAAAHc/v0U=",0)</f>
        <v>0</v>
      </c>
      <c r="BS34" t="e">
        <f>AND('Planilla_General_07-12-2012_8_3'!A502,"AAAAAHc/v0Y=")</f>
        <v>#VALUE!</v>
      </c>
      <c r="BT34" t="e">
        <f>AND('Planilla_General_07-12-2012_8_3'!B502,"AAAAAHc/v0c=")</f>
        <v>#VALUE!</v>
      </c>
      <c r="BU34" t="e">
        <f>AND('Planilla_General_07-12-2012_8_3'!C502,"AAAAAHc/v0g=")</f>
        <v>#VALUE!</v>
      </c>
      <c r="BV34" t="e">
        <f>AND('Planilla_General_07-12-2012_8_3'!D502,"AAAAAHc/v0k=")</f>
        <v>#VALUE!</v>
      </c>
      <c r="BW34" t="e">
        <f>AND('Planilla_General_07-12-2012_8_3'!E502,"AAAAAHc/v0o=")</f>
        <v>#VALUE!</v>
      </c>
      <c r="BX34" t="e">
        <f>AND('Planilla_General_07-12-2012_8_3'!F502,"AAAAAHc/v0s=")</f>
        <v>#VALUE!</v>
      </c>
      <c r="BY34" t="e">
        <f>AND('Planilla_General_07-12-2012_8_3'!G502,"AAAAAHc/v0w=")</f>
        <v>#VALUE!</v>
      </c>
      <c r="BZ34" t="e">
        <f>AND('Planilla_General_07-12-2012_8_3'!H502,"AAAAAHc/v00=")</f>
        <v>#VALUE!</v>
      </c>
      <c r="CA34" t="e">
        <f>AND('Planilla_General_07-12-2012_8_3'!I502,"AAAAAHc/v04=")</f>
        <v>#VALUE!</v>
      </c>
      <c r="CB34" t="e">
        <f>AND('Planilla_General_07-12-2012_8_3'!J502,"AAAAAHc/v08=")</f>
        <v>#VALUE!</v>
      </c>
      <c r="CC34" t="e">
        <f>AND('Planilla_General_07-12-2012_8_3'!K502,"AAAAAHc/v1A=")</f>
        <v>#VALUE!</v>
      </c>
      <c r="CD34" t="e">
        <f>AND('Planilla_General_07-12-2012_8_3'!L502,"AAAAAHc/v1E=")</f>
        <v>#VALUE!</v>
      </c>
      <c r="CE34" t="e">
        <f>AND('Planilla_General_07-12-2012_8_3'!M502,"AAAAAHc/v1I=")</f>
        <v>#VALUE!</v>
      </c>
      <c r="CF34" t="e">
        <f>AND('Planilla_General_07-12-2012_8_3'!N502,"AAAAAHc/v1M=")</f>
        <v>#VALUE!</v>
      </c>
      <c r="CG34" t="e">
        <f>AND('Planilla_General_07-12-2012_8_3'!O502,"AAAAAHc/v1Q=")</f>
        <v>#VALUE!</v>
      </c>
      <c r="CH34" t="e">
        <f>AND('Planilla_General_07-12-2012_8_3'!P502,"AAAAAHc/v1U=")</f>
        <v>#VALUE!</v>
      </c>
      <c r="CI34">
        <f>IF('Planilla_General_07-12-2012_8_3'!503:503,"AAAAAHc/v1Y=",0)</f>
        <v>0</v>
      </c>
      <c r="CJ34" t="e">
        <f>AND('Planilla_General_07-12-2012_8_3'!A503,"AAAAAHc/v1c=")</f>
        <v>#VALUE!</v>
      </c>
      <c r="CK34" t="e">
        <f>AND('Planilla_General_07-12-2012_8_3'!B503,"AAAAAHc/v1g=")</f>
        <v>#VALUE!</v>
      </c>
      <c r="CL34" t="e">
        <f>AND('Planilla_General_07-12-2012_8_3'!C503,"AAAAAHc/v1k=")</f>
        <v>#VALUE!</v>
      </c>
      <c r="CM34" t="e">
        <f>AND('Planilla_General_07-12-2012_8_3'!D503,"AAAAAHc/v1o=")</f>
        <v>#VALUE!</v>
      </c>
      <c r="CN34" t="e">
        <f>AND('Planilla_General_07-12-2012_8_3'!E503,"AAAAAHc/v1s=")</f>
        <v>#VALUE!</v>
      </c>
      <c r="CO34" t="e">
        <f>AND('Planilla_General_07-12-2012_8_3'!F503,"AAAAAHc/v1w=")</f>
        <v>#VALUE!</v>
      </c>
      <c r="CP34" t="e">
        <f>AND('Planilla_General_07-12-2012_8_3'!G503,"AAAAAHc/v10=")</f>
        <v>#VALUE!</v>
      </c>
      <c r="CQ34" t="e">
        <f>AND('Planilla_General_07-12-2012_8_3'!H503,"AAAAAHc/v14=")</f>
        <v>#VALUE!</v>
      </c>
      <c r="CR34" t="e">
        <f>AND('Planilla_General_07-12-2012_8_3'!I503,"AAAAAHc/v18=")</f>
        <v>#VALUE!</v>
      </c>
      <c r="CS34" t="e">
        <f>AND('Planilla_General_07-12-2012_8_3'!J503,"AAAAAHc/v2A=")</f>
        <v>#VALUE!</v>
      </c>
      <c r="CT34" t="e">
        <f>AND('Planilla_General_07-12-2012_8_3'!K503,"AAAAAHc/v2E=")</f>
        <v>#VALUE!</v>
      </c>
      <c r="CU34" t="e">
        <f>AND('Planilla_General_07-12-2012_8_3'!L503,"AAAAAHc/v2I=")</f>
        <v>#VALUE!</v>
      </c>
      <c r="CV34" t="e">
        <f>AND('Planilla_General_07-12-2012_8_3'!M503,"AAAAAHc/v2M=")</f>
        <v>#VALUE!</v>
      </c>
      <c r="CW34" t="e">
        <f>AND('Planilla_General_07-12-2012_8_3'!N503,"AAAAAHc/v2Q=")</f>
        <v>#VALUE!</v>
      </c>
      <c r="CX34" t="e">
        <f>AND('Planilla_General_07-12-2012_8_3'!O503,"AAAAAHc/v2U=")</f>
        <v>#VALUE!</v>
      </c>
      <c r="CY34" t="e">
        <f>AND('Planilla_General_07-12-2012_8_3'!P503,"AAAAAHc/v2Y=")</f>
        <v>#VALUE!</v>
      </c>
      <c r="CZ34">
        <f>IF('Planilla_General_07-12-2012_8_3'!504:504,"AAAAAHc/v2c=",0)</f>
        <v>0</v>
      </c>
      <c r="DA34" t="e">
        <f>AND('Planilla_General_07-12-2012_8_3'!A504,"AAAAAHc/v2g=")</f>
        <v>#VALUE!</v>
      </c>
      <c r="DB34" t="e">
        <f>AND('Planilla_General_07-12-2012_8_3'!B504,"AAAAAHc/v2k=")</f>
        <v>#VALUE!</v>
      </c>
      <c r="DC34" t="e">
        <f>AND('Planilla_General_07-12-2012_8_3'!C504,"AAAAAHc/v2o=")</f>
        <v>#VALUE!</v>
      </c>
      <c r="DD34" t="e">
        <f>AND('Planilla_General_07-12-2012_8_3'!D504,"AAAAAHc/v2s=")</f>
        <v>#VALUE!</v>
      </c>
      <c r="DE34" t="e">
        <f>AND('Planilla_General_07-12-2012_8_3'!E504,"AAAAAHc/v2w=")</f>
        <v>#VALUE!</v>
      </c>
      <c r="DF34" t="e">
        <f>AND('Planilla_General_07-12-2012_8_3'!F504,"AAAAAHc/v20=")</f>
        <v>#VALUE!</v>
      </c>
      <c r="DG34" t="e">
        <f>AND('Planilla_General_07-12-2012_8_3'!G504,"AAAAAHc/v24=")</f>
        <v>#VALUE!</v>
      </c>
      <c r="DH34" t="e">
        <f>AND('Planilla_General_07-12-2012_8_3'!H504,"AAAAAHc/v28=")</f>
        <v>#VALUE!</v>
      </c>
      <c r="DI34" t="e">
        <f>AND('Planilla_General_07-12-2012_8_3'!I504,"AAAAAHc/v3A=")</f>
        <v>#VALUE!</v>
      </c>
      <c r="DJ34" t="e">
        <f>AND('Planilla_General_07-12-2012_8_3'!J504,"AAAAAHc/v3E=")</f>
        <v>#VALUE!</v>
      </c>
      <c r="DK34" t="e">
        <f>AND('Planilla_General_07-12-2012_8_3'!K504,"AAAAAHc/v3I=")</f>
        <v>#VALUE!</v>
      </c>
      <c r="DL34" t="e">
        <f>AND('Planilla_General_07-12-2012_8_3'!L504,"AAAAAHc/v3M=")</f>
        <v>#VALUE!</v>
      </c>
      <c r="DM34" t="e">
        <f>AND('Planilla_General_07-12-2012_8_3'!M504,"AAAAAHc/v3Q=")</f>
        <v>#VALUE!</v>
      </c>
      <c r="DN34" t="e">
        <f>AND('Planilla_General_07-12-2012_8_3'!N504,"AAAAAHc/v3U=")</f>
        <v>#VALUE!</v>
      </c>
      <c r="DO34" t="e">
        <f>AND('Planilla_General_07-12-2012_8_3'!O504,"AAAAAHc/v3Y=")</f>
        <v>#VALUE!</v>
      </c>
      <c r="DP34" t="e">
        <f>AND('Planilla_General_07-12-2012_8_3'!P504,"AAAAAHc/v3c=")</f>
        <v>#VALUE!</v>
      </c>
      <c r="DQ34">
        <f>IF('Planilla_General_07-12-2012_8_3'!505:505,"AAAAAHc/v3g=",0)</f>
        <v>0</v>
      </c>
      <c r="DR34" t="e">
        <f>AND('Planilla_General_07-12-2012_8_3'!A505,"AAAAAHc/v3k=")</f>
        <v>#VALUE!</v>
      </c>
      <c r="DS34" t="e">
        <f>AND('Planilla_General_07-12-2012_8_3'!B505,"AAAAAHc/v3o=")</f>
        <v>#VALUE!</v>
      </c>
      <c r="DT34" t="e">
        <f>AND('Planilla_General_07-12-2012_8_3'!C505,"AAAAAHc/v3s=")</f>
        <v>#VALUE!</v>
      </c>
      <c r="DU34" t="e">
        <f>AND('Planilla_General_07-12-2012_8_3'!D505,"AAAAAHc/v3w=")</f>
        <v>#VALUE!</v>
      </c>
      <c r="DV34" t="e">
        <f>AND('Planilla_General_07-12-2012_8_3'!E505,"AAAAAHc/v30=")</f>
        <v>#VALUE!</v>
      </c>
      <c r="DW34" t="e">
        <f>AND('Planilla_General_07-12-2012_8_3'!F505,"AAAAAHc/v34=")</f>
        <v>#VALUE!</v>
      </c>
      <c r="DX34" t="e">
        <f>AND('Planilla_General_07-12-2012_8_3'!G505,"AAAAAHc/v38=")</f>
        <v>#VALUE!</v>
      </c>
      <c r="DY34" t="e">
        <f>AND('Planilla_General_07-12-2012_8_3'!H505,"AAAAAHc/v4A=")</f>
        <v>#VALUE!</v>
      </c>
      <c r="DZ34" t="e">
        <f>AND('Planilla_General_07-12-2012_8_3'!I505,"AAAAAHc/v4E=")</f>
        <v>#VALUE!</v>
      </c>
      <c r="EA34" t="e">
        <f>AND('Planilla_General_07-12-2012_8_3'!J505,"AAAAAHc/v4I=")</f>
        <v>#VALUE!</v>
      </c>
      <c r="EB34" t="e">
        <f>AND('Planilla_General_07-12-2012_8_3'!K505,"AAAAAHc/v4M=")</f>
        <v>#VALUE!</v>
      </c>
      <c r="EC34" t="e">
        <f>AND('Planilla_General_07-12-2012_8_3'!L505,"AAAAAHc/v4Q=")</f>
        <v>#VALUE!</v>
      </c>
      <c r="ED34" t="e">
        <f>AND('Planilla_General_07-12-2012_8_3'!M505,"AAAAAHc/v4U=")</f>
        <v>#VALUE!</v>
      </c>
      <c r="EE34" t="e">
        <f>AND('Planilla_General_07-12-2012_8_3'!N505,"AAAAAHc/v4Y=")</f>
        <v>#VALUE!</v>
      </c>
      <c r="EF34" t="e">
        <f>AND('Planilla_General_07-12-2012_8_3'!O505,"AAAAAHc/v4c=")</f>
        <v>#VALUE!</v>
      </c>
      <c r="EG34" t="e">
        <f>AND('Planilla_General_07-12-2012_8_3'!P505,"AAAAAHc/v4g=")</f>
        <v>#VALUE!</v>
      </c>
      <c r="EH34">
        <f>IF('Planilla_General_07-12-2012_8_3'!506:506,"AAAAAHc/v4k=",0)</f>
        <v>0</v>
      </c>
      <c r="EI34" t="e">
        <f>AND('Planilla_General_07-12-2012_8_3'!A506,"AAAAAHc/v4o=")</f>
        <v>#VALUE!</v>
      </c>
      <c r="EJ34" t="e">
        <f>AND('Planilla_General_07-12-2012_8_3'!B506,"AAAAAHc/v4s=")</f>
        <v>#VALUE!</v>
      </c>
      <c r="EK34" t="e">
        <f>AND('Planilla_General_07-12-2012_8_3'!C506,"AAAAAHc/v4w=")</f>
        <v>#VALUE!</v>
      </c>
      <c r="EL34" t="e">
        <f>AND('Planilla_General_07-12-2012_8_3'!D506,"AAAAAHc/v40=")</f>
        <v>#VALUE!</v>
      </c>
      <c r="EM34" t="e">
        <f>AND('Planilla_General_07-12-2012_8_3'!E506,"AAAAAHc/v44=")</f>
        <v>#VALUE!</v>
      </c>
      <c r="EN34" t="e">
        <f>AND('Planilla_General_07-12-2012_8_3'!F506,"AAAAAHc/v48=")</f>
        <v>#VALUE!</v>
      </c>
      <c r="EO34" t="e">
        <f>AND('Planilla_General_07-12-2012_8_3'!G506,"AAAAAHc/v5A=")</f>
        <v>#VALUE!</v>
      </c>
      <c r="EP34" t="e">
        <f>AND('Planilla_General_07-12-2012_8_3'!H506,"AAAAAHc/v5E=")</f>
        <v>#VALUE!</v>
      </c>
      <c r="EQ34" t="e">
        <f>AND('Planilla_General_07-12-2012_8_3'!I506,"AAAAAHc/v5I=")</f>
        <v>#VALUE!</v>
      </c>
      <c r="ER34" t="e">
        <f>AND('Planilla_General_07-12-2012_8_3'!J506,"AAAAAHc/v5M=")</f>
        <v>#VALUE!</v>
      </c>
      <c r="ES34" t="e">
        <f>AND('Planilla_General_07-12-2012_8_3'!K506,"AAAAAHc/v5Q=")</f>
        <v>#VALUE!</v>
      </c>
      <c r="ET34" t="e">
        <f>AND('Planilla_General_07-12-2012_8_3'!L506,"AAAAAHc/v5U=")</f>
        <v>#VALUE!</v>
      </c>
      <c r="EU34" t="e">
        <f>AND('Planilla_General_07-12-2012_8_3'!M506,"AAAAAHc/v5Y=")</f>
        <v>#VALUE!</v>
      </c>
      <c r="EV34" t="e">
        <f>AND('Planilla_General_07-12-2012_8_3'!N506,"AAAAAHc/v5c=")</f>
        <v>#VALUE!</v>
      </c>
      <c r="EW34" t="e">
        <f>AND('Planilla_General_07-12-2012_8_3'!O506,"AAAAAHc/v5g=")</f>
        <v>#VALUE!</v>
      </c>
      <c r="EX34" t="e">
        <f>AND('Planilla_General_07-12-2012_8_3'!P506,"AAAAAHc/v5k=")</f>
        <v>#VALUE!</v>
      </c>
      <c r="EY34">
        <f>IF('Planilla_General_07-12-2012_8_3'!507:507,"AAAAAHc/v5o=",0)</f>
        <v>0</v>
      </c>
      <c r="EZ34" t="e">
        <f>AND('Planilla_General_07-12-2012_8_3'!A507,"AAAAAHc/v5s=")</f>
        <v>#VALUE!</v>
      </c>
      <c r="FA34" t="e">
        <f>AND('Planilla_General_07-12-2012_8_3'!B507,"AAAAAHc/v5w=")</f>
        <v>#VALUE!</v>
      </c>
      <c r="FB34" t="e">
        <f>AND('Planilla_General_07-12-2012_8_3'!C507,"AAAAAHc/v50=")</f>
        <v>#VALUE!</v>
      </c>
      <c r="FC34" t="e">
        <f>AND('Planilla_General_07-12-2012_8_3'!D507,"AAAAAHc/v54=")</f>
        <v>#VALUE!</v>
      </c>
      <c r="FD34" t="e">
        <f>AND('Planilla_General_07-12-2012_8_3'!E507,"AAAAAHc/v58=")</f>
        <v>#VALUE!</v>
      </c>
      <c r="FE34" t="e">
        <f>AND('Planilla_General_07-12-2012_8_3'!F507,"AAAAAHc/v6A=")</f>
        <v>#VALUE!</v>
      </c>
      <c r="FF34" t="e">
        <f>AND('Planilla_General_07-12-2012_8_3'!G507,"AAAAAHc/v6E=")</f>
        <v>#VALUE!</v>
      </c>
      <c r="FG34" t="e">
        <f>AND('Planilla_General_07-12-2012_8_3'!H507,"AAAAAHc/v6I=")</f>
        <v>#VALUE!</v>
      </c>
      <c r="FH34" t="e">
        <f>AND('Planilla_General_07-12-2012_8_3'!I507,"AAAAAHc/v6M=")</f>
        <v>#VALUE!</v>
      </c>
      <c r="FI34" t="e">
        <f>AND('Planilla_General_07-12-2012_8_3'!J507,"AAAAAHc/v6Q=")</f>
        <v>#VALUE!</v>
      </c>
      <c r="FJ34" t="e">
        <f>AND('Planilla_General_07-12-2012_8_3'!K507,"AAAAAHc/v6U=")</f>
        <v>#VALUE!</v>
      </c>
      <c r="FK34" t="e">
        <f>AND('Planilla_General_07-12-2012_8_3'!L507,"AAAAAHc/v6Y=")</f>
        <v>#VALUE!</v>
      </c>
      <c r="FL34" t="e">
        <f>AND('Planilla_General_07-12-2012_8_3'!M507,"AAAAAHc/v6c=")</f>
        <v>#VALUE!</v>
      </c>
      <c r="FM34" t="e">
        <f>AND('Planilla_General_07-12-2012_8_3'!N507,"AAAAAHc/v6g=")</f>
        <v>#VALUE!</v>
      </c>
      <c r="FN34" t="e">
        <f>AND('Planilla_General_07-12-2012_8_3'!O507,"AAAAAHc/v6k=")</f>
        <v>#VALUE!</v>
      </c>
      <c r="FO34" t="e">
        <f>AND('Planilla_General_07-12-2012_8_3'!P507,"AAAAAHc/v6o=")</f>
        <v>#VALUE!</v>
      </c>
      <c r="FP34">
        <f>IF('Planilla_General_07-12-2012_8_3'!508:508,"AAAAAHc/v6s=",0)</f>
        <v>0</v>
      </c>
      <c r="FQ34" t="e">
        <f>AND('Planilla_General_07-12-2012_8_3'!A508,"AAAAAHc/v6w=")</f>
        <v>#VALUE!</v>
      </c>
      <c r="FR34" t="e">
        <f>AND('Planilla_General_07-12-2012_8_3'!B508,"AAAAAHc/v60=")</f>
        <v>#VALUE!</v>
      </c>
      <c r="FS34" t="e">
        <f>AND('Planilla_General_07-12-2012_8_3'!C508,"AAAAAHc/v64=")</f>
        <v>#VALUE!</v>
      </c>
      <c r="FT34" t="e">
        <f>AND('Planilla_General_07-12-2012_8_3'!D508,"AAAAAHc/v68=")</f>
        <v>#VALUE!</v>
      </c>
      <c r="FU34" t="e">
        <f>AND('Planilla_General_07-12-2012_8_3'!E508,"AAAAAHc/v7A=")</f>
        <v>#VALUE!</v>
      </c>
      <c r="FV34" t="e">
        <f>AND('Planilla_General_07-12-2012_8_3'!F508,"AAAAAHc/v7E=")</f>
        <v>#VALUE!</v>
      </c>
      <c r="FW34" t="e">
        <f>AND('Planilla_General_07-12-2012_8_3'!G508,"AAAAAHc/v7I=")</f>
        <v>#VALUE!</v>
      </c>
      <c r="FX34" t="e">
        <f>AND('Planilla_General_07-12-2012_8_3'!H508,"AAAAAHc/v7M=")</f>
        <v>#VALUE!</v>
      </c>
      <c r="FY34" t="e">
        <f>AND('Planilla_General_07-12-2012_8_3'!I508,"AAAAAHc/v7Q=")</f>
        <v>#VALUE!</v>
      </c>
      <c r="FZ34" t="e">
        <f>AND('Planilla_General_07-12-2012_8_3'!J508,"AAAAAHc/v7U=")</f>
        <v>#VALUE!</v>
      </c>
      <c r="GA34" t="e">
        <f>AND('Planilla_General_07-12-2012_8_3'!K508,"AAAAAHc/v7Y=")</f>
        <v>#VALUE!</v>
      </c>
      <c r="GB34" t="e">
        <f>AND('Planilla_General_07-12-2012_8_3'!L508,"AAAAAHc/v7c=")</f>
        <v>#VALUE!</v>
      </c>
      <c r="GC34" t="e">
        <f>AND('Planilla_General_07-12-2012_8_3'!M508,"AAAAAHc/v7g=")</f>
        <v>#VALUE!</v>
      </c>
      <c r="GD34" t="e">
        <f>AND('Planilla_General_07-12-2012_8_3'!N508,"AAAAAHc/v7k=")</f>
        <v>#VALUE!</v>
      </c>
      <c r="GE34" t="e">
        <f>AND('Planilla_General_07-12-2012_8_3'!O508,"AAAAAHc/v7o=")</f>
        <v>#VALUE!</v>
      </c>
      <c r="GF34" t="e">
        <f>AND('Planilla_General_07-12-2012_8_3'!P508,"AAAAAHc/v7s=")</f>
        <v>#VALUE!</v>
      </c>
      <c r="GG34">
        <f>IF('Planilla_General_07-12-2012_8_3'!509:509,"AAAAAHc/v7w=",0)</f>
        <v>0</v>
      </c>
      <c r="GH34" t="e">
        <f>AND('Planilla_General_07-12-2012_8_3'!A509,"AAAAAHc/v70=")</f>
        <v>#VALUE!</v>
      </c>
      <c r="GI34" t="e">
        <f>AND('Planilla_General_07-12-2012_8_3'!B509,"AAAAAHc/v74=")</f>
        <v>#VALUE!</v>
      </c>
      <c r="GJ34" t="e">
        <f>AND('Planilla_General_07-12-2012_8_3'!C509,"AAAAAHc/v78=")</f>
        <v>#VALUE!</v>
      </c>
      <c r="GK34" t="e">
        <f>AND('Planilla_General_07-12-2012_8_3'!D509,"AAAAAHc/v8A=")</f>
        <v>#VALUE!</v>
      </c>
      <c r="GL34" t="e">
        <f>AND('Planilla_General_07-12-2012_8_3'!E509,"AAAAAHc/v8E=")</f>
        <v>#VALUE!</v>
      </c>
      <c r="GM34" t="e">
        <f>AND('Planilla_General_07-12-2012_8_3'!F509,"AAAAAHc/v8I=")</f>
        <v>#VALUE!</v>
      </c>
      <c r="GN34" t="e">
        <f>AND('Planilla_General_07-12-2012_8_3'!G509,"AAAAAHc/v8M=")</f>
        <v>#VALUE!</v>
      </c>
      <c r="GO34" t="e">
        <f>AND('Planilla_General_07-12-2012_8_3'!H509,"AAAAAHc/v8Q=")</f>
        <v>#VALUE!</v>
      </c>
      <c r="GP34" t="e">
        <f>AND('Planilla_General_07-12-2012_8_3'!I509,"AAAAAHc/v8U=")</f>
        <v>#VALUE!</v>
      </c>
      <c r="GQ34" t="e">
        <f>AND('Planilla_General_07-12-2012_8_3'!J509,"AAAAAHc/v8Y=")</f>
        <v>#VALUE!</v>
      </c>
      <c r="GR34" t="e">
        <f>AND('Planilla_General_07-12-2012_8_3'!K509,"AAAAAHc/v8c=")</f>
        <v>#VALUE!</v>
      </c>
      <c r="GS34" t="e">
        <f>AND('Planilla_General_07-12-2012_8_3'!L509,"AAAAAHc/v8g=")</f>
        <v>#VALUE!</v>
      </c>
      <c r="GT34" t="e">
        <f>AND('Planilla_General_07-12-2012_8_3'!M509,"AAAAAHc/v8k=")</f>
        <v>#VALUE!</v>
      </c>
      <c r="GU34" t="e">
        <f>AND('Planilla_General_07-12-2012_8_3'!N509,"AAAAAHc/v8o=")</f>
        <v>#VALUE!</v>
      </c>
      <c r="GV34" t="e">
        <f>AND('Planilla_General_07-12-2012_8_3'!O509,"AAAAAHc/v8s=")</f>
        <v>#VALUE!</v>
      </c>
      <c r="GW34" t="e">
        <f>AND('Planilla_General_07-12-2012_8_3'!P509,"AAAAAHc/v8w=")</f>
        <v>#VALUE!</v>
      </c>
      <c r="GX34">
        <f>IF('Planilla_General_07-12-2012_8_3'!510:510,"AAAAAHc/v80=",0)</f>
        <v>0</v>
      </c>
      <c r="GY34" t="e">
        <f>AND('Planilla_General_07-12-2012_8_3'!A510,"AAAAAHc/v84=")</f>
        <v>#VALUE!</v>
      </c>
      <c r="GZ34" t="e">
        <f>AND('Planilla_General_07-12-2012_8_3'!B510,"AAAAAHc/v88=")</f>
        <v>#VALUE!</v>
      </c>
      <c r="HA34" t="e">
        <f>AND('Planilla_General_07-12-2012_8_3'!C510,"AAAAAHc/v9A=")</f>
        <v>#VALUE!</v>
      </c>
      <c r="HB34" t="e">
        <f>AND('Planilla_General_07-12-2012_8_3'!D510,"AAAAAHc/v9E=")</f>
        <v>#VALUE!</v>
      </c>
      <c r="HC34" t="e">
        <f>AND('Planilla_General_07-12-2012_8_3'!E510,"AAAAAHc/v9I=")</f>
        <v>#VALUE!</v>
      </c>
      <c r="HD34" t="e">
        <f>AND('Planilla_General_07-12-2012_8_3'!F510,"AAAAAHc/v9M=")</f>
        <v>#VALUE!</v>
      </c>
      <c r="HE34" t="e">
        <f>AND('Planilla_General_07-12-2012_8_3'!G510,"AAAAAHc/v9Q=")</f>
        <v>#VALUE!</v>
      </c>
      <c r="HF34" t="e">
        <f>AND('Planilla_General_07-12-2012_8_3'!H510,"AAAAAHc/v9U=")</f>
        <v>#VALUE!</v>
      </c>
      <c r="HG34" t="e">
        <f>AND('Planilla_General_07-12-2012_8_3'!I510,"AAAAAHc/v9Y=")</f>
        <v>#VALUE!</v>
      </c>
      <c r="HH34" t="e">
        <f>AND('Planilla_General_07-12-2012_8_3'!J510,"AAAAAHc/v9c=")</f>
        <v>#VALUE!</v>
      </c>
      <c r="HI34" t="e">
        <f>AND('Planilla_General_07-12-2012_8_3'!K510,"AAAAAHc/v9g=")</f>
        <v>#VALUE!</v>
      </c>
      <c r="HJ34" t="e">
        <f>AND('Planilla_General_07-12-2012_8_3'!L510,"AAAAAHc/v9k=")</f>
        <v>#VALUE!</v>
      </c>
      <c r="HK34" t="e">
        <f>AND('Planilla_General_07-12-2012_8_3'!M510,"AAAAAHc/v9o=")</f>
        <v>#VALUE!</v>
      </c>
      <c r="HL34" t="e">
        <f>AND('Planilla_General_07-12-2012_8_3'!N510,"AAAAAHc/v9s=")</f>
        <v>#VALUE!</v>
      </c>
      <c r="HM34" t="e">
        <f>AND('Planilla_General_07-12-2012_8_3'!O510,"AAAAAHc/v9w=")</f>
        <v>#VALUE!</v>
      </c>
      <c r="HN34" t="e">
        <f>AND('Planilla_General_07-12-2012_8_3'!P510,"AAAAAHc/v90=")</f>
        <v>#VALUE!</v>
      </c>
      <c r="HO34">
        <f>IF('Planilla_General_07-12-2012_8_3'!511:511,"AAAAAHc/v94=",0)</f>
        <v>0</v>
      </c>
      <c r="HP34" t="e">
        <f>AND('Planilla_General_07-12-2012_8_3'!A511,"AAAAAHc/v98=")</f>
        <v>#VALUE!</v>
      </c>
      <c r="HQ34" t="e">
        <f>AND('Planilla_General_07-12-2012_8_3'!B511,"AAAAAHc/v+A=")</f>
        <v>#VALUE!</v>
      </c>
      <c r="HR34" t="e">
        <f>AND('Planilla_General_07-12-2012_8_3'!C511,"AAAAAHc/v+E=")</f>
        <v>#VALUE!</v>
      </c>
      <c r="HS34" t="e">
        <f>AND('Planilla_General_07-12-2012_8_3'!D511,"AAAAAHc/v+I=")</f>
        <v>#VALUE!</v>
      </c>
      <c r="HT34" t="e">
        <f>AND('Planilla_General_07-12-2012_8_3'!E511,"AAAAAHc/v+M=")</f>
        <v>#VALUE!</v>
      </c>
      <c r="HU34" t="e">
        <f>AND('Planilla_General_07-12-2012_8_3'!F511,"AAAAAHc/v+Q=")</f>
        <v>#VALUE!</v>
      </c>
      <c r="HV34" t="e">
        <f>AND('Planilla_General_07-12-2012_8_3'!G511,"AAAAAHc/v+U=")</f>
        <v>#VALUE!</v>
      </c>
      <c r="HW34" t="e">
        <f>AND('Planilla_General_07-12-2012_8_3'!H511,"AAAAAHc/v+Y=")</f>
        <v>#VALUE!</v>
      </c>
      <c r="HX34" t="e">
        <f>AND('Planilla_General_07-12-2012_8_3'!I511,"AAAAAHc/v+c=")</f>
        <v>#VALUE!</v>
      </c>
      <c r="HY34" t="e">
        <f>AND('Planilla_General_07-12-2012_8_3'!J511,"AAAAAHc/v+g=")</f>
        <v>#VALUE!</v>
      </c>
      <c r="HZ34" t="e">
        <f>AND('Planilla_General_07-12-2012_8_3'!K511,"AAAAAHc/v+k=")</f>
        <v>#VALUE!</v>
      </c>
      <c r="IA34" t="e">
        <f>AND('Planilla_General_07-12-2012_8_3'!L511,"AAAAAHc/v+o=")</f>
        <v>#VALUE!</v>
      </c>
      <c r="IB34" t="e">
        <f>AND('Planilla_General_07-12-2012_8_3'!M511,"AAAAAHc/v+s=")</f>
        <v>#VALUE!</v>
      </c>
      <c r="IC34" t="e">
        <f>AND('Planilla_General_07-12-2012_8_3'!N511,"AAAAAHc/v+w=")</f>
        <v>#VALUE!</v>
      </c>
      <c r="ID34" t="e">
        <f>AND('Planilla_General_07-12-2012_8_3'!O511,"AAAAAHc/v+0=")</f>
        <v>#VALUE!</v>
      </c>
      <c r="IE34" t="e">
        <f>AND('Planilla_General_07-12-2012_8_3'!P511,"AAAAAHc/v+4=")</f>
        <v>#VALUE!</v>
      </c>
      <c r="IF34">
        <f>IF('Planilla_General_07-12-2012_8_3'!512:512,"AAAAAHc/v+8=",0)</f>
        <v>0</v>
      </c>
      <c r="IG34" t="e">
        <f>AND('Planilla_General_07-12-2012_8_3'!A512,"AAAAAHc/v/A=")</f>
        <v>#VALUE!</v>
      </c>
      <c r="IH34" t="e">
        <f>AND('Planilla_General_07-12-2012_8_3'!B512,"AAAAAHc/v/E=")</f>
        <v>#VALUE!</v>
      </c>
      <c r="II34" t="e">
        <f>AND('Planilla_General_07-12-2012_8_3'!C512,"AAAAAHc/v/I=")</f>
        <v>#VALUE!</v>
      </c>
      <c r="IJ34" t="e">
        <f>AND('Planilla_General_07-12-2012_8_3'!D512,"AAAAAHc/v/M=")</f>
        <v>#VALUE!</v>
      </c>
      <c r="IK34" t="e">
        <f>AND('Planilla_General_07-12-2012_8_3'!E512,"AAAAAHc/v/Q=")</f>
        <v>#VALUE!</v>
      </c>
      <c r="IL34" t="e">
        <f>AND('Planilla_General_07-12-2012_8_3'!F512,"AAAAAHc/v/U=")</f>
        <v>#VALUE!</v>
      </c>
      <c r="IM34" t="e">
        <f>AND('Planilla_General_07-12-2012_8_3'!G512,"AAAAAHc/v/Y=")</f>
        <v>#VALUE!</v>
      </c>
      <c r="IN34" t="e">
        <f>AND('Planilla_General_07-12-2012_8_3'!H512,"AAAAAHc/v/c=")</f>
        <v>#VALUE!</v>
      </c>
      <c r="IO34" t="e">
        <f>AND('Planilla_General_07-12-2012_8_3'!I512,"AAAAAHc/v/g=")</f>
        <v>#VALUE!</v>
      </c>
      <c r="IP34" t="e">
        <f>AND('Planilla_General_07-12-2012_8_3'!J512,"AAAAAHc/v/k=")</f>
        <v>#VALUE!</v>
      </c>
      <c r="IQ34" t="e">
        <f>AND('Planilla_General_07-12-2012_8_3'!K512,"AAAAAHc/v/o=")</f>
        <v>#VALUE!</v>
      </c>
      <c r="IR34" t="e">
        <f>AND('Planilla_General_07-12-2012_8_3'!L512,"AAAAAHc/v/s=")</f>
        <v>#VALUE!</v>
      </c>
      <c r="IS34" t="e">
        <f>AND('Planilla_General_07-12-2012_8_3'!M512,"AAAAAHc/v/w=")</f>
        <v>#VALUE!</v>
      </c>
      <c r="IT34" t="e">
        <f>AND('Planilla_General_07-12-2012_8_3'!N512,"AAAAAHc/v/0=")</f>
        <v>#VALUE!</v>
      </c>
      <c r="IU34" t="e">
        <f>AND('Planilla_General_07-12-2012_8_3'!O512,"AAAAAHc/v/4=")</f>
        <v>#VALUE!</v>
      </c>
      <c r="IV34" t="e">
        <f>AND('Planilla_General_07-12-2012_8_3'!P512,"AAAAAHc/v/8=")</f>
        <v>#VALUE!</v>
      </c>
    </row>
    <row r="35" spans="1:256" x14ac:dyDescent="0.25">
      <c r="A35" t="e">
        <f>IF('Planilla_General_07-12-2012_8_3'!513:513,"AAAAAG/9+wA=",0)</f>
        <v>#VALUE!</v>
      </c>
      <c r="B35" t="e">
        <f>AND('Planilla_General_07-12-2012_8_3'!A513,"AAAAAG/9+wE=")</f>
        <v>#VALUE!</v>
      </c>
      <c r="C35" t="e">
        <f>AND('Planilla_General_07-12-2012_8_3'!B513,"AAAAAG/9+wI=")</f>
        <v>#VALUE!</v>
      </c>
      <c r="D35" t="e">
        <f>AND('Planilla_General_07-12-2012_8_3'!C513,"AAAAAG/9+wM=")</f>
        <v>#VALUE!</v>
      </c>
      <c r="E35" t="e">
        <f>AND('Planilla_General_07-12-2012_8_3'!D513,"AAAAAG/9+wQ=")</f>
        <v>#VALUE!</v>
      </c>
      <c r="F35" t="e">
        <f>AND('Planilla_General_07-12-2012_8_3'!E513,"AAAAAG/9+wU=")</f>
        <v>#VALUE!</v>
      </c>
      <c r="G35" t="e">
        <f>AND('Planilla_General_07-12-2012_8_3'!F513,"AAAAAG/9+wY=")</f>
        <v>#VALUE!</v>
      </c>
      <c r="H35" t="e">
        <f>AND('Planilla_General_07-12-2012_8_3'!G513,"AAAAAG/9+wc=")</f>
        <v>#VALUE!</v>
      </c>
      <c r="I35" t="e">
        <f>AND('Planilla_General_07-12-2012_8_3'!H513,"AAAAAG/9+wg=")</f>
        <v>#VALUE!</v>
      </c>
      <c r="J35" t="e">
        <f>AND('Planilla_General_07-12-2012_8_3'!I513,"AAAAAG/9+wk=")</f>
        <v>#VALUE!</v>
      </c>
      <c r="K35" t="e">
        <f>AND('Planilla_General_07-12-2012_8_3'!J513,"AAAAAG/9+wo=")</f>
        <v>#VALUE!</v>
      </c>
      <c r="L35" t="e">
        <f>AND('Planilla_General_07-12-2012_8_3'!K513,"AAAAAG/9+ws=")</f>
        <v>#VALUE!</v>
      </c>
      <c r="M35" t="e">
        <f>AND('Planilla_General_07-12-2012_8_3'!L513,"AAAAAG/9+ww=")</f>
        <v>#VALUE!</v>
      </c>
      <c r="N35" t="e">
        <f>AND('Planilla_General_07-12-2012_8_3'!M513,"AAAAAG/9+w0=")</f>
        <v>#VALUE!</v>
      </c>
      <c r="O35" t="e">
        <f>AND('Planilla_General_07-12-2012_8_3'!N513,"AAAAAG/9+w4=")</f>
        <v>#VALUE!</v>
      </c>
      <c r="P35" t="e">
        <f>AND('Planilla_General_07-12-2012_8_3'!O513,"AAAAAG/9+w8=")</f>
        <v>#VALUE!</v>
      </c>
      <c r="Q35" t="e">
        <f>AND('Planilla_General_07-12-2012_8_3'!P513,"AAAAAG/9+xA=")</f>
        <v>#VALUE!</v>
      </c>
      <c r="R35">
        <f>IF('Planilla_General_07-12-2012_8_3'!514:514,"AAAAAG/9+xE=",0)</f>
        <v>0</v>
      </c>
      <c r="S35" t="e">
        <f>AND('Planilla_General_07-12-2012_8_3'!A514,"AAAAAG/9+xI=")</f>
        <v>#VALUE!</v>
      </c>
      <c r="T35" t="e">
        <f>AND('Planilla_General_07-12-2012_8_3'!B514,"AAAAAG/9+xM=")</f>
        <v>#VALUE!</v>
      </c>
      <c r="U35" t="e">
        <f>AND('Planilla_General_07-12-2012_8_3'!C514,"AAAAAG/9+xQ=")</f>
        <v>#VALUE!</v>
      </c>
      <c r="V35" t="e">
        <f>AND('Planilla_General_07-12-2012_8_3'!D514,"AAAAAG/9+xU=")</f>
        <v>#VALUE!</v>
      </c>
      <c r="W35" t="e">
        <f>AND('Planilla_General_07-12-2012_8_3'!E514,"AAAAAG/9+xY=")</f>
        <v>#VALUE!</v>
      </c>
      <c r="X35" t="e">
        <f>AND('Planilla_General_07-12-2012_8_3'!F514,"AAAAAG/9+xc=")</f>
        <v>#VALUE!</v>
      </c>
      <c r="Y35" t="e">
        <f>AND('Planilla_General_07-12-2012_8_3'!G514,"AAAAAG/9+xg=")</f>
        <v>#VALUE!</v>
      </c>
      <c r="Z35" t="e">
        <f>AND('Planilla_General_07-12-2012_8_3'!H514,"AAAAAG/9+xk=")</f>
        <v>#VALUE!</v>
      </c>
      <c r="AA35" t="e">
        <f>AND('Planilla_General_07-12-2012_8_3'!I514,"AAAAAG/9+xo=")</f>
        <v>#VALUE!</v>
      </c>
      <c r="AB35" t="e">
        <f>AND('Planilla_General_07-12-2012_8_3'!J514,"AAAAAG/9+xs=")</f>
        <v>#VALUE!</v>
      </c>
      <c r="AC35" t="e">
        <f>AND('Planilla_General_07-12-2012_8_3'!K514,"AAAAAG/9+xw=")</f>
        <v>#VALUE!</v>
      </c>
      <c r="AD35" t="e">
        <f>AND('Planilla_General_07-12-2012_8_3'!L514,"AAAAAG/9+x0=")</f>
        <v>#VALUE!</v>
      </c>
      <c r="AE35" t="e">
        <f>AND('Planilla_General_07-12-2012_8_3'!M514,"AAAAAG/9+x4=")</f>
        <v>#VALUE!</v>
      </c>
      <c r="AF35" t="e">
        <f>AND('Planilla_General_07-12-2012_8_3'!N514,"AAAAAG/9+x8=")</f>
        <v>#VALUE!</v>
      </c>
      <c r="AG35" t="e">
        <f>AND('Planilla_General_07-12-2012_8_3'!O514,"AAAAAG/9+yA=")</f>
        <v>#VALUE!</v>
      </c>
      <c r="AH35" t="e">
        <f>AND('Planilla_General_07-12-2012_8_3'!P514,"AAAAAG/9+yE=")</f>
        <v>#VALUE!</v>
      </c>
      <c r="AI35">
        <f>IF('Planilla_General_07-12-2012_8_3'!515:515,"AAAAAG/9+yI=",0)</f>
        <v>0</v>
      </c>
      <c r="AJ35" t="e">
        <f>AND('Planilla_General_07-12-2012_8_3'!A515,"AAAAAG/9+yM=")</f>
        <v>#VALUE!</v>
      </c>
      <c r="AK35" t="e">
        <f>AND('Planilla_General_07-12-2012_8_3'!B515,"AAAAAG/9+yQ=")</f>
        <v>#VALUE!</v>
      </c>
      <c r="AL35" t="e">
        <f>AND('Planilla_General_07-12-2012_8_3'!C515,"AAAAAG/9+yU=")</f>
        <v>#VALUE!</v>
      </c>
      <c r="AM35" t="e">
        <f>AND('Planilla_General_07-12-2012_8_3'!D515,"AAAAAG/9+yY=")</f>
        <v>#VALUE!</v>
      </c>
      <c r="AN35" t="e">
        <f>AND('Planilla_General_07-12-2012_8_3'!E515,"AAAAAG/9+yc=")</f>
        <v>#VALUE!</v>
      </c>
      <c r="AO35" t="e">
        <f>AND('Planilla_General_07-12-2012_8_3'!F515,"AAAAAG/9+yg=")</f>
        <v>#VALUE!</v>
      </c>
      <c r="AP35" t="e">
        <f>AND('Planilla_General_07-12-2012_8_3'!G515,"AAAAAG/9+yk=")</f>
        <v>#VALUE!</v>
      </c>
      <c r="AQ35" t="e">
        <f>AND('Planilla_General_07-12-2012_8_3'!H515,"AAAAAG/9+yo=")</f>
        <v>#VALUE!</v>
      </c>
      <c r="AR35" t="e">
        <f>AND('Planilla_General_07-12-2012_8_3'!I515,"AAAAAG/9+ys=")</f>
        <v>#VALUE!</v>
      </c>
      <c r="AS35" t="e">
        <f>AND('Planilla_General_07-12-2012_8_3'!J515,"AAAAAG/9+yw=")</f>
        <v>#VALUE!</v>
      </c>
      <c r="AT35" t="e">
        <f>AND('Planilla_General_07-12-2012_8_3'!K515,"AAAAAG/9+y0=")</f>
        <v>#VALUE!</v>
      </c>
      <c r="AU35" t="e">
        <f>AND('Planilla_General_07-12-2012_8_3'!L515,"AAAAAG/9+y4=")</f>
        <v>#VALUE!</v>
      </c>
      <c r="AV35" t="e">
        <f>AND('Planilla_General_07-12-2012_8_3'!M515,"AAAAAG/9+y8=")</f>
        <v>#VALUE!</v>
      </c>
      <c r="AW35" t="e">
        <f>AND('Planilla_General_07-12-2012_8_3'!N515,"AAAAAG/9+zA=")</f>
        <v>#VALUE!</v>
      </c>
      <c r="AX35" t="e">
        <f>AND('Planilla_General_07-12-2012_8_3'!O515,"AAAAAG/9+zE=")</f>
        <v>#VALUE!</v>
      </c>
      <c r="AY35" t="e">
        <f>AND('Planilla_General_07-12-2012_8_3'!P515,"AAAAAG/9+zI=")</f>
        <v>#VALUE!</v>
      </c>
      <c r="AZ35">
        <f>IF('Planilla_General_07-12-2012_8_3'!516:516,"AAAAAG/9+zM=",0)</f>
        <v>0</v>
      </c>
      <c r="BA35" t="e">
        <f>AND('Planilla_General_07-12-2012_8_3'!A516,"AAAAAG/9+zQ=")</f>
        <v>#VALUE!</v>
      </c>
      <c r="BB35" t="e">
        <f>AND('Planilla_General_07-12-2012_8_3'!B516,"AAAAAG/9+zU=")</f>
        <v>#VALUE!</v>
      </c>
      <c r="BC35" t="e">
        <f>AND('Planilla_General_07-12-2012_8_3'!C516,"AAAAAG/9+zY=")</f>
        <v>#VALUE!</v>
      </c>
      <c r="BD35" t="e">
        <f>AND('Planilla_General_07-12-2012_8_3'!D516,"AAAAAG/9+zc=")</f>
        <v>#VALUE!</v>
      </c>
      <c r="BE35" t="e">
        <f>AND('Planilla_General_07-12-2012_8_3'!E516,"AAAAAG/9+zg=")</f>
        <v>#VALUE!</v>
      </c>
      <c r="BF35" t="e">
        <f>AND('Planilla_General_07-12-2012_8_3'!F516,"AAAAAG/9+zk=")</f>
        <v>#VALUE!</v>
      </c>
      <c r="BG35" t="e">
        <f>AND('Planilla_General_07-12-2012_8_3'!G516,"AAAAAG/9+zo=")</f>
        <v>#VALUE!</v>
      </c>
      <c r="BH35" t="e">
        <f>AND('Planilla_General_07-12-2012_8_3'!H516,"AAAAAG/9+zs=")</f>
        <v>#VALUE!</v>
      </c>
      <c r="BI35" t="e">
        <f>AND('Planilla_General_07-12-2012_8_3'!I516,"AAAAAG/9+zw=")</f>
        <v>#VALUE!</v>
      </c>
      <c r="BJ35" t="e">
        <f>AND('Planilla_General_07-12-2012_8_3'!J516,"AAAAAG/9+z0=")</f>
        <v>#VALUE!</v>
      </c>
      <c r="BK35" t="e">
        <f>AND('Planilla_General_07-12-2012_8_3'!K516,"AAAAAG/9+z4=")</f>
        <v>#VALUE!</v>
      </c>
      <c r="BL35" t="e">
        <f>AND('Planilla_General_07-12-2012_8_3'!L516,"AAAAAG/9+z8=")</f>
        <v>#VALUE!</v>
      </c>
      <c r="BM35" t="e">
        <f>AND('Planilla_General_07-12-2012_8_3'!M516,"AAAAAG/9+0A=")</f>
        <v>#VALUE!</v>
      </c>
      <c r="BN35" t="e">
        <f>AND('Planilla_General_07-12-2012_8_3'!N516,"AAAAAG/9+0E=")</f>
        <v>#VALUE!</v>
      </c>
      <c r="BO35" t="e">
        <f>AND('Planilla_General_07-12-2012_8_3'!O516,"AAAAAG/9+0I=")</f>
        <v>#VALUE!</v>
      </c>
      <c r="BP35" t="e">
        <f>AND('Planilla_General_07-12-2012_8_3'!P516,"AAAAAG/9+0M=")</f>
        <v>#VALUE!</v>
      </c>
      <c r="BQ35">
        <f>IF('Planilla_General_07-12-2012_8_3'!517:517,"AAAAAG/9+0Q=",0)</f>
        <v>0</v>
      </c>
      <c r="BR35" t="e">
        <f>AND('Planilla_General_07-12-2012_8_3'!A517,"AAAAAG/9+0U=")</f>
        <v>#VALUE!</v>
      </c>
      <c r="BS35" t="e">
        <f>AND('Planilla_General_07-12-2012_8_3'!B517,"AAAAAG/9+0Y=")</f>
        <v>#VALUE!</v>
      </c>
      <c r="BT35" t="e">
        <f>AND('Planilla_General_07-12-2012_8_3'!C517,"AAAAAG/9+0c=")</f>
        <v>#VALUE!</v>
      </c>
      <c r="BU35" t="e">
        <f>AND('Planilla_General_07-12-2012_8_3'!D517,"AAAAAG/9+0g=")</f>
        <v>#VALUE!</v>
      </c>
      <c r="BV35" t="e">
        <f>AND('Planilla_General_07-12-2012_8_3'!E517,"AAAAAG/9+0k=")</f>
        <v>#VALUE!</v>
      </c>
      <c r="BW35" t="e">
        <f>AND('Planilla_General_07-12-2012_8_3'!F517,"AAAAAG/9+0o=")</f>
        <v>#VALUE!</v>
      </c>
      <c r="BX35" t="e">
        <f>AND('Planilla_General_07-12-2012_8_3'!G517,"AAAAAG/9+0s=")</f>
        <v>#VALUE!</v>
      </c>
      <c r="BY35" t="e">
        <f>AND('Planilla_General_07-12-2012_8_3'!H517,"AAAAAG/9+0w=")</f>
        <v>#VALUE!</v>
      </c>
      <c r="BZ35" t="e">
        <f>AND('Planilla_General_07-12-2012_8_3'!I517,"AAAAAG/9+00=")</f>
        <v>#VALUE!</v>
      </c>
      <c r="CA35" t="e">
        <f>AND('Planilla_General_07-12-2012_8_3'!J517,"AAAAAG/9+04=")</f>
        <v>#VALUE!</v>
      </c>
      <c r="CB35" t="e">
        <f>AND('Planilla_General_07-12-2012_8_3'!K517,"AAAAAG/9+08=")</f>
        <v>#VALUE!</v>
      </c>
      <c r="CC35" t="e">
        <f>AND('Planilla_General_07-12-2012_8_3'!L517,"AAAAAG/9+1A=")</f>
        <v>#VALUE!</v>
      </c>
      <c r="CD35" t="e">
        <f>AND('Planilla_General_07-12-2012_8_3'!M517,"AAAAAG/9+1E=")</f>
        <v>#VALUE!</v>
      </c>
      <c r="CE35" t="e">
        <f>AND('Planilla_General_07-12-2012_8_3'!N517,"AAAAAG/9+1I=")</f>
        <v>#VALUE!</v>
      </c>
      <c r="CF35" t="e">
        <f>AND('Planilla_General_07-12-2012_8_3'!O517,"AAAAAG/9+1M=")</f>
        <v>#VALUE!</v>
      </c>
      <c r="CG35" t="e">
        <f>AND('Planilla_General_07-12-2012_8_3'!P517,"AAAAAG/9+1Q=")</f>
        <v>#VALUE!</v>
      </c>
      <c r="CH35">
        <f>IF('Planilla_General_07-12-2012_8_3'!518:518,"AAAAAG/9+1U=",0)</f>
        <v>0</v>
      </c>
      <c r="CI35" t="e">
        <f>AND('Planilla_General_07-12-2012_8_3'!A518,"AAAAAG/9+1Y=")</f>
        <v>#VALUE!</v>
      </c>
      <c r="CJ35" t="e">
        <f>AND('Planilla_General_07-12-2012_8_3'!B518,"AAAAAG/9+1c=")</f>
        <v>#VALUE!</v>
      </c>
      <c r="CK35" t="e">
        <f>AND('Planilla_General_07-12-2012_8_3'!C518,"AAAAAG/9+1g=")</f>
        <v>#VALUE!</v>
      </c>
      <c r="CL35" t="e">
        <f>AND('Planilla_General_07-12-2012_8_3'!D518,"AAAAAG/9+1k=")</f>
        <v>#VALUE!</v>
      </c>
      <c r="CM35" t="e">
        <f>AND('Planilla_General_07-12-2012_8_3'!E518,"AAAAAG/9+1o=")</f>
        <v>#VALUE!</v>
      </c>
      <c r="CN35" t="e">
        <f>AND('Planilla_General_07-12-2012_8_3'!F518,"AAAAAG/9+1s=")</f>
        <v>#VALUE!</v>
      </c>
      <c r="CO35" t="e">
        <f>AND('Planilla_General_07-12-2012_8_3'!G518,"AAAAAG/9+1w=")</f>
        <v>#VALUE!</v>
      </c>
      <c r="CP35" t="e">
        <f>AND('Planilla_General_07-12-2012_8_3'!H518,"AAAAAG/9+10=")</f>
        <v>#VALUE!</v>
      </c>
      <c r="CQ35" t="e">
        <f>AND('Planilla_General_07-12-2012_8_3'!I518,"AAAAAG/9+14=")</f>
        <v>#VALUE!</v>
      </c>
      <c r="CR35" t="e">
        <f>AND('Planilla_General_07-12-2012_8_3'!J518,"AAAAAG/9+18=")</f>
        <v>#VALUE!</v>
      </c>
      <c r="CS35" t="e">
        <f>AND('Planilla_General_07-12-2012_8_3'!K518,"AAAAAG/9+2A=")</f>
        <v>#VALUE!</v>
      </c>
      <c r="CT35" t="e">
        <f>AND('Planilla_General_07-12-2012_8_3'!L518,"AAAAAG/9+2E=")</f>
        <v>#VALUE!</v>
      </c>
      <c r="CU35" t="e">
        <f>AND('Planilla_General_07-12-2012_8_3'!M518,"AAAAAG/9+2I=")</f>
        <v>#VALUE!</v>
      </c>
      <c r="CV35" t="e">
        <f>AND('Planilla_General_07-12-2012_8_3'!N518,"AAAAAG/9+2M=")</f>
        <v>#VALUE!</v>
      </c>
      <c r="CW35" t="e">
        <f>AND('Planilla_General_07-12-2012_8_3'!O518,"AAAAAG/9+2Q=")</f>
        <v>#VALUE!</v>
      </c>
      <c r="CX35" t="e">
        <f>AND('Planilla_General_07-12-2012_8_3'!P518,"AAAAAG/9+2U=")</f>
        <v>#VALUE!</v>
      </c>
      <c r="CY35">
        <f>IF('Planilla_General_07-12-2012_8_3'!519:519,"AAAAAG/9+2Y=",0)</f>
        <v>0</v>
      </c>
      <c r="CZ35" t="e">
        <f>AND('Planilla_General_07-12-2012_8_3'!A519,"AAAAAG/9+2c=")</f>
        <v>#VALUE!</v>
      </c>
      <c r="DA35" t="e">
        <f>AND('Planilla_General_07-12-2012_8_3'!B519,"AAAAAG/9+2g=")</f>
        <v>#VALUE!</v>
      </c>
      <c r="DB35" t="e">
        <f>AND('Planilla_General_07-12-2012_8_3'!C519,"AAAAAG/9+2k=")</f>
        <v>#VALUE!</v>
      </c>
      <c r="DC35" t="e">
        <f>AND('Planilla_General_07-12-2012_8_3'!D519,"AAAAAG/9+2o=")</f>
        <v>#VALUE!</v>
      </c>
      <c r="DD35" t="e">
        <f>AND('Planilla_General_07-12-2012_8_3'!E519,"AAAAAG/9+2s=")</f>
        <v>#VALUE!</v>
      </c>
      <c r="DE35" t="e">
        <f>AND('Planilla_General_07-12-2012_8_3'!F519,"AAAAAG/9+2w=")</f>
        <v>#VALUE!</v>
      </c>
      <c r="DF35" t="e">
        <f>AND('Planilla_General_07-12-2012_8_3'!G519,"AAAAAG/9+20=")</f>
        <v>#VALUE!</v>
      </c>
      <c r="DG35" t="e">
        <f>AND('Planilla_General_07-12-2012_8_3'!H519,"AAAAAG/9+24=")</f>
        <v>#VALUE!</v>
      </c>
      <c r="DH35" t="e">
        <f>AND('Planilla_General_07-12-2012_8_3'!I519,"AAAAAG/9+28=")</f>
        <v>#VALUE!</v>
      </c>
      <c r="DI35" t="e">
        <f>AND('Planilla_General_07-12-2012_8_3'!J519,"AAAAAG/9+3A=")</f>
        <v>#VALUE!</v>
      </c>
      <c r="DJ35" t="e">
        <f>AND('Planilla_General_07-12-2012_8_3'!K519,"AAAAAG/9+3E=")</f>
        <v>#VALUE!</v>
      </c>
      <c r="DK35" t="e">
        <f>AND('Planilla_General_07-12-2012_8_3'!L519,"AAAAAG/9+3I=")</f>
        <v>#VALUE!</v>
      </c>
      <c r="DL35" t="e">
        <f>AND('Planilla_General_07-12-2012_8_3'!M519,"AAAAAG/9+3M=")</f>
        <v>#VALUE!</v>
      </c>
      <c r="DM35" t="e">
        <f>AND('Planilla_General_07-12-2012_8_3'!N519,"AAAAAG/9+3Q=")</f>
        <v>#VALUE!</v>
      </c>
      <c r="DN35" t="e">
        <f>AND('Planilla_General_07-12-2012_8_3'!O519,"AAAAAG/9+3U=")</f>
        <v>#VALUE!</v>
      </c>
      <c r="DO35" t="e">
        <f>AND('Planilla_General_07-12-2012_8_3'!P519,"AAAAAG/9+3Y=")</f>
        <v>#VALUE!</v>
      </c>
      <c r="DP35">
        <f>IF('Planilla_General_07-12-2012_8_3'!520:520,"AAAAAG/9+3c=",0)</f>
        <v>0</v>
      </c>
      <c r="DQ35" t="e">
        <f>AND('Planilla_General_07-12-2012_8_3'!A520,"AAAAAG/9+3g=")</f>
        <v>#VALUE!</v>
      </c>
      <c r="DR35" t="e">
        <f>AND('Planilla_General_07-12-2012_8_3'!B520,"AAAAAG/9+3k=")</f>
        <v>#VALUE!</v>
      </c>
      <c r="DS35" t="e">
        <f>AND('Planilla_General_07-12-2012_8_3'!C520,"AAAAAG/9+3o=")</f>
        <v>#VALUE!</v>
      </c>
      <c r="DT35" t="e">
        <f>AND('Planilla_General_07-12-2012_8_3'!D520,"AAAAAG/9+3s=")</f>
        <v>#VALUE!</v>
      </c>
      <c r="DU35" t="e">
        <f>AND('Planilla_General_07-12-2012_8_3'!E520,"AAAAAG/9+3w=")</f>
        <v>#VALUE!</v>
      </c>
      <c r="DV35" t="e">
        <f>AND('Planilla_General_07-12-2012_8_3'!F520,"AAAAAG/9+30=")</f>
        <v>#VALUE!</v>
      </c>
      <c r="DW35" t="e">
        <f>AND('Planilla_General_07-12-2012_8_3'!G520,"AAAAAG/9+34=")</f>
        <v>#VALUE!</v>
      </c>
      <c r="DX35" t="e">
        <f>AND('Planilla_General_07-12-2012_8_3'!H520,"AAAAAG/9+38=")</f>
        <v>#VALUE!</v>
      </c>
      <c r="DY35" t="e">
        <f>AND('Planilla_General_07-12-2012_8_3'!I520,"AAAAAG/9+4A=")</f>
        <v>#VALUE!</v>
      </c>
      <c r="DZ35" t="e">
        <f>AND('Planilla_General_07-12-2012_8_3'!J520,"AAAAAG/9+4E=")</f>
        <v>#VALUE!</v>
      </c>
      <c r="EA35" t="e">
        <f>AND('Planilla_General_07-12-2012_8_3'!K520,"AAAAAG/9+4I=")</f>
        <v>#VALUE!</v>
      </c>
      <c r="EB35" t="e">
        <f>AND('Planilla_General_07-12-2012_8_3'!L520,"AAAAAG/9+4M=")</f>
        <v>#VALUE!</v>
      </c>
      <c r="EC35" t="e">
        <f>AND('Planilla_General_07-12-2012_8_3'!M520,"AAAAAG/9+4Q=")</f>
        <v>#VALUE!</v>
      </c>
      <c r="ED35" t="e">
        <f>AND('Planilla_General_07-12-2012_8_3'!N520,"AAAAAG/9+4U=")</f>
        <v>#VALUE!</v>
      </c>
      <c r="EE35" t="e">
        <f>AND('Planilla_General_07-12-2012_8_3'!O520,"AAAAAG/9+4Y=")</f>
        <v>#VALUE!</v>
      </c>
      <c r="EF35" t="e">
        <f>AND('Planilla_General_07-12-2012_8_3'!P520,"AAAAAG/9+4c=")</f>
        <v>#VALUE!</v>
      </c>
      <c r="EG35">
        <f>IF('Planilla_General_07-12-2012_8_3'!521:521,"AAAAAG/9+4g=",0)</f>
        <v>0</v>
      </c>
      <c r="EH35" t="e">
        <f>AND('Planilla_General_07-12-2012_8_3'!A521,"AAAAAG/9+4k=")</f>
        <v>#VALUE!</v>
      </c>
      <c r="EI35" t="e">
        <f>AND('Planilla_General_07-12-2012_8_3'!B521,"AAAAAG/9+4o=")</f>
        <v>#VALUE!</v>
      </c>
      <c r="EJ35" t="e">
        <f>AND('Planilla_General_07-12-2012_8_3'!C521,"AAAAAG/9+4s=")</f>
        <v>#VALUE!</v>
      </c>
      <c r="EK35" t="e">
        <f>AND('Planilla_General_07-12-2012_8_3'!D521,"AAAAAG/9+4w=")</f>
        <v>#VALUE!</v>
      </c>
      <c r="EL35" t="e">
        <f>AND('Planilla_General_07-12-2012_8_3'!E521,"AAAAAG/9+40=")</f>
        <v>#VALUE!</v>
      </c>
      <c r="EM35" t="e">
        <f>AND('Planilla_General_07-12-2012_8_3'!F521,"AAAAAG/9+44=")</f>
        <v>#VALUE!</v>
      </c>
      <c r="EN35" t="e">
        <f>AND('Planilla_General_07-12-2012_8_3'!G521,"AAAAAG/9+48=")</f>
        <v>#VALUE!</v>
      </c>
      <c r="EO35" t="e">
        <f>AND('Planilla_General_07-12-2012_8_3'!H521,"AAAAAG/9+5A=")</f>
        <v>#VALUE!</v>
      </c>
      <c r="EP35" t="e">
        <f>AND('Planilla_General_07-12-2012_8_3'!I521,"AAAAAG/9+5E=")</f>
        <v>#VALUE!</v>
      </c>
      <c r="EQ35" t="e">
        <f>AND('Planilla_General_07-12-2012_8_3'!J521,"AAAAAG/9+5I=")</f>
        <v>#VALUE!</v>
      </c>
      <c r="ER35" t="e">
        <f>AND('Planilla_General_07-12-2012_8_3'!K521,"AAAAAG/9+5M=")</f>
        <v>#VALUE!</v>
      </c>
      <c r="ES35" t="e">
        <f>AND('Planilla_General_07-12-2012_8_3'!L521,"AAAAAG/9+5Q=")</f>
        <v>#VALUE!</v>
      </c>
      <c r="ET35" t="e">
        <f>AND('Planilla_General_07-12-2012_8_3'!M521,"AAAAAG/9+5U=")</f>
        <v>#VALUE!</v>
      </c>
      <c r="EU35" t="e">
        <f>AND('Planilla_General_07-12-2012_8_3'!N521,"AAAAAG/9+5Y=")</f>
        <v>#VALUE!</v>
      </c>
      <c r="EV35" t="e">
        <f>AND('Planilla_General_07-12-2012_8_3'!O521,"AAAAAG/9+5c=")</f>
        <v>#VALUE!</v>
      </c>
      <c r="EW35" t="e">
        <f>AND('Planilla_General_07-12-2012_8_3'!P521,"AAAAAG/9+5g=")</f>
        <v>#VALUE!</v>
      </c>
      <c r="EX35">
        <f>IF('Planilla_General_07-12-2012_8_3'!522:522,"AAAAAG/9+5k=",0)</f>
        <v>0</v>
      </c>
      <c r="EY35" t="e">
        <f>AND('Planilla_General_07-12-2012_8_3'!A522,"AAAAAG/9+5o=")</f>
        <v>#VALUE!</v>
      </c>
      <c r="EZ35" t="e">
        <f>AND('Planilla_General_07-12-2012_8_3'!B522,"AAAAAG/9+5s=")</f>
        <v>#VALUE!</v>
      </c>
      <c r="FA35" t="e">
        <f>AND('Planilla_General_07-12-2012_8_3'!C522,"AAAAAG/9+5w=")</f>
        <v>#VALUE!</v>
      </c>
      <c r="FB35" t="e">
        <f>AND('Planilla_General_07-12-2012_8_3'!D522,"AAAAAG/9+50=")</f>
        <v>#VALUE!</v>
      </c>
      <c r="FC35" t="e">
        <f>AND('Planilla_General_07-12-2012_8_3'!E522,"AAAAAG/9+54=")</f>
        <v>#VALUE!</v>
      </c>
      <c r="FD35" t="e">
        <f>AND('Planilla_General_07-12-2012_8_3'!F522,"AAAAAG/9+58=")</f>
        <v>#VALUE!</v>
      </c>
      <c r="FE35" t="e">
        <f>AND('Planilla_General_07-12-2012_8_3'!G522,"AAAAAG/9+6A=")</f>
        <v>#VALUE!</v>
      </c>
      <c r="FF35" t="e">
        <f>AND('Planilla_General_07-12-2012_8_3'!H522,"AAAAAG/9+6E=")</f>
        <v>#VALUE!</v>
      </c>
      <c r="FG35" t="e">
        <f>AND('Planilla_General_07-12-2012_8_3'!I522,"AAAAAG/9+6I=")</f>
        <v>#VALUE!</v>
      </c>
      <c r="FH35" t="e">
        <f>AND('Planilla_General_07-12-2012_8_3'!J522,"AAAAAG/9+6M=")</f>
        <v>#VALUE!</v>
      </c>
      <c r="FI35" t="e">
        <f>AND('Planilla_General_07-12-2012_8_3'!K522,"AAAAAG/9+6Q=")</f>
        <v>#VALUE!</v>
      </c>
      <c r="FJ35" t="e">
        <f>AND('Planilla_General_07-12-2012_8_3'!L522,"AAAAAG/9+6U=")</f>
        <v>#VALUE!</v>
      </c>
      <c r="FK35" t="e">
        <f>AND('Planilla_General_07-12-2012_8_3'!M522,"AAAAAG/9+6Y=")</f>
        <v>#VALUE!</v>
      </c>
      <c r="FL35" t="e">
        <f>AND('Planilla_General_07-12-2012_8_3'!N522,"AAAAAG/9+6c=")</f>
        <v>#VALUE!</v>
      </c>
      <c r="FM35" t="e">
        <f>AND('Planilla_General_07-12-2012_8_3'!O522,"AAAAAG/9+6g=")</f>
        <v>#VALUE!</v>
      </c>
      <c r="FN35" t="e">
        <f>AND('Planilla_General_07-12-2012_8_3'!P522,"AAAAAG/9+6k=")</f>
        <v>#VALUE!</v>
      </c>
      <c r="FO35">
        <f>IF('Planilla_General_07-12-2012_8_3'!523:523,"AAAAAG/9+6o=",0)</f>
        <v>0</v>
      </c>
      <c r="FP35" t="e">
        <f>AND('Planilla_General_07-12-2012_8_3'!A523,"AAAAAG/9+6s=")</f>
        <v>#VALUE!</v>
      </c>
      <c r="FQ35" t="e">
        <f>AND('Planilla_General_07-12-2012_8_3'!B523,"AAAAAG/9+6w=")</f>
        <v>#VALUE!</v>
      </c>
      <c r="FR35" t="e">
        <f>AND('Planilla_General_07-12-2012_8_3'!C523,"AAAAAG/9+60=")</f>
        <v>#VALUE!</v>
      </c>
      <c r="FS35" t="e">
        <f>AND('Planilla_General_07-12-2012_8_3'!D523,"AAAAAG/9+64=")</f>
        <v>#VALUE!</v>
      </c>
      <c r="FT35" t="e">
        <f>AND('Planilla_General_07-12-2012_8_3'!E523,"AAAAAG/9+68=")</f>
        <v>#VALUE!</v>
      </c>
      <c r="FU35" t="e">
        <f>AND('Planilla_General_07-12-2012_8_3'!F523,"AAAAAG/9+7A=")</f>
        <v>#VALUE!</v>
      </c>
      <c r="FV35" t="e">
        <f>AND('Planilla_General_07-12-2012_8_3'!G523,"AAAAAG/9+7E=")</f>
        <v>#VALUE!</v>
      </c>
      <c r="FW35" t="e">
        <f>AND('Planilla_General_07-12-2012_8_3'!H523,"AAAAAG/9+7I=")</f>
        <v>#VALUE!</v>
      </c>
      <c r="FX35" t="e">
        <f>AND('Planilla_General_07-12-2012_8_3'!I523,"AAAAAG/9+7M=")</f>
        <v>#VALUE!</v>
      </c>
      <c r="FY35" t="e">
        <f>AND('Planilla_General_07-12-2012_8_3'!J523,"AAAAAG/9+7Q=")</f>
        <v>#VALUE!</v>
      </c>
      <c r="FZ35" t="e">
        <f>AND('Planilla_General_07-12-2012_8_3'!K523,"AAAAAG/9+7U=")</f>
        <v>#VALUE!</v>
      </c>
      <c r="GA35" t="e">
        <f>AND('Planilla_General_07-12-2012_8_3'!L523,"AAAAAG/9+7Y=")</f>
        <v>#VALUE!</v>
      </c>
      <c r="GB35" t="e">
        <f>AND('Planilla_General_07-12-2012_8_3'!M523,"AAAAAG/9+7c=")</f>
        <v>#VALUE!</v>
      </c>
      <c r="GC35" t="e">
        <f>AND('Planilla_General_07-12-2012_8_3'!N523,"AAAAAG/9+7g=")</f>
        <v>#VALUE!</v>
      </c>
      <c r="GD35" t="e">
        <f>AND('Planilla_General_07-12-2012_8_3'!O523,"AAAAAG/9+7k=")</f>
        <v>#VALUE!</v>
      </c>
      <c r="GE35" t="e">
        <f>AND('Planilla_General_07-12-2012_8_3'!P523,"AAAAAG/9+7o=")</f>
        <v>#VALUE!</v>
      </c>
      <c r="GF35">
        <f>IF('Planilla_General_07-12-2012_8_3'!524:524,"AAAAAG/9+7s=",0)</f>
        <v>0</v>
      </c>
      <c r="GG35" t="e">
        <f>AND('Planilla_General_07-12-2012_8_3'!A524,"AAAAAG/9+7w=")</f>
        <v>#VALUE!</v>
      </c>
      <c r="GH35" t="e">
        <f>AND('Planilla_General_07-12-2012_8_3'!B524,"AAAAAG/9+70=")</f>
        <v>#VALUE!</v>
      </c>
      <c r="GI35" t="e">
        <f>AND('Planilla_General_07-12-2012_8_3'!C524,"AAAAAG/9+74=")</f>
        <v>#VALUE!</v>
      </c>
      <c r="GJ35" t="e">
        <f>AND('Planilla_General_07-12-2012_8_3'!D524,"AAAAAG/9+78=")</f>
        <v>#VALUE!</v>
      </c>
      <c r="GK35" t="e">
        <f>AND('Planilla_General_07-12-2012_8_3'!E524,"AAAAAG/9+8A=")</f>
        <v>#VALUE!</v>
      </c>
      <c r="GL35" t="e">
        <f>AND('Planilla_General_07-12-2012_8_3'!F524,"AAAAAG/9+8E=")</f>
        <v>#VALUE!</v>
      </c>
      <c r="GM35" t="e">
        <f>AND('Planilla_General_07-12-2012_8_3'!G524,"AAAAAG/9+8I=")</f>
        <v>#VALUE!</v>
      </c>
      <c r="GN35" t="e">
        <f>AND('Planilla_General_07-12-2012_8_3'!H524,"AAAAAG/9+8M=")</f>
        <v>#VALUE!</v>
      </c>
      <c r="GO35" t="e">
        <f>AND('Planilla_General_07-12-2012_8_3'!I524,"AAAAAG/9+8Q=")</f>
        <v>#VALUE!</v>
      </c>
      <c r="GP35" t="e">
        <f>AND('Planilla_General_07-12-2012_8_3'!J524,"AAAAAG/9+8U=")</f>
        <v>#VALUE!</v>
      </c>
      <c r="GQ35" t="e">
        <f>AND('Planilla_General_07-12-2012_8_3'!K524,"AAAAAG/9+8Y=")</f>
        <v>#VALUE!</v>
      </c>
      <c r="GR35" t="e">
        <f>AND('Planilla_General_07-12-2012_8_3'!L524,"AAAAAG/9+8c=")</f>
        <v>#VALUE!</v>
      </c>
      <c r="GS35" t="e">
        <f>AND('Planilla_General_07-12-2012_8_3'!M524,"AAAAAG/9+8g=")</f>
        <v>#VALUE!</v>
      </c>
      <c r="GT35" t="e">
        <f>AND('Planilla_General_07-12-2012_8_3'!N524,"AAAAAG/9+8k=")</f>
        <v>#VALUE!</v>
      </c>
      <c r="GU35" t="e">
        <f>AND('Planilla_General_07-12-2012_8_3'!O524,"AAAAAG/9+8o=")</f>
        <v>#VALUE!</v>
      </c>
      <c r="GV35" t="e">
        <f>AND('Planilla_General_07-12-2012_8_3'!P524,"AAAAAG/9+8s=")</f>
        <v>#VALUE!</v>
      </c>
      <c r="GW35">
        <f>IF('Planilla_General_07-12-2012_8_3'!525:525,"AAAAAG/9+8w=",0)</f>
        <v>0</v>
      </c>
      <c r="GX35" t="e">
        <f>AND('Planilla_General_07-12-2012_8_3'!A525,"AAAAAG/9+80=")</f>
        <v>#VALUE!</v>
      </c>
      <c r="GY35" t="e">
        <f>AND('Planilla_General_07-12-2012_8_3'!B525,"AAAAAG/9+84=")</f>
        <v>#VALUE!</v>
      </c>
      <c r="GZ35" t="e">
        <f>AND('Planilla_General_07-12-2012_8_3'!C525,"AAAAAG/9+88=")</f>
        <v>#VALUE!</v>
      </c>
      <c r="HA35" t="e">
        <f>AND('Planilla_General_07-12-2012_8_3'!D525,"AAAAAG/9+9A=")</f>
        <v>#VALUE!</v>
      </c>
      <c r="HB35" t="e">
        <f>AND('Planilla_General_07-12-2012_8_3'!E525,"AAAAAG/9+9E=")</f>
        <v>#VALUE!</v>
      </c>
      <c r="HC35" t="e">
        <f>AND('Planilla_General_07-12-2012_8_3'!F525,"AAAAAG/9+9I=")</f>
        <v>#VALUE!</v>
      </c>
      <c r="HD35" t="e">
        <f>AND('Planilla_General_07-12-2012_8_3'!G525,"AAAAAG/9+9M=")</f>
        <v>#VALUE!</v>
      </c>
      <c r="HE35" t="e">
        <f>AND('Planilla_General_07-12-2012_8_3'!H525,"AAAAAG/9+9Q=")</f>
        <v>#VALUE!</v>
      </c>
      <c r="HF35" t="e">
        <f>AND('Planilla_General_07-12-2012_8_3'!I525,"AAAAAG/9+9U=")</f>
        <v>#VALUE!</v>
      </c>
      <c r="HG35" t="e">
        <f>AND('Planilla_General_07-12-2012_8_3'!J525,"AAAAAG/9+9Y=")</f>
        <v>#VALUE!</v>
      </c>
      <c r="HH35" t="e">
        <f>AND('Planilla_General_07-12-2012_8_3'!K525,"AAAAAG/9+9c=")</f>
        <v>#VALUE!</v>
      </c>
      <c r="HI35" t="e">
        <f>AND('Planilla_General_07-12-2012_8_3'!L525,"AAAAAG/9+9g=")</f>
        <v>#VALUE!</v>
      </c>
      <c r="HJ35" t="e">
        <f>AND('Planilla_General_07-12-2012_8_3'!M525,"AAAAAG/9+9k=")</f>
        <v>#VALUE!</v>
      </c>
      <c r="HK35" t="e">
        <f>AND('Planilla_General_07-12-2012_8_3'!N525,"AAAAAG/9+9o=")</f>
        <v>#VALUE!</v>
      </c>
      <c r="HL35" t="e">
        <f>AND('Planilla_General_07-12-2012_8_3'!O525,"AAAAAG/9+9s=")</f>
        <v>#VALUE!</v>
      </c>
      <c r="HM35" t="e">
        <f>AND('Planilla_General_07-12-2012_8_3'!P525,"AAAAAG/9+9w=")</f>
        <v>#VALUE!</v>
      </c>
      <c r="HN35">
        <f>IF('Planilla_General_07-12-2012_8_3'!526:526,"AAAAAG/9+90=",0)</f>
        <v>0</v>
      </c>
      <c r="HO35" t="e">
        <f>AND('Planilla_General_07-12-2012_8_3'!A526,"AAAAAG/9+94=")</f>
        <v>#VALUE!</v>
      </c>
      <c r="HP35" t="e">
        <f>AND('Planilla_General_07-12-2012_8_3'!B526,"AAAAAG/9+98=")</f>
        <v>#VALUE!</v>
      </c>
      <c r="HQ35" t="e">
        <f>AND('Planilla_General_07-12-2012_8_3'!C526,"AAAAAG/9++A=")</f>
        <v>#VALUE!</v>
      </c>
      <c r="HR35" t="e">
        <f>AND('Planilla_General_07-12-2012_8_3'!D526,"AAAAAG/9++E=")</f>
        <v>#VALUE!</v>
      </c>
      <c r="HS35" t="e">
        <f>AND('Planilla_General_07-12-2012_8_3'!E526,"AAAAAG/9++I=")</f>
        <v>#VALUE!</v>
      </c>
      <c r="HT35" t="e">
        <f>AND('Planilla_General_07-12-2012_8_3'!F526,"AAAAAG/9++M=")</f>
        <v>#VALUE!</v>
      </c>
      <c r="HU35" t="e">
        <f>AND('Planilla_General_07-12-2012_8_3'!G526,"AAAAAG/9++Q=")</f>
        <v>#VALUE!</v>
      </c>
      <c r="HV35" t="e">
        <f>AND('Planilla_General_07-12-2012_8_3'!H526,"AAAAAG/9++U=")</f>
        <v>#VALUE!</v>
      </c>
      <c r="HW35" t="e">
        <f>AND('Planilla_General_07-12-2012_8_3'!I526,"AAAAAG/9++Y=")</f>
        <v>#VALUE!</v>
      </c>
      <c r="HX35" t="e">
        <f>AND('Planilla_General_07-12-2012_8_3'!J526,"AAAAAG/9++c=")</f>
        <v>#VALUE!</v>
      </c>
      <c r="HY35" t="e">
        <f>AND('Planilla_General_07-12-2012_8_3'!K526,"AAAAAG/9++g=")</f>
        <v>#VALUE!</v>
      </c>
      <c r="HZ35" t="e">
        <f>AND('Planilla_General_07-12-2012_8_3'!L526,"AAAAAG/9++k=")</f>
        <v>#VALUE!</v>
      </c>
      <c r="IA35" t="e">
        <f>AND('Planilla_General_07-12-2012_8_3'!M526,"AAAAAG/9++o=")</f>
        <v>#VALUE!</v>
      </c>
      <c r="IB35" t="e">
        <f>AND('Planilla_General_07-12-2012_8_3'!N526,"AAAAAG/9++s=")</f>
        <v>#VALUE!</v>
      </c>
      <c r="IC35" t="e">
        <f>AND('Planilla_General_07-12-2012_8_3'!O526,"AAAAAG/9++w=")</f>
        <v>#VALUE!</v>
      </c>
      <c r="ID35" t="e">
        <f>AND('Planilla_General_07-12-2012_8_3'!P526,"AAAAAG/9++0=")</f>
        <v>#VALUE!</v>
      </c>
      <c r="IE35">
        <f>IF('Planilla_General_07-12-2012_8_3'!527:527,"AAAAAG/9++4=",0)</f>
        <v>0</v>
      </c>
      <c r="IF35" t="e">
        <f>AND('Planilla_General_07-12-2012_8_3'!A527,"AAAAAG/9++8=")</f>
        <v>#VALUE!</v>
      </c>
      <c r="IG35" t="e">
        <f>AND('Planilla_General_07-12-2012_8_3'!B527,"AAAAAG/9+/A=")</f>
        <v>#VALUE!</v>
      </c>
      <c r="IH35" t="e">
        <f>AND('Planilla_General_07-12-2012_8_3'!C527,"AAAAAG/9+/E=")</f>
        <v>#VALUE!</v>
      </c>
      <c r="II35" t="e">
        <f>AND('Planilla_General_07-12-2012_8_3'!D527,"AAAAAG/9+/I=")</f>
        <v>#VALUE!</v>
      </c>
      <c r="IJ35" t="e">
        <f>AND('Planilla_General_07-12-2012_8_3'!E527,"AAAAAG/9+/M=")</f>
        <v>#VALUE!</v>
      </c>
      <c r="IK35" t="e">
        <f>AND('Planilla_General_07-12-2012_8_3'!F527,"AAAAAG/9+/Q=")</f>
        <v>#VALUE!</v>
      </c>
      <c r="IL35" t="e">
        <f>AND('Planilla_General_07-12-2012_8_3'!G527,"AAAAAG/9+/U=")</f>
        <v>#VALUE!</v>
      </c>
      <c r="IM35" t="e">
        <f>AND('Planilla_General_07-12-2012_8_3'!H527,"AAAAAG/9+/Y=")</f>
        <v>#VALUE!</v>
      </c>
      <c r="IN35" t="e">
        <f>AND('Planilla_General_07-12-2012_8_3'!I527,"AAAAAG/9+/c=")</f>
        <v>#VALUE!</v>
      </c>
      <c r="IO35" t="e">
        <f>AND('Planilla_General_07-12-2012_8_3'!J527,"AAAAAG/9+/g=")</f>
        <v>#VALUE!</v>
      </c>
      <c r="IP35" t="e">
        <f>AND('Planilla_General_07-12-2012_8_3'!K527,"AAAAAG/9+/k=")</f>
        <v>#VALUE!</v>
      </c>
      <c r="IQ35" t="e">
        <f>AND('Planilla_General_07-12-2012_8_3'!L527,"AAAAAG/9+/o=")</f>
        <v>#VALUE!</v>
      </c>
      <c r="IR35" t="e">
        <f>AND('Planilla_General_07-12-2012_8_3'!M527,"AAAAAG/9+/s=")</f>
        <v>#VALUE!</v>
      </c>
      <c r="IS35" t="e">
        <f>AND('Planilla_General_07-12-2012_8_3'!N527,"AAAAAG/9+/w=")</f>
        <v>#VALUE!</v>
      </c>
      <c r="IT35" t="e">
        <f>AND('Planilla_General_07-12-2012_8_3'!O527,"AAAAAG/9+/0=")</f>
        <v>#VALUE!</v>
      </c>
      <c r="IU35" t="e">
        <f>AND('Planilla_General_07-12-2012_8_3'!P527,"AAAAAG/9+/4=")</f>
        <v>#VALUE!</v>
      </c>
      <c r="IV35">
        <f>IF('Planilla_General_07-12-2012_8_3'!528:528,"AAAAAG/9+/8=",0)</f>
        <v>0</v>
      </c>
    </row>
    <row r="36" spans="1:256" x14ac:dyDescent="0.25">
      <c r="A36" t="e">
        <f>AND('Planilla_General_07-12-2012_8_3'!A528,"AAAAAF+7/gA=")</f>
        <v>#VALUE!</v>
      </c>
      <c r="B36" t="e">
        <f>AND('Planilla_General_07-12-2012_8_3'!B528,"AAAAAF+7/gE=")</f>
        <v>#VALUE!</v>
      </c>
      <c r="C36" t="e">
        <f>AND('Planilla_General_07-12-2012_8_3'!C528,"AAAAAF+7/gI=")</f>
        <v>#VALUE!</v>
      </c>
      <c r="D36" t="e">
        <f>AND('Planilla_General_07-12-2012_8_3'!D528,"AAAAAF+7/gM=")</f>
        <v>#VALUE!</v>
      </c>
      <c r="E36" t="e">
        <f>AND('Planilla_General_07-12-2012_8_3'!E528,"AAAAAF+7/gQ=")</f>
        <v>#VALUE!</v>
      </c>
      <c r="F36" t="e">
        <f>AND('Planilla_General_07-12-2012_8_3'!F528,"AAAAAF+7/gU=")</f>
        <v>#VALUE!</v>
      </c>
      <c r="G36" t="e">
        <f>AND('Planilla_General_07-12-2012_8_3'!G528,"AAAAAF+7/gY=")</f>
        <v>#VALUE!</v>
      </c>
      <c r="H36" t="e">
        <f>AND('Planilla_General_07-12-2012_8_3'!H528,"AAAAAF+7/gc=")</f>
        <v>#VALUE!</v>
      </c>
      <c r="I36" t="e">
        <f>AND('Planilla_General_07-12-2012_8_3'!I528,"AAAAAF+7/gg=")</f>
        <v>#VALUE!</v>
      </c>
      <c r="J36" t="e">
        <f>AND('Planilla_General_07-12-2012_8_3'!J528,"AAAAAF+7/gk=")</f>
        <v>#VALUE!</v>
      </c>
      <c r="K36" t="e">
        <f>AND('Planilla_General_07-12-2012_8_3'!K528,"AAAAAF+7/go=")</f>
        <v>#VALUE!</v>
      </c>
      <c r="L36" t="e">
        <f>AND('Planilla_General_07-12-2012_8_3'!L528,"AAAAAF+7/gs=")</f>
        <v>#VALUE!</v>
      </c>
      <c r="M36" t="e">
        <f>AND('Planilla_General_07-12-2012_8_3'!M528,"AAAAAF+7/gw=")</f>
        <v>#VALUE!</v>
      </c>
      <c r="N36" t="e">
        <f>AND('Planilla_General_07-12-2012_8_3'!N528,"AAAAAF+7/g0=")</f>
        <v>#VALUE!</v>
      </c>
      <c r="O36" t="e">
        <f>AND('Planilla_General_07-12-2012_8_3'!O528,"AAAAAF+7/g4=")</f>
        <v>#VALUE!</v>
      </c>
      <c r="P36" t="e">
        <f>AND('Planilla_General_07-12-2012_8_3'!P528,"AAAAAF+7/g8=")</f>
        <v>#VALUE!</v>
      </c>
      <c r="Q36">
        <f>IF('Planilla_General_07-12-2012_8_3'!529:529,"AAAAAF+7/hA=",0)</f>
        <v>0</v>
      </c>
      <c r="R36" t="e">
        <f>AND('Planilla_General_07-12-2012_8_3'!A529,"AAAAAF+7/hE=")</f>
        <v>#VALUE!</v>
      </c>
      <c r="S36" t="e">
        <f>AND('Planilla_General_07-12-2012_8_3'!B529,"AAAAAF+7/hI=")</f>
        <v>#VALUE!</v>
      </c>
      <c r="T36" t="e">
        <f>AND('Planilla_General_07-12-2012_8_3'!C529,"AAAAAF+7/hM=")</f>
        <v>#VALUE!</v>
      </c>
      <c r="U36" t="e">
        <f>AND('Planilla_General_07-12-2012_8_3'!D529,"AAAAAF+7/hQ=")</f>
        <v>#VALUE!</v>
      </c>
      <c r="V36" t="e">
        <f>AND('Planilla_General_07-12-2012_8_3'!E529,"AAAAAF+7/hU=")</f>
        <v>#VALUE!</v>
      </c>
      <c r="W36" t="e">
        <f>AND('Planilla_General_07-12-2012_8_3'!F529,"AAAAAF+7/hY=")</f>
        <v>#VALUE!</v>
      </c>
      <c r="X36" t="e">
        <f>AND('Planilla_General_07-12-2012_8_3'!G529,"AAAAAF+7/hc=")</f>
        <v>#VALUE!</v>
      </c>
      <c r="Y36" t="e">
        <f>AND('Planilla_General_07-12-2012_8_3'!H529,"AAAAAF+7/hg=")</f>
        <v>#VALUE!</v>
      </c>
      <c r="Z36" t="e">
        <f>AND('Planilla_General_07-12-2012_8_3'!I529,"AAAAAF+7/hk=")</f>
        <v>#VALUE!</v>
      </c>
      <c r="AA36" t="e">
        <f>AND('Planilla_General_07-12-2012_8_3'!J529,"AAAAAF+7/ho=")</f>
        <v>#VALUE!</v>
      </c>
      <c r="AB36" t="e">
        <f>AND('Planilla_General_07-12-2012_8_3'!K529,"AAAAAF+7/hs=")</f>
        <v>#VALUE!</v>
      </c>
      <c r="AC36" t="e">
        <f>AND('Planilla_General_07-12-2012_8_3'!L529,"AAAAAF+7/hw=")</f>
        <v>#VALUE!</v>
      </c>
      <c r="AD36" t="e">
        <f>AND('Planilla_General_07-12-2012_8_3'!M529,"AAAAAF+7/h0=")</f>
        <v>#VALUE!</v>
      </c>
      <c r="AE36" t="e">
        <f>AND('Planilla_General_07-12-2012_8_3'!N529,"AAAAAF+7/h4=")</f>
        <v>#VALUE!</v>
      </c>
      <c r="AF36" t="e">
        <f>AND('Planilla_General_07-12-2012_8_3'!O529,"AAAAAF+7/h8=")</f>
        <v>#VALUE!</v>
      </c>
      <c r="AG36" t="e">
        <f>AND('Planilla_General_07-12-2012_8_3'!P529,"AAAAAF+7/iA=")</f>
        <v>#VALUE!</v>
      </c>
      <c r="AH36">
        <f>IF('Planilla_General_07-12-2012_8_3'!530:530,"AAAAAF+7/iE=",0)</f>
        <v>0</v>
      </c>
      <c r="AI36" t="e">
        <f>AND('Planilla_General_07-12-2012_8_3'!A530,"AAAAAF+7/iI=")</f>
        <v>#VALUE!</v>
      </c>
      <c r="AJ36" t="e">
        <f>AND('Planilla_General_07-12-2012_8_3'!B530,"AAAAAF+7/iM=")</f>
        <v>#VALUE!</v>
      </c>
      <c r="AK36" t="e">
        <f>AND('Planilla_General_07-12-2012_8_3'!C530,"AAAAAF+7/iQ=")</f>
        <v>#VALUE!</v>
      </c>
      <c r="AL36" t="e">
        <f>AND('Planilla_General_07-12-2012_8_3'!D530,"AAAAAF+7/iU=")</f>
        <v>#VALUE!</v>
      </c>
      <c r="AM36" t="e">
        <f>AND('Planilla_General_07-12-2012_8_3'!E530,"AAAAAF+7/iY=")</f>
        <v>#VALUE!</v>
      </c>
      <c r="AN36" t="e">
        <f>AND('Planilla_General_07-12-2012_8_3'!F530,"AAAAAF+7/ic=")</f>
        <v>#VALUE!</v>
      </c>
      <c r="AO36" t="e">
        <f>AND('Planilla_General_07-12-2012_8_3'!G530,"AAAAAF+7/ig=")</f>
        <v>#VALUE!</v>
      </c>
      <c r="AP36" t="e">
        <f>AND('Planilla_General_07-12-2012_8_3'!H530,"AAAAAF+7/ik=")</f>
        <v>#VALUE!</v>
      </c>
      <c r="AQ36" t="e">
        <f>AND('Planilla_General_07-12-2012_8_3'!I530,"AAAAAF+7/io=")</f>
        <v>#VALUE!</v>
      </c>
      <c r="AR36" t="e">
        <f>AND('Planilla_General_07-12-2012_8_3'!J530,"AAAAAF+7/is=")</f>
        <v>#VALUE!</v>
      </c>
      <c r="AS36" t="e">
        <f>AND('Planilla_General_07-12-2012_8_3'!K530,"AAAAAF+7/iw=")</f>
        <v>#VALUE!</v>
      </c>
      <c r="AT36" t="e">
        <f>AND('Planilla_General_07-12-2012_8_3'!L530,"AAAAAF+7/i0=")</f>
        <v>#VALUE!</v>
      </c>
      <c r="AU36" t="e">
        <f>AND('Planilla_General_07-12-2012_8_3'!M530,"AAAAAF+7/i4=")</f>
        <v>#VALUE!</v>
      </c>
      <c r="AV36" t="e">
        <f>AND('Planilla_General_07-12-2012_8_3'!N530,"AAAAAF+7/i8=")</f>
        <v>#VALUE!</v>
      </c>
      <c r="AW36" t="e">
        <f>AND('Planilla_General_07-12-2012_8_3'!O530,"AAAAAF+7/jA=")</f>
        <v>#VALUE!</v>
      </c>
      <c r="AX36" t="e">
        <f>AND('Planilla_General_07-12-2012_8_3'!P530,"AAAAAF+7/jE=")</f>
        <v>#VALUE!</v>
      </c>
      <c r="AY36">
        <f>IF('Planilla_General_07-12-2012_8_3'!531:531,"AAAAAF+7/jI=",0)</f>
        <v>0</v>
      </c>
      <c r="AZ36" t="e">
        <f>AND('Planilla_General_07-12-2012_8_3'!A531,"AAAAAF+7/jM=")</f>
        <v>#VALUE!</v>
      </c>
      <c r="BA36" t="e">
        <f>AND('Planilla_General_07-12-2012_8_3'!B531,"AAAAAF+7/jQ=")</f>
        <v>#VALUE!</v>
      </c>
      <c r="BB36" t="e">
        <f>AND('Planilla_General_07-12-2012_8_3'!C531,"AAAAAF+7/jU=")</f>
        <v>#VALUE!</v>
      </c>
      <c r="BC36" t="e">
        <f>AND('Planilla_General_07-12-2012_8_3'!D531,"AAAAAF+7/jY=")</f>
        <v>#VALUE!</v>
      </c>
      <c r="BD36" t="e">
        <f>AND('Planilla_General_07-12-2012_8_3'!E531,"AAAAAF+7/jc=")</f>
        <v>#VALUE!</v>
      </c>
      <c r="BE36" t="e">
        <f>AND('Planilla_General_07-12-2012_8_3'!F531,"AAAAAF+7/jg=")</f>
        <v>#VALUE!</v>
      </c>
      <c r="BF36" t="e">
        <f>AND('Planilla_General_07-12-2012_8_3'!G531,"AAAAAF+7/jk=")</f>
        <v>#VALUE!</v>
      </c>
      <c r="BG36" t="e">
        <f>AND('Planilla_General_07-12-2012_8_3'!H531,"AAAAAF+7/jo=")</f>
        <v>#VALUE!</v>
      </c>
      <c r="BH36" t="e">
        <f>AND('Planilla_General_07-12-2012_8_3'!I531,"AAAAAF+7/js=")</f>
        <v>#VALUE!</v>
      </c>
      <c r="BI36" t="e">
        <f>AND('Planilla_General_07-12-2012_8_3'!J531,"AAAAAF+7/jw=")</f>
        <v>#VALUE!</v>
      </c>
      <c r="BJ36" t="e">
        <f>AND('Planilla_General_07-12-2012_8_3'!K531,"AAAAAF+7/j0=")</f>
        <v>#VALUE!</v>
      </c>
      <c r="BK36" t="e">
        <f>AND('Planilla_General_07-12-2012_8_3'!L531,"AAAAAF+7/j4=")</f>
        <v>#VALUE!</v>
      </c>
      <c r="BL36" t="e">
        <f>AND('Planilla_General_07-12-2012_8_3'!M531,"AAAAAF+7/j8=")</f>
        <v>#VALUE!</v>
      </c>
      <c r="BM36" t="e">
        <f>AND('Planilla_General_07-12-2012_8_3'!N531,"AAAAAF+7/kA=")</f>
        <v>#VALUE!</v>
      </c>
      <c r="BN36" t="e">
        <f>AND('Planilla_General_07-12-2012_8_3'!O531,"AAAAAF+7/kE=")</f>
        <v>#VALUE!</v>
      </c>
      <c r="BO36" t="e">
        <f>AND('Planilla_General_07-12-2012_8_3'!P531,"AAAAAF+7/kI=")</f>
        <v>#VALUE!</v>
      </c>
      <c r="BP36">
        <f>IF('Planilla_General_07-12-2012_8_3'!532:532,"AAAAAF+7/kM=",0)</f>
        <v>0</v>
      </c>
      <c r="BQ36" t="e">
        <f>AND('Planilla_General_07-12-2012_8_3'!A532,"AAAAAF+7/kQ=")</f>
        <v>#VALUE!</v>
      </c>
      <c r="BR36" t="e">
        <f>AND('Planilla_General_07-12-2012_8_3'!B532,"AAAAAF+7/kU=")</f>
        <v>#VALUE!</v>
      </c>
      <c r="BS36" t="e">
        <f>AND('Planilla_General_07-12-2012_8_3'!C532,"AAAAAF+7/kY=")</f>
        <v>#VALUE!</v>
      </c>
      <c r="BT36" t="e">
        <f>AND('Planilla_General_07-12-2012_8_3'!D532,"AAAAAF+7/kc=")</f>
        <v>#VALUE!</v>
      </c>
      <c r="BU36" t="e">
        <f>AND('Planilla_General_07-12-2012_8_3'!E532,"AAAAAF+7/kg=")</f>
        <v>#VALUE!</v>
      </c>
      <c r="BV36" t="e">
        <f>AND('Planilla_General_07-12-2012_8_3'!F532,"AAAAAF+7/kk=")</f>
        <v>#VALUE!</v>
      </c>
      <c r="BW36" t="e">
        <f>AND('Planilla_General_07-12-2012_8_3'!G532,"AAAAAF+7/ko=")</f>
        <v>#VALUE!</v>
      </c>
      <c r="BX36" t="e">
        <f>AND('Planilla_General_07-12-2012_8_3'!H532,"AAAAAF+7/ks=")</f>
        <v>#VALUE!</v>
      </c>
      <c r="BY36" t="e">
        <f>AND('Planilla_General_07-12-2012_8_3'!I532,"AAAAAF+7/kw=")</f>
        <v>#VALUE!</v>
      </c>
      <c r="BZ36" t="e">
        <f>AND('Planilla_General_07-12-2012_8_3'!J532,"AAAAAF+7/k0=")</f>
        <v>#VALUE!</v>
      </c>
      <c r="CA36" t="e">
        <f>AND('Planilla_General_07-12-2012_8_3'!K532,"AAAAAF+7/k4=")</f>
        <v>#VALUE!</v>
      </c>
      <c r="CB36" t="e">
        <f>AND('Planilla_General_07-12-2012_8_3'!L532,"AAAAAF+7/k8=")</f>
        <v>#VALUE!</v>
      </c>
      <c r="CC36" t="e">
        <f>AND('Planilla_General_07-12-2012_8_3'!M532,"AAAAAF+7/lA=")</f>
        <v>#VALUE!</v>
      </c>
      <c r="CD36" t="e">
        <f>AND('Planilla_General_07-12-2012_8_3'!N532,"AAAAAF+7/lE=")</f>
        <v>#VALUE!</v>
      </c>
      <c r="CE36" t="e">
        <f>AND('Planilla_General_07-12-2012_8_3'!O532,"AAAAAF+7/lI=")</f>
        <v>#VALUE!</v>
      </c>
      <c r="CF36" t="e">
        <f>AND('Planilla_General_07-12-2012_8_3'!P532,"AAAAAF+7/lM=")</f>
        <v>#VALUE!</v>
      </c>
      <c r="CG36">
        <f>IF('Planilla_General_07-12-2012_8_3'!533:533,"AAAAAF+7/lQ=",0)</f>
        <v>0</v>
      </c>
      <c r="CH36" t="e">
        <f>AND('Planilla_General_07-12-2012_8_3'!A533,"AAAAAF+7/lU=")</f>
        <v>#VALUE!</v>
      </c>
      <c r="CI36" t="e">
        <f>AND('Planilla_General_07-12-2012_8_3'!B533,"AAAAAF+7/lY=")</f>
        <v>#VALUE!</v>
      </c>
      <c r="CJ36" t="e">
        <f>AND('Planilla_General_07-12-2012_8_3'!C533,"AAAAAF+7/lc=")</f>
        <v>#VALUE!</v>
      </c>
      <c r="CK36" t="e">
        <f>AND('Planilla_General_07-12-2012_8_3'!D533,"AAAAAF+7/lg=")</f>
        <v>#VALUE!</v>
      </c>
      <c r="CL36" t="e">
        <f>AND('Planilla_General_07-12-2012_8_3'!E533,"AAAAAF+7/lk=")</f>
        <v>#VALUE!</v>
      </c>
      <c r="CM36" t="e">
        <f>AND('Planilla_General_07-12-2012_8_3'!F533,"AAAAAF+7/lo=")</f>
        <v>#VALUE!</v>
      </c>
      <c r="CN36" t="e">
        <f>AND('Planilla_General_07-12-2012_8_3'!G533,"AAAAAF+7/ls=")</f>
        <v>#VALUE!</v>
      </c>
      <c r="CO36" t="e">
        <f>AND('Planilla_General_07-12-2012_8_3'!H533,"AAAAAF+7/lw=")</f>
        <v>#VALUE!</v>
      </c>
      <c r="CP36" t="e">
        <f>AND('Planilla_General_07-12-2012_8_3'!I533,"AAAAAF+7/l0=")</f>
        <v>#VALUE!</v>
      </c>
      <c r="CQ36" t="e">
        <f>AND('Planilla_General_07-12-2012_8_3'!J533,"AAAAAF+7/l4=")</f>
        <v>#VALUE!</v>
      </c>
      <c r="CR36" t="e">
        <f>AND('Planilla_General_07-12-2012_8_3'!K533,"AAAAAF+7/l8=")</f>
        <v>#VALUE!</v>
      </c>
      <c r="CS36" t="e">
        <f>AND('Planilla_General_07-12-2012_8_3'!L533,"AAAAAF+7/mA=")</f>
        <v>#VALUE!</v>
      </c>
      <c r="CT36" t="e">
        <f>AND('Planilla_General_07-12-2012_8_3'!M533,"AAAAAF+7/mE=")</f>
        <v>#VALUE!</v>
      </c>
      <c r="CU36" t="e">
        <f>AND('Planilla_General_07-12-2012_8_3'!N533,"AAAAAF+7/mI=")</f>
        <v>#VALUE!</v>
      </c>
      <c r="CV36" t="e">
        <f>AND('Planilla_General_07-12-2012_8_3'!O533,"AAAAAF+7/mM=")</f>
        <v>#VALUE!</v>
      </c>
      <c r="CW36" t="e">
        <f>AND('Planilla_General_07-12-2012_8_3'!P533,"AAAAAF+7/mQ=")</f>
        <v>#VALUE!</v>
      </c>
      <c r="CX36">
        <f>IF('Planilla_General_07-12-2012_8_3'!534:534,"AAAAAF+7/mU=",0)</f>
        <v>0</v>
      </c>
      <c r="CY36" t="e">
        <f>AND('Planilla_General_07-12-2012_8_3'!A534,"AAAAAF+7/mY=")</f>
        <v>#VALUE!</v>
      </c>
      <c r="CZ36" t="e">
        <f>AND('Planilla_General_07-12-2012_8_3'!B534,"AAAAAF+7/mc=")</f>
        <v>#VALUE!</v>
      </c>
      <c r="DA36" t="e">
        <f>AND('Planilla_General_07-12-2012_8_3'!C534,"AAAAAF+7/mg=")</f>
        <v>#VALUE!</v>
      </c>
      <c r="DB36" t="e">
        <f>AND('Planilla_General_07-12-2012_8_3'!D534,"AAAAAF+7/mk=")</f>
        <v>#VALUE!</v>
      </c>
      <c r="DC36" t="e">
        <f>AND('Planilla_General_07-12-2012_8_3'!E534,"AAAAAF+7/mo=")</f>
        <v>#VALUE!</v>
      </c>
      <c r="DD36" t="e">
        <f>AND('Planilla_General_07-12-2012_8_3'!F534,"AAAAAF+7/ms=")</f>
        <v>#VALUE!</v>
      </c>
      <c r="DE36" t="e">
        <f>AND('Planilla_General_07-12-2012_8_3'!G534,"AAAAAF+7/mw=")</f>
        <v>#VALUE!</v>
      </c>
      <c r="DF36" t="e">
        <f>AND('Planilla_General_07-12-2012_8_3'!H534,"AAAAAF+7/m0=")</f>
        <v>#VALUE!</v>
      </c>
      <c r="DG36" t="e">
        <f>AND('Planilla_General_07-12-2012_8_3'!I534,"AAAAAF+7/m4=")</f>
        <v>#VALUE!</v>
      </c>
      <c r="DH36" t="e">
        <f>AND('Planilla_General_07-12-2012_8_3'!J534,"AAAAAF+7/m8=")</f>
        <v>#VALUE!</v>
      </c>
      <c r="DI36" t="e">
        <f>AND('Planilla_General_07-12-2012_8_3'!K534,"AAAAAF+7/nA=")</f>
        <v>#VALUE!</v>
      </c>
      <c r="DJ36" t="e">
        <f>AND('Planilla_General_07-12-2012_8_3'!L534,"AAAAAF+7/nE=")</f>
        <v>#VALUE!</v>
      </c>
      <c r="DK36" t="e">
        <f>AND('Planilla_General_07-12-2012_8_3'!M534,"AAAAAF+7/nI=")</f>
        <v>#VALUE!</v>
      </c>
      <c r="DL36" t="e">
        <f>AND('Planilla_General_07-12-2012_8_3'!N534,"AAAAAF+7/nM=")</f>
        <v>#VALUE!</v>
      </c>
      <c r="DM36" t="e">
        <f>AND('Planilla_General_07-12-2012_8_3'!O534,"AAAAAF+7/nQ=")</f>
        <v>#VALUE!</v>
      </c>
      <c r="DN36" t="e">
        <f>AND('Planilla_General_07-12-2012_8_3'!P534,"AAAAAF+7/nU=")</f>
        <v>#VALUE!</v>
      </c>
      <c r="DO36">
        <f>IF('Planilla_General_07-12-2012_8_3'!535:535,"AAAAAF+7/nY=",0)</f>
        <v>0</v>
      </c>
      <c r="DP36" t="e">
        <f>AND('Planilla_General_07-12-2012_8_3'!A535,"AAAAAF+7/nc=")</f>
        <v>#VALUE!</v>
      </c>
      <c r="DQ36" t="e">
        <f>AND('Planilla_General_07-12-2012_8_3'!B535,"AAAAAF+7/ng=")</f>
        <v>#VALUE!</v>
      </c>
      <c r="DR36" t="e">
        <f>AND('Planilla_General_07-12-2012_8_3'!C535,"AAAAAF+7/nk=")</f>
        <v>#VALUE!</v>
      </c>
      <c r="DS36" t="e">
        <f>AND('Planilla_General_07-12-2012_8_3'!D535,"AAAAAF+7/no=")</f>
        <v>#VALUE!</v>
      </c>
      <c r="DT36" t="e">
        <f>AND('Planilla_General_07-12-2012_8_3'!E535,"AAAAAF+7/ns=")</f>
        <v>#VALUE!</v>
      </c>
      <c r="DU36" t="e">
        <f>AND('Planilla_General_07-12-2012_8_3'!F535,"AAAAAF+7/nw=")</f>
        <v>#VALUE!</v>
      </c>
      <c r="DV36" t="e">
        <f>AND('Planilla_General_07-12-2012_8_3'!G535,"AAAAAF+7/n0=")</f>
        <v>#VALUE!</v>
      </c>
      <c r="DW36" t="e">
        <f>AND('Planilla_General_07-12-2012_8_3'!H535,"AAAAAF+7/n4=")</f>
        <v>#VALUE!</v>
      </c>
      <c r="DX36" t="e">
        <f>AND('Planilla_General_07-12-2012_8_3'!I535,"AAAAAF+7/n8=")</f>
        <v>#VALUE!</v>
      </c>
      <c r="DY36" t="e">
        <f>AND('Planilla_General_07-12-2012_8_3'!J535,"AAAAAF+7/oA=")</f>
        <v>#VALUE!</v>
      </c>
      <c r="DZ36" t="e">
        <f>AND('Planilla_General_07-12-2012_8_3'!K535,"AAAAAF+7/oE=")</f>
        <v>#VALUE!</v>
      </c>
      <c r="EA36" t="e">
        <f>AND('Planilla_General_07-12-2012_8_3'!L535,"AAAAAF+7/oI=")</f>
        <v>#VALUE!</v>
      </c>
      <c r="EB36" t="e">
        <f>AND('Planilla_General_07-12-2012_8_3'!M535,"AAAAAF+7/oM=")</f>
        <v>#VALUE!</v>
      </c>
      <c r="EC36" t="e">
        <f>AND('Planilla_General_07-12-2012_8_3'!N535,"AAAAAF+7/oQ=")</f>
        <v>#VALUE!</v>
      </c>
      <c r="ED36" t="e">
        <f>AND('Planilla_General_07-12-2012_8_3'!O535,"AAAAAF+7/oU=")</f>
        <v>#VALUE!</v>
      </c>
      <c r="EE36" t="e">
        <f>AND('Planilla_General_07-12-2012_8_3'!P535,"AAAAAF+7/oY=")</f>
        <v>#VALUE!</v>
      </c>
      <c r="EF36">
        <f>IF('Planilla_General_07-12-2012_8_3'!536:536,"AAAAAF+7/oc=",0)</f>
        <v>0</v>
      </c>
      <c r="EG36" t="e">
        <f>AND('Planilla_General_07-12-2012_8_3'!A536,"AAAAAF+7/og=")</f>
        <v>#VALUE!</v>
      </c>
      <c r="EH36" t="e">
        <f>AND('Planilla_General_07-12-2012_8_3'!B536,"AAAAAF+7/ok=")</f>
        <v>#VALUE!</v>
      </c>
      <c r="EI36" t="e">
        <f>AND('Planilla_General_07-12-2012_8_3'!C536,"AAAAAF+7/oo=")</f>
        <v>#VALUE!</v>
      </c>
      <c r="EJ36" t="e">
        <f>AND('Planilla_General_07-12-2012_8_3'!D536,"AAAAAF+7/os=")</f>
        <v>#VALUE!</v>
      </c>
      <c r="EK36" t="e">
        <f>AND('Planilla_General_07-12-2012_8_3'!E536,"AAAAAF+7/ow=")</f>
        <v>#VALUE!</v>
      </c>
      <c r="EL36" t="e">
        <f>AND('Planilla_General_07-12-2012_8_3'!F536,"AAAAAF+7/o0=")</f>
        <v>#VALUE!</v>
      </c>
      <c r="EM36" t="e">
        <f>AND('Planilla_General_07-12-2012_8_3'!G536,"AAAAAF+7/o4=")</f>
        <v>#VALUE!</v>
      </c>
      <c r="EN36" t="e">
        <f>AND('Planilla_General_07-12-2012_8_3'!H536,"AAAAAF+7/o8=")</f>
        <v>#VALUE!</v>
      </c>
      <c r="EO36" t="e">
        <f>AND('Planilla_General_07-12-2012_8_3'!I536,"AAAAAF+7/pA=")</f>
        <v>#VALUE!</v>
      </c>
      <c r="EP36" t="e">
        <f>AND('Planilla_General_07-12-2012_8_3'!J536,"AAAAAF+7/pE=")</f>
        <v>#VALUE!</v>
      </c>
      <c r="EQ36" t="e">
        <f>AND('Planilla_General_07-12-2012_8_3'!K536,"AAAAAF+7/pI=")</f>
        <v>#VALUE!</v>
      </c>
      <c r="ER36" t="e">
        <f>AND('Planilla_General_07-12-2012_8_3'!L536,"AAAAAF+7/pM=")</f>
        <v>#VALUE!</v>
      </c>
      <c r="ES36" t="e">
        <f>AND('Planilla_General_07-12-2012_8_3'!M536,"AAAAAF+7/pQ=")</f>
        <v>#VALUE!</v>
      </c>
      <c r="ET36" t="e">
        <f>AND('Planilla_General_07-12-2012_8_3'!N536,"AAAAAF+7/pU=")</f>
        <v>#VALUE!</v>
      </c>
      <c r="EU36" t="e">
        <f>AND('Planilla_General_07-12-2012_8_3'!O536,"AAAAAF+7/pY=")</f>
        <v>#VALUE!</v>
      </c>
      <c r="EV36" t="e">
        <f>AND('Planilla_General_07-12-2012_8_3'!P536,"AAAAAF+7/pc=")</f>
        <v>#VALUE!</v>
      </c>
      <c r="EW36">
        <f>IF('Planilla_General_07-12-2012_8_3'!537:537,"AAAAAF+7/pg=",0)</f>
        <v>0</v>
      </c>
      <c r="EX36" t="e">
        <f>AND('Planilla_General_07-12-2012_8_3'!A537,"AAAAAF+7/pk=")</f>
        <v>#VALUE!</v>
      </c>
      <c r="EY36" t="e">
        <f>AND('Planilla_General_07-12-2012_8_3'!B537,"AAAAAF+7/po=")</f>
        <v>#VALUE!</v>
      </c>
      <c r="EZ36" t="e">
        <f>AND('Planilla_General_07-12-2012_8_3'!C537,"AAAAAF+7/ps=")</f>
        <v>#VALUE!</v>
      </c>
      <c r="FA36" t="e">
        <f>AND('Planilla_General_07-12-2012_8_3'!D537,"AAAAAF+7/pw=")</f>
        <v>#VALUE!</v>
      </c>
      <c r="FB36" t="e">
        <f>AND('Planilla_General_07-12-2012_8_3'!E537,"AAAAAF+7/p0=")</f>
        <v>#VALUE!</v>
      </c>
      <c r="FC36" t="e">
        <f>AND('Planilla_General_07-12-2012_8_3'!F537,"AAAAAF+7/p4=")</f>
        <v>#VALUE!</v>
      </c>
      <c r="FD36" t="e">
        <f>AND('Planilla_General_07-12-2012_8_3'!G537,"AAAAAF+7/p8=")</f>
        <v>#VALUE!</v>
      </c>
      <c r="FE36" t="e">
        <f>AND('Planilla_General_07-12-2012_8_3'!H537,"AAAAAF+7/qA=")</f>
        <v>#VALUE!</v>
      </c>
      <c r="FF36" t="e">
        <f>AND('Planilla_General_07-12-2012_8_3'!I537,"AAAAAF+7/qE=")</f>
        <v>#VALUE!</v>
      </c>
      <c r="FG36" t="e">
        <f>AND('Planilla_General_07-12-2012_8_3'!J537,"AAAAAF+7/qI=")</f>
        <v>#VALUE!</v>
      </c>
      <c r="FH36" t="e">
        <f>AND('Planilla_General_07-12-2012_8_3'!K537,"AAAAAF+7/qM=")</f>
        <v>#VALUE!</v>
      </c>
      <c r="FI36" t="e">
        <f>AND('Planilla_General_07-12-2012_8_3'!L537,"AAAAAF+7/qQ=")</f>
        <v>#VALUE!</v>
      </c>
      <c r="FJ36" t="e">
        <f>AND('Planilla_General_07-12-2012_8_3'!M537,"AAAAAF+7/qU=")</f>
        <v>#VALUE!</v>
      </c>
      <c r="FK36" t="e">
        <f>AND('Planilla_General_07-12-2012_8_3'!N537,"AAAAAF+7/qY=")</f>
        <v>#VALUE!</v>
      </c>
      <c r="FL36" t="e">
        <f>AND('Planilla_General_07-12-2012_8_3'!O537,"AAAAAF+7/qc=")</f>
        <v>#VALUE!</v>
      </c>
      <c r="FM36" t="e">
        <f>AND('Planilla_General_07-12-2012_8_3'!P537,"AAAAAF+7/qg=")</f>
        <v>#VALUE!</v>
      </c>
      <c r="FN36">
        <f>IF('Planilla_General_07-12-2012_8_3'!538:538,"AAAAAF+7/qk=",0)</f>
        <v>0</v>
      </c>
      <c r="FO36" t="e">
        <f>AND('Planilla_General_07-12-2012_8_3'!A538,"AAAAAF+7/qo=")</f>
        <v>#VALUE!</v>
      </c>
      <c r="FP36" t="e">
        <f>AND('Planilla_General_07-12-2012_8_3'!B538,"AAAAAF+7/qs=")</f>
        <v>#VALUE!</v>
      </c>
      <c r="FQ36" t="e">
        <f>AND('Planilla_General_07-12-2012_8_3'!C538,"AAAAAF+7/qw=")</f>
        <v>#VALUE!</v>
      </c>
      <c r="FR36" t="e">
        <f>AND('Planilla_General_07-12-2012_8_3'!D538,"AAAAAF+7/q0=")</f>
        <v>#VALUE!</v>
      </c>
      <c r="FS36" t="e">
        <f>AND('Planilla_General_07-12-2012_8_3'!E538,"AAAAAF+7/q4=")</f>
        <v>#VALUE!</v>
      </c>
      <c r="FT36" t="e">
        <f>AND('Planilla_General_07-12-2012_8_3'!F538,"AAAAAF+7/q8=")</f>
        <v>#VALUE!</v>
      </c>
      <c r="FU36" t="e">
        <f>AND('Planilla_General_07-12-2012_8_3'!G538,"AAAAAF+7/rA=")</f>
        <v>#VALUE!</v>
      </c>
      <c r="FV36" t="e">
        <f>AND('Planilla_General_07-12-2012_8_3'!H538,"AAAAAF+7/rE=")</f>
        <v>#VALUE!</v>
      </c>
      <c r="FW36" t="e">
        <f>AND('Planilla_General_07-12-2012_8_3'!I538,"AAAAAF+7/rI=")</f>
        <v>#VALUE!</v>
      </c>
      <c r="FX36" t="e">
        <f>AND('Planilla_General_07-12-2012_8_3'!J538,"AAAAAF+7/rM=")</f>
        <v>#VALUE!</v>
      </c>
      <c r="FY36" t="e">
        <f>AND('Planilla_General_07-12-2012_8_3'!K538,"AAAAAF+7/rQ=")</f>
        <v>#VALUE!</v>
      </c>
      <c r="FZ36" t="e">
        <f>AND('Planilla_General_07-12-2012_8_3'!L538,"AAAAAF+7/rU=")</f>
        <v>#VALUE!</v>
      </c>
      <c r="GA36" t="e">
        <f>AND('Planilla_General_07-12-2012_8_3'!M538,"AAAAAF+7/rY=")</f>
        <v>#VALUE!</v>
      </c>
      <c r="GB36" t="e">
        <f>AND('Planilla_General_07-12-2012_8_3'!N538,"AAAAAF+7/rc=")</f>
        <v>#VALUE!</v>
      </c>
      <c r="GC36" t="e">
        <f>AND('Planilla_General_07-12-2012_8_3'!O538,"AAAAAF+7/rg=")</f>
        <v>#VALUE!</v>
      </c>
      <c r="GD36" t="e">
        <f>AND('Planilla_General_07-12-2012_8_3'!P538,"AAAAAF+7/rk=")</f>
        <v>#VALUE!</v>
      </c>
      <c r="GE36">
        <f>IF('Planilla_General_07-12-2012_8_3'!539:539,"AAAAAF+7/ro=",0)</f>
        <v>0</v>
      </c>
      <c r="GF36" t="e">
        <f>AND('Planilla_General_07-12-2012_8_3'!A539,"AAAAAF+7/rs=")</f>
        <v>#VALUE!</v>
      </c>
      <c r="GG36" t="e">
        <f>AND('Planilla_General_07-12-2012_8_3'!B539,"AAAAAF+7/rw=")</f>
        <v>#VALUE!</v>
      </c>
      <c r="GH36" t="e">
        <f>AND('Planilla_General_07-12-2012_8_3'!C539,"AAAAAF+7/r0=")</f>
        <v>#VALUE!</v>
      </c>
      <c r="GI36" t="e">
        <f>AND('Planilla_General_07-12-2012_8_3'!D539,"AAAAAF+7/r4=")</f>
        <v>#VALUE!</v>
      </c>
      <c r="GJ36" t="e">
        <f>AND('Planilla_General_07-12-2012_8_3'!E539,"AAAAAF+7/r8=")</f>
        <v>#VALUE!</v>
      </c>
      <c r="GK36" t="e">
        <f>AND('Planilla_General_07-12-2012_8_3'!F539,"AAAAAF+7/sA=")</f>
        <v>#VALUE!</v>
      </c>
      <c r="GL36" t="e">
        <f>AND('Planilla_General_07-12-2012_8_3'!G539,"AAAAAF+7/sE=")</f>
        <v>#VALUE!</v>
      </c>
      <c r="GM36" t="e">
        <f>AND('Planilla_General_07-12-2012_8_3'!H539,"AAAAAF+7/sI=")</f>
        <v>#VALUE!</v>
      </c>
      <c r="GN36" t="e">
        <f>AND('Planilla_General_07-12-2012_8_3'!I539,"AAAAAF+7/sM=")</f>
        <v>#VALUE!</v>
      </c>
      <c r="GO36" t="e">
        <f>AND('Planilla_General_07-12-2012_8_3'!J539,"AAAAAF+7/sQ=")</f>
        <v>#VALUE!</v>
      </c>
      <c r="GP36" t="e">
        <f>AND('Planilla_General_07-12-2012_8_3'!K539,"AAAAAF+7/sU=")</f>
        <v>#VALUE!</v>
      </c>
      <c r="GQ36" t="e">
        <f>AND('Planilla_General_07-12-2012_8_3'!L539,"AAAAAF+7/sY=")</f>
        <v>#VALUE!</v>
      </c>
      <c r="GR36" t="e">
        <f>AND('Planilla_General_07-12-2012_8_3'!M539,"AAAAAF+7/sc=")</f>
        <v>#VALUE!</v>
      </c>
      <c r="GS36" t="e">
        <f>AND('Planilla_General_07-12-2012_8_3'!N539,"AAAAAF+7/sg=")</f>
        <v>#VALUE!</v>
      </c>
      <c r="GT36" t="e">
        <f>AND('Planilla_General_07-12-2012_8_3'!O539,"AAAAAF+7/sk=")</f>
        <v>#VALUE!</v>
      </c>
      <c r="GU36" t="e">
        <f>AND('Planilla_General_07-12-2012_8_3'!P539,"AAAAAF+7/so=")</f>
        <v>#VALUE!</v>
      </c>
      <c r="GV36">
        <f>IF('Planilla_General_07-12-2012_8_3'!540:540,"AAAAAF+7/ss=",0)</f>
        <v>0</v>
      </c>
      <c r="GW36" t="e">
        <f>AND('Planilla_General_07-12-2012_8_3'!A540,"AAAAAF+7/sw=")</f>
        <v>#VALUE!</v>
      </c>
      <c r="GX36" t="e">
        <f>AND('Planilla_General_07-12-2012_8_3'!B540,"AAAAAF+7/s0=")</f>
        <v>#VALUE!</v>
      </c>
      <c r="GY36" t="e">
        <f>AND('Planilla_General_07-12-2012_8_3'!C540,"AAAAAF+7/s4=")</f>
        <v>#VALUE!</v>
      </c>
      <c r="GZ36" t="e">
        <f>AND('Planilla_General_07-12-2012_8_3'!D540,"AAAAAF+7/s8=")</f>
        <v>#VALUE!</v>
      </c>
      <c r="HA36" t="e">
        <f>AND('Planilla_General_07-12-2012_8_3'!E540,"AAAAAF+7/tA=")</f>
        <v>#VALUE!</v>
      </c>
      <c r="HB36" t="e">
        <f>AND('Planilla_General_07-12-2012_8_3'!F540,"AAAAAF+7/tE=")</f>
        <v>#VALUE!</v>
      </c>
      <c r="HC36" t="e">
        <f>AND('Planilla_General_07-12-2012_8_3'!G540,"AAAAAF+7/tI=")</f>
        <v>#VALUE!</v>
      </c>
      <c r="HD36" t="e">
        <f>AND('Planilla_General_07-12-2012_8_3'!H540,"AAAAAF+7/tM=")</f>
        <v>#VALUE!</v>
      </c>
      <c r="HE36" t="e">
        <f>AND('Planilla_General_07-12-2012_8_3'!I540,"AAAAAF+7/tQ=")</f>
        <v>#VALUE!</v>
      </c>
      <c r="HF36" t="e">
        <f>AND('Planilla_General_07-12-2012_8_3'!J540,"AAAAAF+7/tU=")</f>
        <v>#VALUE!</v>
      </c>
      <c r="HG36" t="e">
        <f>AND('Planilla_General_07-12-2012_8_3'!K540,"AAAAAF+7/tY=")</f>
        <v>#VALUE!</v>
      </c>
      <c r="HH36" t="e">
        <f>AND('Planilla_General_07-12-2012_8_3'!L540,"AAAAAF+7/tc=")</f>
        <v>#VALUE!</v>
      </c>
      <c r="HI36" t="e">
        <f>AND('Planilla_General_07-12-2012_8_3'!M540,"AAAAAF+7/tg=")</f>
        <v>#VALUE!</v>
      </c>
      <c r="HJ36" t="e">
        <f>AND('Planilla_General_07-12-2012_8_3'!N540,"AAAAAF+7/tk=")</f>
        <v>#VALUE!</v>
      </c>
      <c r="HK36" t="e">
        <f>AND('Planilla_General_07-12-2012_8_3'!O540,"AAAAAF+7/to=")</f>
        <v>#VALUE!</v>
      </c>
      <c r="HL36" t="e">
        <f>AND('Planilla_General_07-12-2012_8_3'!P540,"AAAAAF+7/ts=")</f>
        <v>#VALUE!</v>
      </c>
      <c r="HM36">
        <f>IF('Planilla_General_07-12-2012_8_3'!541:541,"AAAAAF+7/tw=",0)</f>
        <v>0</v>
      </c>
      <c r="HN36" t="e">
        <f>AND('Planilla_General_07-12-2012_8_3'!A541,"AAAAAF+7/t0=")</f>
        <v>#VALUE!</v>
      </c>
      <c r="HO36" t="e">
        <f>AND('Planilla_General_07-12-2012_8_3'!B541,"AAAAAF+7/t4=")</f>
        <v>#VALUE!</v>
      </c>
      <c r="HP36" t="e">
        <f>AND('Planilla_General_07-12-2012_8_3'!C541,"AAAAAF+7/t8=")</f>
        <v>#VALUE!</v>
      </c>
      <c r="HQ36" t="e">
        <f>AND('Planilla_General_07-12-2012_8_3'!D541,"AAAAAF+7/uA=")</f>
        <v>#VALUE!</v>
      </c>
      <c r="HR36" t="e">
        <f>AND('Planilla_General_07-12-2012_8_3'!E541,"AAAAAF+7/uE=")</f>
        <v>#VALUE!</v>
      </c>
      <c r="HS36" t="e">
        <f>AND('Planilla_General_07-12-2012_8_3'!F541,"AAAAAF+7/uI=")</f>
        <v>#VALUE!</v>
      </c>
      <c r="HT36" t="e">
        <f>AND('Planilla_General_07-12-2012_8_3'!G541,"AAAAAF+7/uM=")</f>
        <v>#VALUE!</v>
      </c>
      <c r="HU36" t="e">
        <f>AND('Planilla_General_07-12-2012_8_3'!H541,"AAAAAF+7/uQ=")</f>
        <v>#VALUE!</v>
      </c>
      <c r="HV36" t="e">
        <f>AND('Planilla_General_07-12-2012_8_3'!I541,"AAAAAF+7/uU=")</f>
        <v>#VALUE!</v>
      </c>
      <c r="HW36" t="e">
        <f>AND('Planilla_General_07-12-2012_8_3'!J541,"AAAAAF+7/uY=")</f>
        <v>#VALUE!</v>
      </c>
      <c r="HX36" t="e">
        <f>AND('Planilla_General_07-12-2012_8_3'!K541,"AAAAAF+7/uc=")</f>
        <v>#VALUE!</v>
      </c>
      <c r="HY36" t="e">
        <f>AND('Planilla_General_07-12-2012_8_3'!L541,"AAAAAF+7/ug=")</f>
        <v>#VALUE!</v>
      </c>
      <c r="HZ36" t="e">
        <f>AND('Planilla_General_07-12-2012_8_3'!M541,"AAAAAF+7/uk=")</f>
        <v>#VALUE!</v>
      </c>
      <c r="IA36" t="e">
        <f>AND('Planilla_General_07-12-2012_8_3'!N541,"AAAAAF+7/uo=")</f>
        <v>#VALUE!</v>
      </c>
      <c r="IB36" t="e">
        <f>AND('Planilla_General_07-12-2012_8_3'!O541,"AAAAAF+7/us=")</f>
        <v>#VALUE!</v>
      </c>
      <c r="IC36" t="e">
        <f>AND('Planilla_General_07-12-2012_8_3'!P541,"AAAAAF+7/uw=")</f>
        <v>#VALUE!</v>
      </c>
      <c r="ID36">
        <f>IF('Planilla_General_07-12-2012_8_3'!542:542,"AAAAAF+7/u0=",0)</f>
        <v>0</v>
      </c>
      <c r="IE36" t="e">
        <f>AND('Planilla_General_07-12-2012_8_3'!A542,"AAAAAF+7/u4=")</f>
        <v>#VALUE!</v>
      </c>
      <c r="IF36" t="e">
        <f>AND('Planilla_General_07-12-2012_8_3'!B542,"AAAAAF+7/u8=")</f>
        <v>#VALUE!</v>
      </c>
      <c r="IG36" t="e">
        <f>AND('Planilla_General_07-12-2012_8_3'!C542,"AAAAAF+7/vA=")</f>
        <v>#VALUE!</v>
      </c>
      <c r="IH36" t="e">
        <f>AND('Planilla_General_07-12-2012_8_3'!D542,"AAAAAF+7/vE=")</f>
        <v>#VALUE!</v>
      </c>
      <c r="II36" t="e">
        <f>AND('Planilla_General_07-12-2012_8_3'!E542,"AAAAAF+7/vI=")</f>
        <v>#VALUE!</v>
      </c>
      <c r="IJ36" t="e">
        <f>AND('Planilla_General_07-12-2012_8_3'!F542,"AAAAAF+7/vM=")</f>
        <v>#VALUE!</v>
      </c>
      <c r="IK36" t="e">
        <f>AND('Planilla_General_07-12-2012_8_3'!G542,"AAAAAF+7/vQ=")</f>
        <v>#VALUE!</v>
      </c>
      <c r="IL36" t="e">
        <f>AND('Planilla_General_07-12-2012_8_3'!H542,"AAAAAF+7/vU=")</f>
        <v>#VALUE!</v>
      </c>
      <c r="IM36" t="e">
        <f>AND('Planilla_General_07-12-2012_8_3'!I542,"AAAAAF+7/vY=")</f>
        <v>#VALUE!</v>
      </c>
      <c r="IN36" t="e">
        <f>AND('Planilla_General_07-12-2012_8_3'!J542,"AAAAAF+7/vc=")</f>
        <v>#VALUE!</v>
      </c>
      <c r="IO36" t="e">
        <f>AND('Planilla_General_07-12-2012_8_3'!K542,"AAAAAF+7/vg=")</f>
        <v>#VALUE!</v>
      </c>
      <c r="IP36" t="e">
        <f>AND('Planilla_General_07-12-2012_8_3'!L542,"AAAAAF+7/vk=")</f>
        <v>#VALUE!</v>
      </c>
      <c r="IQ36" t="e">
        <f>AND('Planilla_General_07-12-2012_8_3'!M542,"AAAAAF+7/vo=")</f>
        <v>#VALUE!</v>
      </c>
      <c r="IR36" t="e">
        <f>AND('Planilla_General_07-12-2012_8_3'!N542,"AAAAAF+7/vs=")</f>
        <v>#VALUE!</v>
      </c>
      <c r="IS36" t="e">
        <f>AND('Planilla_General_07-12-2012_8_3'!O542,"AAAAAF+7/vw=")</f>
        <v>#VALUE!</v>
      </c>
      <c r="IT36" t="e">
        <f>AND('Planilla_General_07-12-2012_8_3'!P542,"AAAAAF+7/v0=")</f>
        <v>#VALUE!</v>
      </c>
      <c r="IU36">
        <f>IF('Planilla_General_07-12-2012_8_3'!543:543,"AAAAAF+7/v4=",0)</f>
        <v>0</v>
      </c>
      <c r="IV36" t="e">
        <f>AND('Planilla_General_07-12-2012_8_3'!A543,"AAAAAF+7/v8=")</f>
        <v>#VALUE!</v>
      </c>
    </row>
    <row r="37" spans="1:256" x14ac:dyDescent="0.25">
      <c r="A37" t="e">
        <f>AND('Planilla_General_07-12-2012_8_3'!B543,"AAAAAH4ePgA=")</f>
        <v>#VALUE!</v>
      </c>
      <c r="B37" t="e">
        <f>AND('Planilla_General_07-12-2012_8_3'!C543,"AAAAAH4ePgE=")</f>
        <v>#VALUE!</v>
      </c>
      <c r="C37" t="e">
        <f>AND('Planilla_General_07-12-2012_8_3'!D543,"AAAAAH4ePgI=")</f>
        <v>#VALUE!</v>
      </c>
      <c r="D37" t="e">
        <f>AND('Planilla_General_07-12-2012_8_3'!E543,"AAAAAH4ePgM=")</f>
        <v>#VALUE!</v>
      </c>
      <c r="E37" t="e">
        <f>AND('Planilla_General_07-12-2012_8_3'!F543,"AAAAAH4ePgQ=")</f>
        <v>#VALUE!</v>
      </c>
      <c r="F37" t="e">
        <f>AND('Planilla_General_07-12-2012_8_3'!G543,"AAAAAH4ePgU=")</f>
        <v>#VALUE!</v>
      </c>
      <c r="G37" t="e">
        <f>AND('Planilla_General_07-12-2012_8_3'!H543,"AAAAAH4ePgY=")</f>
        <v>#VALUE!</v>
      </c>
      <c r="H37" t="e">
        <f>AND('Planilla_General_07-12-2012_8_3'!I543,"AAAAAH4ePgc=")</f>
        <v>#VALUE!</v>
      </c>
      <c r="I37" t="e">
        <f>AND('Planilla_General_07-12-2012_8_3'!J543,"AAAAAH4ePgg=")</f>
        <v>#VALUE!</v>
      </c>
      <c r="J37" t="e">
        <f>AND('Planilla_General_07-12-2012_8_3'!K543,"AAAAAH4ePgk=")</f>
        <v>#VALUE!</v>
      </c>
      <c r="K37" t="e">
        <f>AND('Planilla_General_07-12-2012_8_3'!L543,"AAAAAH4ePgo=")</f>
        <v>#VALUE!</v>
      </c>
      <c r="L37" t="e">
        <f>AND('Planilla_General_07-12-2012_8_3'!M543,"AAAAAH4ePgs=")</f>
        <v>#VALUE!</v>
      </c>
      <c r="M37" t="e">
        <f>AND('Planilla_General_07-12-2012_8_3'!N543,"AAAAAH4ePgw=")</f>
        <v>#VALUE!</v>
      </c>
      <c r="N37" t="e">
        <f>AND('Planilla_General_07-12-2012_8_3'!O543,"AAAAAH4ePg0=")</f>
        <v>#VALUE!</v>
      </c>
      <c r="O37" t="e">
        <f>AND('Planilla_General_07-12-2012_8_3'!P543,"AAAAAH4ePg4=")</f>
        <v>#VALUE!</v>
      </c>
      <c r="P37">
        <f>IF('Planilla_General_07-12-2012_8_3'!544:544,"AAAAAH4ePg8=",0)</f>
        <v>0</v>
      </c>
      <c r="Q37" t="e">
        <f>AND('Planilla_General_07-12-2012_8_3'!A544,"AAAAAH4ePhA=")</f>
        <v>#VALUE!</v>
      </c>
      <c r="R37" t="e">
        <f>AND('Planilla_General_07-12-2012_8_3'!B544,"AAAAAH4ePhE=")</f>
        <v>#VALUE!</v>
      </c>
      <c r="S37" t="e">
        <f>AND('Planilla_General_07-12-2012_8_3'!C544,"AAAAAH4ePhI=")</f>
        <v>#VALUE!</v>
      </c>
      <c r="T37" t="e">
        <f>AND('Planilla_General_07-12-2012_8_3'!D544,"AAAAAH4ePhM=")</f>
        <v>#VALUE!</v>
      </c>
      <c r="U37" t="e">
        <f>AND('Planilla_General_07-12-2012_8_3'!E544,"AAAAAH4ePhQ=")</f>
        <v>#VALUE!</v>
      </c>
      <c r="V37" t="e">
        <f>AND('Planilla_General_07-12-2012_8_3'!F544,"AAAAAH4ePhU=")</f>
        <v>#VALUE!</v>
      </c>
      <c r="W37" t="e">
        <f>AND('Planilla_General_07-12-2012_8_3'!G544,"AAAAAH4ePhY=")</f>
        <v>#VALUE!</v>
      </c>
      <c r="X37" t="e">
        <f>AND('Planilla_General_07-12-2012_8_3'!H544,"AAAAAH4ePhc=")</f>
        <v>#VALUE!</v>
      </c>
      <c r="Y37" t="e">
        <f>AND('Planilla_General_07-12-2012_8_3'!I544,"AAAAAH4ePhg=")</f>
        <v>#VALUE!</v>
      </c>
      <c r="Z37" t="e">
        <f>AND('Planilla_General_07-12-2012_8_3'!J544,"AAAAAH4ePhk=")</f>
        <v>#VALUE!</v>
      </c>
      <c r="AA37" t="e">
        <f>AND('Planilla_General_07-12-2012_8_3'!K544,"AAAAAH4ePho=")</f>
        <v>#VALUE!</v>
      </c>
      <c r="AB37" t="e">
        <f>AND('Planilla_General_07-12-2012_8_3'!L544,"AAAAAH4ePhs=")</f>
        <v>#VALUE!</v>
      </c>
      <c r="AC37" t="e">
        <f>AND('Planilla_General_07-12-2012_8_3'!M544,"AAAAAH4ePhw=")</f>
        <v>#VALUE!</v>
      </c>
      <c r="AD37" t="e">
        <f>AND('Planilla_General_07-12-2012_8_3'!N544,"AAAAAH4ePh0=")</f>
        <v>#VALUE!</v>
      </c>
      <c r="AE37" t="e">
        <f>AND('Planilla_General_07-12-2012_8_3'!O544,"AAAAAH4ePh4=")</f>
        <v>#VALUE!</v>
      </c>
      <c r="AF37" t="e">
        <f>AND('Planilla_General_07-12-2012_8_3'!P544,"AAAAAH4ePh8=")</f>
        <v>#VALUE!</v>
      </c>
      <c r="AG37">
        <f>IF('Planilla_General_07-12-2012_8_3'!545:545,"AAAAAH4ePiA=",0)</f>
        <v>0</v>
      </c>
      <c r="AH37" t="e">
        <f>AND('Planilla_General_07-12-2012_8_3'!A545,"AAAAAH4ePiE=")</f>
        <v>#VALUE!</v>
      </c>
      <c r="AI37" t="e">
        <f>AND('Planilla_General_07-12-2012_8_3'!B545,"AAAAAH4ePiI=")</f>
        <v>#VALUE!</v>
      </c>
      <c r="AJ37" t="e">
        <f>AND('Planilla_General_07-12-2012_8_3'!C545,"AAAAAH4ePiM=")</f>
        <v>#VALUE!</v>
      </c>
      <c r="AK37" t="e">
        <f>AND('Planilla_General_07-12-2012_8_3'!D545,"AAAAAH4ePiQ=")</f>
        <v>#VALUE!</v>
      </c>
      <c r="AL37" t="e">
        <f>AND('Planilla_General_07-12-2012_8_3'!E545,"AAAAAH4ePiU=")</f>
        <v>#VALUE!</v>
      </c>
      <c r="AM37" t="e">
        <f>AND('Planilla_General_07-12-2012_8_3'!F545,"AAAAAH4ePiY=")</f>
        <v>#VALUE!</v>
      </c>
      <c r="AN37" t="e">
        <f>AND('Planilla_General_07-12-2012_8_3'!G545,"AAAAAH4ePic=")</f>
        <v>#VALUE!</v>
      </c>
      <c r="AO37" t="e">
        <f>AND('Planilla_General_07-12-2012_8_3'!H545,"AAAAAH4ePig=")</f>
        <v>#VALUE!</v>
      </c>
      <c r="AP37" t="e">
        <f>AND('Planilla_General_07-12-2012_8_3'!I545,"AAAAAH4ePik=")</f>
        <v>#VALUE!</v>
      </c>
      <c r="AQ37" t="e">
        <f>AND('Planilla_General_07-12-2012_8_3'!J545,"AAAAAH4ePio=")</f>
        <v>#VALUE!</v>
      </c>
      <c r="AR37" t="e">
        <f>AND('Planilla_General_07-12-2012_8_3'!K545,"AAAAAH4ePis=")</f>
        <v>#VALUE!</v>
      </c>
      <c r="AS37" t="e">
        <f>AND('Planilla_General_07-12-2012_8_3'!L545,"AAAAAH4ePiw=")</f>
        <v>#VALUE!</v>
      </c>
      <c r="AT37" t="e">
        <f>AND('Planilla_General_07-12-2012_8_3'!M545,"AAAAAH4ePi0=")</f>
        <v>#VALUE!</v>
      </c>
      <c r="AU37" t="e">
        <f>AND('Planilla_General_07-12-2012_8_3'!N545,"AAAAAH4ePi4=")</f>
        <v>#VALUE!</v>
      </c>
      <c r="AV37" t="e">
        <f>AND('Planilla_General_07-12-2012_8_3'!O545,"AAAAAH4ePi8=")</f>
        <v>#VALUE!</v>
      </c>
      <c r="AW37" t="e">
        <f>AND('Planilla_General_07-12-2012_8_3'!P545,"AAAAAH4ePjA=")</f>
        <v>#VALUE!</v>
      </c>
      <c r="AX37">
        <f>IF('Planilla_General_07-12-2012_8_3'!546:546,"AAAAAH4ePjE=",0)</f>
        <v>0</v>
      </c>
      <c r="AY37" t="e">
        <f>AND('Planilla_General_07-12-2012_8_3'!A546,"AAAAAH4ePjI=")</f>
        <v>#VALUE!</v>
      </c>
      <c r="AZ37" t="e">
        <f>AND('Planilla_General_07-12-2012_8_3'!B546,"AAAAAH4ePjM=")</f>
        <v>#VALUE!</v>
      </c>
      <c r="BA37" t="e">
        <f>AND('Planilla_General_07-12-2012_8_3'!C546,"AAAAAH4ePjQ=")</f>
        <v>#VALUE!</v>
      </c>
      <c r="BB37" t="e">
        <f>AND('Planilla_General_07-12-2012_8_3'!D546,"AAAAAH4ePjU=")</f>
        <v>#VALUE!</v>
      </c>
      <c r="BC37" t="e">
        <f>AND('Planilla_General_07-12-2012_8_3'!E546,"AAAAAH4ePjY=")</f>
        <v>#VALUE!</v>
      </c>
      <c r="BD37" t="e">
        <f>AND('Planilla_General_07-12-2012_8_3'!F546,"AAAAAH4ePjc=")</f>
        <v>#VALUE!</v>
      </c>
      <c r="BE37" t="e">
        <f>AND('Planilla_General_07-12-2012_8_3'!G546,"AAAAAH4ePjg=")</f>
        <v>#VALUE!</v>
      </c>
      <c r="BF37" t="e">
        <f>AND('Planilla_General_07-12-2012_8_3'!H546,"AAAAAH4ePjk=")</f>
        <v>#VALUE!</v>
      </c>
      <c r="BG37" t="e">
        <f>AND('Planilla_General_07-12-2012_8_3'!I546,"AAAAAH4ePjo=")</f>
        <v>#VALUE!</v>
      </c>
      <c r="BH37" t="e">
        <f>AND('Planilla_General_07-12-2012_8_3'!J546,"AAAAAH4ePjs=")</f>
        <v>#VALUE!</v>
      </c>
      <c r="BI37" t="e">
        <f>AND('Planilla_General_07-12-2012_8_3'!K546,"AAAAAH4ePjw=")</f>
        <v>#VALUE!</v>
      </c>
      <c r="BJ37" t="e">
        <f>AND('Planilla_General_07-12-2012_8_3'!L546,"AAAAAH4ePj0=")</f>
        <v>#VALUE!</v>
      </c>
      <c r="BK37" t="e">
        <f>AND('Planilla_General_07-12-2012_8_3'!M546,"AAAAAH4ePj4=")</f>
        <v>#VALUE!</v>
      </c>
      <c r="BL37" t="e">
        <f>AND('Planilla_General_07-12-2012_8_3'!N546,"AAAAAH4ePj8=")</f>
        <v>#VALUE!</v>
      </c>
      <c r="BM37" t="e">
        <f>AND('Planilla_General_07-12-2012_8_3'!O546,"AAAAAH4ePkA=")</f>
        <v>#VALUE!</v>
      </c>
      <c r="BN37" t="e">
        <f>AND('Planilla_General_07-12-2012_8_3'!P546,"AAAAAH4ePkE=")</f>
        <v>#VALUE!</v>
      </c>
      <c r="BO37">
        <f>IF('Planilla_General_07-12-2012_8_3'!547:547,"AAAAAH4ePkI=",0)</f>
        <v>0</v>
      </c>
      <c r="BP37" t="e">
        <f>AND('Planilla_General_07-12-2012_8_3'!A547,"AAAAAH4ePkM=")</f>
        <v>#VALUE!</v>
      </c>
      <c r="BQ37" t="e">
        <f>AND('Planilla_General_07-12-2012_8_3'!B547,"AAAAAH4ePkQ=")</f>
        <v>#VALUE!</v>
      </c>
      <c r="BR37" t="e">
        <f>AND('Planilla_General_07-12-2012_8_3'!C547,"AAAAAH4ePkU=")</f>
        <v>#VALUE!</v>
      </c>
      <c r="BS37" t="e">
        <f>AND('Planilla_General_07-12-2012_8_3'!D547,"AAAAAH4ePkY=")</f>
        <v>#VALUE!</v>
      </c>
      <c r="BT37" t="e">
        <f>AND('Planilla_General_07-12-2012_8_3'!E547,"AAAAAH4ePkc=")</f>
        <v>#VALUE!</v>
      </c>
      <c r="BU37" t="e">
        <f>AND('Planilla_General_07-12-2012_8_3'!F547,"AAAAAH4ePkg=")</f>
        <v>#VALUE!</v>
      </c>
      <c r="BV37" t="e">
        <f>AND('Planilla_General_07-12-2012_8_3'!G547,"AAAAAH4ePkk=")</f>
        <v>#VALUE!</v>
      </c>
      <c r="BW37" t="e">
        <f>AND('Planilla_General_07-12-2012_8_3'!H547,"AAAAAH4ePko=")</f>
        <v>#VALUE!</v>
      </c>
      <c r="BX37" t="e">
        <f>AND('Planilla_General_07-12-2012_8_3'!I547,"AAAAAH4ePks=")</f>
        <v>#VALUE!</v>
      </c>
      <c r="BY37" t="e">
        <f>AND('Planilla_General_07-12-2012_8_3'!J547,"AAAAAH4ePkw=")</f>
        <v>#VALUE!</v>
      </c>
      <c r="BZ37" t="e">
        <f>AND('Planilla_General_07-12-2012_8_3'!K547,"AAAAAH4ePk0=")</f>
        <v>#VALUE!</v>
      </c>
      <c r="CA37" t="e">
        <f>AND('Planilla_General_07-12-2012_8_3'!L547,"AAAAAH4ePk4=")</f>
        <v>#VALUE!</v>
      </c>
      <c r="CB37" t="e">
        <f>AND('Planilla_General_07-12-2012_8_3'!M547,"AAAAAH4ePk8=")</f>
        <v>#VALUE!</v>
      </c>
      <c r="CC37" t="e">
        <f>AND('Planilla_General_07-12-2012_8_3'!N547,"AAAAAH4ePlA=")</f>
        <v>#VALUE!</v>
      </c>
      <c r="CD37" t="e">
        <f>AND('Planilla_General_07-12-2012_8_3'!O547,"AAAAAH4ePlE=")</f>
        <v>#VALUE!</v>
      </c>
      <c r="CE37" t="e">
        <f>AND('Planilla_General_07-12-2012_8_3'!P547,"AAAAAH4ePlI=")</f>
        <v>#VALUE!</v>
      </c>
      <c r="CF37">
        <f>IF('Planilla_General_07-12-2012_8_3'!548:548,"AAAAAH4ePlM=",0)</f>
        <v>0</v>
      </c>
      <c r="CG37" t="e">
        <f>AND('Planilla_General_07-12-2012_8_3'!A548,"AAAAAH4ePlQ=")</f>
        <v>#VALUE!</v>
      </c>
      <c r="CH37" t="e">
        <f>AND('Planilla_General_07-12-2012_8_3'!B548,"AAAAAH4ePlU=")</f>
        <v>#VALUE!</v>
      </c>
      <c r="CI37" t="e">
        <f>AND('Planilla_General_07-12-2012_8_3'!C548,"AAAAAH4ePlY=")</f>
        <v>#VALUE!</v>
      </c>
      <c r="CJ37" t="e">
        <f>AND('Planilla_General_07-12-2012_8_3'!D548,"AAAAAH4ePlc=")</f>
        <v>#VALUE!</v>
      </c>
      <c r="CK37" t="e">
        <f>AND('Planilla_General_07-12-2012_8_3'!E548,"AAAAAH4ePlg=")</f>
        <v>#VALUE!</v>
      </c>
      <c r="CL37" t="e">
        <f>AND('Planilla_General_07-12-2012_8_3'!F548,"AAAAAH4ePlk=")</f>
        <v>#VALUE!</v>
      </c>
      <c r="CM37" t="e">
        <f>AND('Planilla_General_07-12-2012_8_3'!G548,"AAAAAH4ePlo=")</f>
        <v>#VALUE!</v>
      </c>
      <c r="CN37" t="e">
        <f>AND('Planilla_General_07-12-2012_8_3'!H548,"AAAAAH4ePls=")</f>
        <v>#VALUE!</v>
      </c>
      <c r="CO37" t="e">
        <f>AND('Planilla_General_07-12-2012_8_3'!I548,"AAAAAH4ePlw=")</f>
        <v>#VALUE!</v>
      </c>
      <c r="CP37" t="e">
        <f>AND('Planilla_General_07-12-2012_8_3'!J548,"AAAAAH4ePl0=")</f>
        <v>#VALUE!</v>
      </c>
      <c r="CQ37" t="e">
        <f>AND('Planilla_General_07-12-2012_8_3'!K548,"AAAAAH4ePl4=")</f>
        <v>#VALUE!</v>
      </c>
      <c r="CR37" t="e">
        <f>AND('Planilla_General_07-12-2012_8_3'!L548,"AAAAAH4ePl8=")</f>
        <v>#VALUE!</v>
      </c>
      <c r="CS37" t="e">
        <f>AND('Planilla_General_07-12-2012_8_3'!M548,"AAAAAH4ePmA=")</f>
        <v>#VALUE!</v>
      </c>
      <c r="CT37" t="e">
        <f>AND('Planilla_General_07-12-2012_8_3'!N548,"AAAAAH4ePmE=")</f>
        <v>#VALUE!</v>
      </c>
      <c r="CU37" t="e">
        <f>AND('Planilla_General_07-12-2012_8_3'!O548,"AAAAAH4ePmI=")</f>
        <v>#VALUE!</v>
      </c>
      <c r="CV37" t="e">
        <f>AND('Planilla_General_07-12-2012_8_3'!P548,"AAAAAH4ePmM=")</f>
        <v>#VALUE!</v>
      </c>
      <c r="CW37">
        <f>IF('Planilla_General_07-12-2012_8_3'!549:549,"AAAAAH4ePmQ=",0)</f>
        <v>0</v>
      </c>
      <c r="CX37" t="e">
        <f>AND('Planilla_General_07-12-2012_8_3'!A549,"AAAAAH4ePmU=")</f>
        <v>#VALUE!</v>
      </c>
      <c r="CY37" t="e">
        <f>AND('Planilla_General_07-12-2012_8_3'!B549,"AAAAAH4ePmY=")</f>
        <v>#VALUE!</v>
      </c>
      <c r="CZ37" t="e">
        <f>AND('Planilla_General_07-12-2012_8_3'!C549,"AAAAAH4ePmc=")</f>
        <v>#VALUE!</v>
      </c>
      <c r="DA37" t="e">
        <f>AND('Planilla_General_07-12-2012_8_3'!D549,"AAAAAH4ePmg=")</f>
        <v>#VALUE!</v>
      </c>
      <c r="DB37" t="e">
        <f>AND('Planilla_General_07-12-2012_8_3'!E549,"AAAAAH4ePmk=")</f>
        <v>#VALUE!</v>
      </c>
      <c r="DC37" t="e">
        <f>AND('Planilla_General_07-12-2012_8_3'!F549,"AAAAAH4ePmo=")</f>
        <v>#VALUE!</v>
      </c>
      <c r="DD37" t="e">
        <f>AND('Planilla_General_07-12-2012_8_3'!G549,"AAAAAH4ePms=")</f>
        <v>#VALUE!</v>
      </c>
      <c r="DE37" t="e">
        <f>AND('Planilla_General_07-12-2012_8_3'!H549,"AAAAAH4ePmw=")</f>
        <v>#VALUE!</v>
      </c>
      <c r="DF37" t="e">
        <f>AND('Planilla_General_07-12-2012_8_3'!I549,"AAAAAH4ePm0=")</f>
        <v>#VALUE!</v>
      </c>
      <c r="DG37" t="e">
        <f>AND('Planilla_General_07-12-2012_8_3'!J549,"AAAAAH4ePm4=")</f>
        <v>#VALUE!</v>
      </c>
      <c r="DH37" t="e">
        <f>AND('Planilla_General_07-12-2012_8_3'!K549,"AAAAAH4ePm8=")</f>
        <v>#VALUE!</v>
      </c>
      <c r="DI37" t="e">
        <f>AND('Planilla_General_07-12-2012_8_3'!L549,"AAAAAH4ePnA=")</f>
        <v>#VALUE!</v>
      </c>
      <c r="DJ37" t="e">
        <f>AND('Planilla_General_07-12-2012_8_3'!M549,"AAAAAH4ePnE=")</f>
        <v>#VALUE!</v>
      </c>
      <c r="DK37" t="e">
        <f>AND('Planilla_General_07-12-2012_8_3'!N549,"AAAAAH4ePnI=")</f>
        <v>#VALUE!</v>
      </c>
      <c r="DL37" t="e">
        <f>AND('Planilla_General_07-12-2012_8_3'!O549,"AAAAAH4ePnM=")</f>
        <v>#VALUE!</v>
      </c>
      <c r="DM37" t="e">
        <f>AND('Planilla_General_07-12-2012_8_3'!P549,"AAAAAH4ePnQ=")</f>
        <v>#VALUE!</v>
      </c>
      <c r="DN37">
        <f>IF('Planilla_General_07-12-2012_8_3'!550:550,"AAAAAH4ePnU=",0)</f>
        <v>0</v>
      </c>
      <c r="DO37" t="e">
        <f>AND('Planilla_General_07-12-2012_8_3'!A550,"AAAAAH4ePnY=")</f>
        <v>#VALUE!</v>
      </c>
      <c r="DP37" t="e">
        <f>AND('Planilla_General_07-12-2012_8_3'!B550,"AAAAAH4ePnc=")</f>
        <v>#VALUE!</v>
      </c>
      <c r="DQ37" t="e">
        <f>AND('Planilla_General_07-12-2012_8_3'!C550,"AAAAAH4ePng=")</f>
        <v>#VALUE!</v>
      </c>
      <c r="DR37" t="e">
        <f>AND('Planilla_General_07-12-2012_8_3'!D550,"AAAAAH4ePnk=")</f>
        <v>#VALUE!</v>
      </c>
      <c r="DS37" t="e">
        <f>AND('Planilla_General_07-12-2012_8_3'!E550,"AAAAAH4ePno=")</f>
        <v>#VALUE!</v>
      </c>
      <c r="DT37" t="e">
        <f>AND('Planilla_General_07-12-2012_8_3'!F550,"AAAAAH4ePns=")</f>
        <v>#VALUE!</v>
      </c>
      <c r="DU37" t="e">
        <f>AND('Planilla_General_07-12-2012_8_3'!G550,"AAAAAH4ePnw=")</f>
        <v>#VALUE!</v>
      </c>
      <c r="DV37" t="e">
        <f>AND('Planilla_General_07-12-2012_8_3'!H550,"AAAAAH4ePn0=")</f>
        <v>#VALUE!</v>
      </c>
      <c r="DW37" t="e">
        <f>AND('Planilla_General_07-12-2012_8_3'!I550,"AAAAAH4ePn4=")</f>
        <v>#VALUE!</v>
      </c>
      <c r="DX37" t="e">
        <f>AND('Planilla_General_07-12-2012_8_3'!J550,"AAAAAH4ePn8=")</f>
        <v>#VALUE!</v>
      </c>
      <c r="DY37" t="e">
        <f>AND('Planilla_General_07-12-2012_8_3'!K550,"AAAAAH4ePoA=")</f>
        <v>#VALUE!</v>
      </c>
      <c r="DZ37" t="e">
        <f>AND('Planilla_General_07-12-2012_8_3'!L550,"AAAAAH4ePoE=")</f>
        <v>#VALUE!</v>
      </c>
      <c r="EA37" t="e">
        <f>AND('Planilla_General_07-12-2012_8_3'!M550,"AAAAAH4ePoI=")</f>
        <v>#VALUE!</v>
      </c>
      <c r="EB37" t="e">
        <f>AND('Planilla_General_07-12-2012_8_3'!N550,"AAAAAH4ePoM=")</f>
        <v>#VALUE!</v>
      </c>
      <c r="EC37" t="e">
        <f>AND('Planilla_General_07-12-2012_8_3'!O550,"AAAAAH4ePoQ=")</f>
        <v>#VALUE!</v>
      </c>
      <c r="ED37" t="e">
        <f>AND('Planilla_General_07-12-2012_8_3'!P550,"AAAAAH4ePoU=")</f>
        <v>#VALUE!</v>
      </c>
      <c r="EE37">
        <f>IF('Planilla_General_07-12-2012_8_3'!551:551,"AAAAAH4ePoY=",0)</f>
        <v>0</v>
      </c>
      <c r="EF37" t="e">
        <f>AND('Planilla_General_07-12-2012_8_3'!A551,"AAAAAH4ePoc=")</f>
        <v>#VALUE!</v>
      </c>
      <c r="EG37" t="e">
        <f>AND('Planilla_General_07-12-2012_8_3'!B551,"AAAAAH4ePog=")</f>
        <v>#VALUE!</v>
      </c>
      <c r="EH37" t="e">
        <f>AND('Planilla_General_07-12-2012_8_3'!C551,"AAAAAH4ePok=")</f>
        <v>#VALUE!</v>
      </c>
      <c r="EI37" t="e">
        <f>AND('Planilla_General_07-12-2012_8_3'!D551,"AAAAAH4ePoo=")</f>
        <v>#VALUE!</v>
      </c>
      <c r="EJ37" t="e">
        <f>AND('Planilla_General_07-12-2012_8_3'!E551,"AAAAAH4ePos=")</f>
        <v>#VALUE!</v>
      </c>
      <c r="EK37" t="e">
        <f>AND('Planilla_General_07-12-2012_8_3'!F551,"AAAAAH4ePow=")</f>
        <v>#VALUE!</v>
      </c>
      <c r="EL37" t="e">
        <f>AND('Planilla_General_07-12-2012_8_3'!G551,"AAAAAH4ePo0=")</f>
        <v>#VALUE!</v>
      </c>
      <c r="EM37" t="e">
        <f>AND('Planilla_General_07-12-2012_8_3'!H551,"AAAAAH4ePo4=")</f>
        <v>#VALUE!</v>
      </c>
      <c r="EN37" t="e">
        <f>AND('Planilla_General_07-12-2012_8_3'!I551,"AAAAAH4ePo8=")</f>
        <v>#VALUE!</v>
      </c>
      <c r="EO37" t="e">
        <f>AND('Planilla_General_07-12-2012_8_3'!J551,"AAAAAH4ePpA=")</f>
        <v>#VALUE!</v>
      </c>
      <c r="EP37" t="e">
        <f>AND('Planilla_General_07-12-2012_8_3'!K551,"AAAAAH4ePpE=")</f>
        <v>#VALUE!</v>
      </c>
      <c r="EQ37" t="e">
        <f>AND('Planilla_General_07-12-2012_8_3'!L551,"AAAAAH4ePpI=")</f>
        <v>#VALUE!</v>
      </c>
      <c r="ER37" t="e">
        <f>AND('Planilla_General_07-12-2012_8_3'!M551,"AAAAAH4ePpM=")</f>
        <v>#VALUE!</v>
      </c>
      <c r="ES37" t="e">
        <f>AND('Planilla_General_07-12-2012_8_3'!N551,"AAAAAH4ePpQ=")</f>
        <v>#VALUE!</v>
      </c>
      <c r="ET37" t="e">
        <f>AND('Planilla_General_07-12-2012_8_3'!O551,"AAAAAH4ePpU=")</f>
        <v>#VALUE!</v>
      </c>
      <c r="EU37" t="e">
        <f>AND('Planilla_General_07-12-2012_8_3'!P551,"AAAAAH4ePpY=")</f>
        <v>#VALUE!</v>
      </c>
      <c r="EV37">
        <f>IF('Planilla_General_07-12-2012_8_3'!552:552,"AAAAAH4ePpc=",0)</f>
        <v>0</v>
      </c>
      <c r="EW37" t="e">
        <f>AND('Planilla_General_07-12-2012_8_3'!A552,"AAAAAH4ePpg=")</f>
        <v>#VALUE!</v>
      </c>
      <c r="EX37" t="e">
        <f>AND('Planilla_General_07-12-2012_8_3'!B552,"AAAAAH4ePpk=")</f>
        <v>#VALUE!</v>
      </c>
      <c r="EY37" t="e">
        <f>AND('Planilla_General_07-12-2012_8_3'!C552,"AAAAAH4ePpo=")</f>
        <v>#VALUE!</v>
      </c>
      <c r="EZ37" t="e">
        <f>AND('Planilla_General_07-12-2012_8_3'!D552,"AAAAAH4ePps=")</f>
        <v>#VALUE!</v>
      </c>
      <c r="FA37" t="e">
        <f>AND('Planilla_General_07-12-2012_8_3'!E552,"AAAAAH4ePpw=")</f>
        <v>#VALUE!</v>
      </c>
      <c r="FB37" t="e">
        <f>AND('Planilla_General_07-12-2012_8_3'!F552,"AAAAAH4ePp0=")</f>
        <v>#VALUE!</v>
      </c>
      <c r="FC37" t="e">
        <f>AND('Planilla_General_07-12-2012_8_3'!G552,"AAAAAH4ePp4=")</f>
        <v>#VALUE!</v>
      </c>
      <c r="FD37" t="e">
        <f>AND('Planilla_General_07-12-2012_8_3'!H552,"AAAAAH4ePp8=")</f>
        <v>#VALUE!</v>
      </c>
      <c r="FE37" t="e">
        <f>AND('Planilla_General_07-12-2012_8_3'!I552,"AAAAAH4ePqA=")</f>
        <v>#VALUE!</v>
      </c>
      <c r="FF37" t="e">
        <f>AND('Planilla_General_07-12-2012_8_3'!J552,"AAAAAH4ePqE=")</f>
        <v>#VALUE!</v>
      </c>
      <c r="FG37" t="e">
        <f>AND('Planilla_General_07-12-2012_8_3'!K552,"AAAAAH4ePqI=")</f>
        <v>#VALUE!</v>
      </c>
      <c r="FH37" t="e">
        <f>AND('Planilla_General_07-12-2012_8_3'!L552,"AAAAAH4ePqM=")</f>
        <v>#VALUE!</v>
      </c>
      <c r="FI37" t="e">
        <f>AND('Planilla_General_07-12-2012_8_3'!M552,"AAAAAH4ePqQ=")</f>
        <v>#VALUE!</v>
      </c>
      <c r="FJ37" t="e">
        <f>AND('Planilla_General_07-12-2012_8_3'!N552,"AAAAAH4ePqU=")</f>
        <v>#VALUE!</v>
      </c>
      <c r="FK37" t="e">
        <f>AND('Planilla_General_07-12-2012_8_3'!O552,"AAAAAH4ePqY=")</f>
        <v>#VALUE!</v>
      </c>
      <c r="FL37" t="e">
        <f>AND('Planilla_General_07-12-2012_8_3'!P552,"AAAAAH4ePqc=")</f>
        <v>#VALUE!</v>
      </c>
      <c r="FM37">
        <f>IF('Planilla_General_07-12-2012_8_3'!553:553,"AAAAAH4ePqg=",0)</f>
        <v>0</v>
      </c>
      <c r="FN37" t="e">
        <f>AND('Planilla_General_07-12-2012_8_3'!A553,"AAAAAH4ePqk=")</f>
        <v>#VALUE!</v>
      </c>
      <c r="FO37" t="e">
        <f>AND('Planilla_General_07-12-2012_8_3'!B553,"AAAAAH4ePqo=")</f>
        <v>#VALUE!</v>
      </c>
      <c r="FP37" t="e">
        <f>AND('Planilla_General_07-12-2012_8_3'!C553,"AAAAAH4ePqs=")</f>
        <v>#VALUE!</v>
      </c>
      <c r="FQ37" t="e">
        <f>AND('Planilla_General_07-12-2012_8_3'!D553,"AAAAAH4ePqw=")</f>
        <v>#VALUE!</v>
      </c>
      <c r="FR37" t="e">
        <f>AND('Planilla_General_07-12-2012_8_3'!E553,"AAAAAH4ePq0=")</f>
        <v>#VALUE!</v>
      </c>
      <c r="FS37" t="e">
        <f>AND('Planilla_General_07-12-2012_8_3'!F553,"AAAAAH4ePq4=")</f>
        <v>#VALUE!</v>
      </c>
      <c r="FT37" t="e">
        <f>AND('Planilla_General_07-12-2012_8_3'!G553,"AAAAAH4ePq8=")</f>
        <v>#VALUE!</v>
      </c>
      <c r="FU37" t="e">
        <f>AND('Planilla_General_07-12-2012_8_3'!H553,"AAAAAH4ePrA=")</f>
        <v>#VALUE!</v>
      </c>
      <c r="FV37" t="e">
        <f>AND('Planilla_General_07-12-2012_8_3'!I553,"AAAAAH4ePrE=")</f>
        <v>#VALUE!</v>
      </c>
      <c r="FW37" t="e">
        <f>AND('Planilla_General_07-12-2012_8_3'!J553,"AAAAAH4ePrI=")</f>
        <v>#VALUE!</v>
      </c>
      <c r="FX37" t="e">
        <f>AND('Planilla_General_07-12-2012_8_3'!K553,"AAAAAH4ePrM=")</f>
        <v>#VALUE!</v>
      </c>
      <c r="FY37" t="e">
        <f>AND('Planilla_General_07-12-2012_8_3'!L553,"AAAAAH4ePrQ=")</f>
        <v>#VALUE!</v>
      </c>
      <c r="FZ37" t="e">
        <f>AND('Planilla_General_07-12-2012_8_3'!M553,"AAAAAH4ePrU=")</f>
        <v>#VALUE!</v>
      </c>
      <c r="GA37" t="e">
        <f>AND('Planilla_General_07-12-2012_8_3'!N553,"AAAAAH4ePrY=")</f>
        <v>#VALUE!</v>
      </c>
      <c r="GB37" t="e">
        <f>AND('Planilla_General_07-12-2012_8_3'!O553,"AAAAAH4ePrc=")</f>
        <v>#VALUE!</v>
      </c>
      <c r="GC37" t="e">
        <f>AND('Planilla_General_07-12-2012_8_3'!P553,"AAAAAH4ePrg=")</f>
        <v>#VALUE!</v>
      </c>
      <c r="GD37">
        <f>IF('Planilla_General_07-12-2012_8_3'!554:554,"AAAAAH4ePrk=",0)</f>
        <v>0</v>
      </c>
      <c r="GE37" t="e">
        <f>AND('Planilla_General_07-12-2012_8_3'!A554,"AAAAAH4ePro=")</f>
        <v>#VALUE!</v>
      </c>
      <c r="GF37" t="e">
        <f>AND('Planilla_General_07-12-2012_8_3'!B554,"AAAAAH4ePrs=")</f>
        <v>#VALUE!</v>
      </c>
      <c r="GG37" t="e">
        <f>AND('Planilla_General_07-12-2012_8_3'!C554,"AAAAAH4ePrw=")</f>
        <v>#VALUE!</v>
      </c>
      <c r="GH37" t="e">
        <f>AND('Planilla_General_07-12-2012_8_3'!D554,"AAAAAH4ePr0=")</f>
        <v>#VALUE!</v>
      </c>
      <c r="GI37" t="e">
        <f>AND('Planilla_General_07-12-2012_8_3'!E554,"AAAAAH4ePr4=")</f>
        <v>#VALUE!</v>
      </c>
      <c r="GJ37" t="e">
        <f>AND('Planilla_General_07-12-2012_8_3'!F554,"AAAAAH4ePr8=")</f>
        <v>#VALUE!</v>
      </c>
      <c r="GK37" t="e">
        <f>AND('Planilla_General_07-12-2012_8_3'!G554,"AAAAAH4ePsA=")</f>
        <v>#VALUE!</v>
      </c>
      <c r="GL37" t="e">
        <f>AND('Planilla_General_07-12-2012_8_3'!H554,"AAAAAH4ePsE=")</f>
        <v>#VALUE!</v>
      </c>
      <c r="GM37" t="e">
        <f>AND('Planilla_General_07-12-2012_8_3'!I554,"AAAAAH4ePsI=")</f>
        <v>#VALUE!</v>
      </c>
      <c r="GN37" t="e">
        <f>AND('Planilla_General_07-12-2012_8_3'!J554,"AAAAAH4ePsM=")</f>
        <v>#VALUE!</v>
      </c>
      <c r="GO37" t="e">
        <f>AND('Planilla_General_07-12-2012_8_3'!K554,"AAAAAH4ePsQ=")</f>
        <v>#VALUE!</v>
      </c>
      <c r="GP37" t="e">
        <f>AND('Planilla_General_07-12-2012_8_3'!L554,"AAAAAH4ePsU=")</f>
        <v>#VALUE!</v>
      </c>
      <c r="GQ37" t="e">
        <f>AND('Planilla_General_07-12-2012_8_3'!M554,"AAAAAH4ePsY=")</f>
        <v>#VALUE!</v>
      </c>
      <c r="GR37" t="e">
        <f>AND('Planilla_General_07-12-2012_8_3'!N554,"AAAAAH4ePsc=")</f>
        <v>#VALUE!</v>
      </c>
      <c r="GS37" t="e">
        <f>AND('Planilla_General_07-12-2012_8_3'!O554,"AAAAAH4ePsg=")</f>
        <v>#VALUE!</v>
      </c>
      <c r="GT37" t="e">
        <f>AND('Planilla_General_07-12-2012_8_3'!P554,"AAAAAH4ePsk=")</f>
        <v>#VALUE!</v>
      </c>
      <c r="GU37">
        <f>IF('Planilla_General_07-12-2012_8_3'!555:555,"AAAAAH4ePso=",0)</f>
        <v>0</v>
      </c>
      <c r="GV37" t="e">
        <f>AND('Planilla_General_07-12-2012_8_3'!A555,"AAAAAH4ePss=")</f>
        <v>#VALUE!</v>
      </c>
      <c r="GW37" t="e">
        <f>AND('Planilla_General_07-12-2012_8_3'!B555,"AAAAAH4ePsw=")</f>
        <v>#VALUE!</v>
      </c>
      <c r="GX37" t="e">
        <f>AND('Planilla_General_07-12-2012_8_3'!C555,"AAAAAH4ePs0=")</f>
        <v>#VALUE!</v>
      </c>
      <c r="GY37" t="e">
        <f>AND('Planilla_General_07-12-2012_8_3'!D555,"AAAAAH4ePs4=")</f>
        <v>#VALUE!</v>
      </c>
      <c r="GZ37" t="e">
        <f>AND('Planilla_General_07-12-2012_8_3'!E555,"AAAAAH4ePs8=")</f>
        <v>#VALUE!</v>
      </c>
      <c r="HA37" t="e">
        <f>AND('Planilla_General_07-12-2012_8_3'!F555,"AAAAAH4ePtA=")</f>
        <v>#VALUE!</v>
      </c>
      <c r="HB37" t="e">
        <f>AND('Planilla_General_07-12-2012_8_3'!G555,"AAAAAH4ePtE=")</f>
        <v>#VALUE!</v>
      </c>
      <c r="HC37" t="e">
        <f>AND('Planilla_General_07-12-2012_8_3'!H555,"AAAAAH4ePtI=")</f>
        <v>#VALUE!</v>
      </c>
      <c r="HD37" t="e">
        <f>AND('Planilla_General_07-12-2012_8_3'!I555,"AAAAAH4ePtM=")</f>
        <v>#VALUE!</v>
      </c>
      <c r="HE37" t="e">
        <f>AND('Planilla_General_07-12-2012_8_3'!J555,"AAAAAH4ePtQ=")</f>
        <v>#VALUE!</v>
      </c>
      <c r="HF37" t="e">
        <f>AND('Planilla_General_07-12-2012_8_3'!K555,"AAAAAH4ePtU=")</f>
        <v>#VALUE!</v>
      </c>
      <c r="HG37" t="e">
        <f>AND('Planilla_General_07-12-2012_8_3'!L555,"AAAAAH4ePtY=")</f>
        <v>#VALUE!</v>
      </c>
      <c r="HH37" t="e">
        <f>AND('Planilla_General_07-12-2012_8_3'!M555,"AAAAAH4ePtc=")</f>
        <v>#VALUE!</v>
      </c>
      <c r="HI37" t="e">
        <f>AND('Planilla_General_07-12-2012_8_3'!N555,"AAAAAH4ePtg=")</f>
        <v>#VALUE!</v>
      </c>
      <c r="HJ37" t="e">
        <f>AND('Planilla_General_07-12-2012_8_3'!O555,"AAAAAH4ePtk=")</f>
        <v>#VALUE!</v>
      </c>
      <c r="HK37" t="e">
        <f>AND('Planilla_General_07-12-2012_8_3'!P555,"AAAAAH4ePto=")</f>
        <v>#VALUE!</v>
      </c>
      <c r="HL37">
        <f>IF('Planilla_General_07-12-2012_8_3'!556:556,"AAAAAH4ePts=",0)</f>
        <v>0</v>
      </c>
      <c r="HM37" t="e">
        <f>AND('Planilla_General_07-12-2012_8_3'!A556,"AAAAAH4ePtw=")</f>
        <v>#VALUE!</v>
      </c>
      <c r="HN37" t="e">
        <f>AND('Planilla_General_07-12-2012_8_3'!B556,"AAAAAH4ePt0=")</f>
        <v>#VALUE!</v>
      </c>
      <c r="HO37" t="e">
        <f>AND('Planilla_General_07-12-2012_8_3'!C556,"AAAAAH4ePt4=")</f>
        <v>#VALUE!</v>
      </c>
      <c r="HP37" t="e">
        <f>AND('Planilla_General_07-12-2012_8_3'!D556,"AAAAAH4ePt8=")</f>
        <v>#VALUE!</v>
      </c>
      <c r="HQ37" t="e">
        <f>AND('Planilla_General_07-12-2012_8_3'!E556,"AAAAAH4ePuA=")</f>
        <v>#VALUE!</v>
      </c>
      <c r="HR37" t="e">
        <f>AND('Planilla_General_07-12-2012_8_3'!F556,"AAAAAH4ePuE=")</f>
        <v>#VALUE!</v>
      </c>
      <c r="HS37" t="e">
        <f>AND('Planilla_General_07-12-2012_8_3'!G556,"AAAAAH4ePuI=")</f>
        <v>#VALUE!</v>
      </c>
      <c r="HT37" t="e">
        <f>AND('Planilla_General_07-12-2012_8_3'!H556,"AAAAAH4ePuM=")</f>
        <v>#VALUE!</v>
      </c>
      <c r="HU37" t="e">
        <f>AND('Planilla_General_07-12-2012_8_3'!I556,"AAAAAH4ePuQ=")</f>
        <v>#VALUE!</v>
      </c>
      <c r="HV37" t="e">
        <f>AND('Planilla_General_07-12-2012_8_3'!J556,"AAAAAH4ePuU=")</f>
        <v>#VALUE!</v>
      </c>
      <c r="HW37" t="e">
        <f>AND('Planilla_General_07-12-2012_8_3'!K556,"AAAAAH4ePuY=")</f>
        <v>#VALUE!</v>
      </c>
      <c r="HX37" t="e">
        <f>AND('Planilla_General_07-12-2012_8_3'!L556,"AAAAAH4ePuc=")</f>
        <v>#VALUE!</v>
      </c>
      <c r="HY37" t="e">
        <f>AND('Planilla_General_07-12-2012_8_3'!M556,"AAAAAH4ePug=")</f>
        <v>#VALUE!</v>
      </c>
      <c r="HZ37" t="e">
        <f>AND('Planilla_General_07-12-2012_8_3'!N556,"AAAAAH4ePuk=")</f>
        <v>#VALUE!</v>
      </c>
      <c r="IA37" t="e">
        <f>AND('Planilla_General_07-12-2012_8_3'!O556,"AAAAAH4ePuo=")</f>
        <v>#VALUE!</v>
      </c>
      <c r="IB37" t="e">
        <f>AND('Planilla_General_07-12-2012_8_3'!P556,"AAAAAH4ePus=")</f>
        <v>#VALUE!</v>
      </c>
      <c r="IC37">
        <f>IF('Planilla_General_07-12-2012_8_3'!557:557,"AAAAAH4ePuw=",0)</f>
        <v>0</v>
      </c>
      <c r="ID37" t="e">
        <f>AND('Planilla_General_07-12-2012_8_3'!A557,"AAAAAH4ePu0=")</f>
        <v>#VALUE!</v>
      </c>
      <c r="IE37" t="e">
        <f>AND('Planilla_General_07-12-2012_8_3'!B557,"AAAAAH4ePu4=")</f>
        <v>#VALUE!</v>
      </c>
      <c r="IF37" t="e">
        <f>AND('Planilla_General_07-12-2012_8_3'!C557,"AAAAAH4ePu8=")</f>
        <v>#VALUE!</v>
      </c>
      <c r="IG37" t="e">
        <f>AND('Planilla_General_07-12-2012_8_3'!D557,"AAAAAH4ePvA=")</f>
        <v>#VALUE!</v>
      </c>
      <c r="IH37" t="e">
        <f>AND('Planilla_General_07-12-2012_8_3'!E557,"AAAAAH4ePvE=")</f>
        <v>#VALUE!</v>
      </c>
      <c r="II37" t="e">
        <f>AND('Planilla_General_07-12-2012_8_3'!F557,"AAAAAH4ePvI=")</f>
        <v>#VALUE!</v>
      </c>
      <c r="IJ37" t="e">
        <f>AND('Planilla_General_07-12-2012_8_3'!G557,"AAAAAH4ePvM=")</f>
        <v>#VALUE!</v>
      </c>
      <c r="IK37" t="e">
        <f>AND('Planilla_General_07-12-2012_8_3'!H557,"AAAAAH4ePvQ=")</f>
        <v>#VALUE!</v>
      </c>
      <c r="IL37" t="e">
        <f>AND('Planilla_General_07-12-2012_8_3'!I557,"AAAAAH4ePvU=")</f>
        <v>#VALUE!</v>
      </c>
      <c r="IM37" t="e">
        <f>AND('Planilla_General_07-12-2012_8_3'!J557,"AAAAAH4ePvY=")</f>
        <v>#VALUE!</v>
      </c>
      <c r="IN37" t="e">
        <f>AND('Planilla_General_07-12-2012_8_3'!K557,"AAAAAH4ePvc=")</f>
        <v>#VALUE!</v>
      </c>
      <c r="IO37" t="e">
        <f>AND('Planilla_General_07-12-2012_8_3'!L557,"AAAAAH4ePvg=")</f>
        <v>#VALUE!</v>
      </c>
      <c r="IP37" t="e">
        <f>AND('Planilla_General_07-12-2012_8_3'!M557,"AAAAAH4ePvk=")</f>
        <v>#VALUE!</v>
      </c>
      <c r="IQ37" t="e">
        <f>AND('Planilla_General_07-12-2012_8_3'!N557,"AAAAAH4ePvo=")</f>
        <v>#VALUE!</v>
      </c>
      <c r="IR37" t="e">
        <f>AND('Planilla_General_07-12-2012_8_3'!O557,"AAAAAH4ePvs=")</f>
        <v>#VALUE!</v>
      </c>
      <c r="IS37" t="e">
        <f>AND('Planilla_General_07-12-2012_8_3'!P557,"AAAAAH4ePvw=")</f>
        <v>#VALUE!</v>
      </c>
      <c r="IT37">
        <f>IF('Planilla_General_07-12-2012_8_3'!558:558,"AAAAAH4ePv0=",0)</f>
        <v>0</v>
      </c>
      <c r="IU37" t="e">
        <f>AND('Planilla_General_07-12-2012_8_3'!A558,"AAAAAH4ePv4=")</f>
        <v>#VALUE!</v>
      </c>
      <c r="IV37" t="e">
        <f>AND('Planilla_General_07-12-2012_8_3'!B558,"AAAAAH4ePv8=")</f>
        <v>#VALUE!</v>
      </c>
    </row>
    <row r="38" spans="1:256" x14ac:dyDescent="0.25">
      <c r="A38" t="e">
        <f>AND('Planilla_General_07-12-2012_8_3'!C558,"AAAAACy/fgA=")</f>
        <v>#VALUE!</v>
      </c>
      <c r="B38" t="e">
        <f>AND('Planilla_General_07-12-2012_8_3'!D558,"AAAAACy/fgE=")</f>
        <v>#VALUE!</v>
      </c>
      <c r="C38" t="e">
        <f>AND('Planilla_General_07-12-2012_8_3'!E558,"AAAAACy/fgI=")</f>
        <v>#VALUE!</v>
      </c>
      <c r="D38" t="e">
        <f>AND('Planilla_General_07-12-2012_8_3'!F558,"AAAAACy/fgM=")</f>
        <v>#VALUE!</v>
      </c>
      <c r="E38" t="e">
        <f>AND('Planilla_General_07-12-2012_8_3'!G558,"AAAAACy/fgQ=")</f>
        <v>#VALUE!</v>
      </c>
      <c r="F38" t="e">
        <f>AND('Planilla_General_07-12-2012_8_3'!H558,"AAAAACy/fgU=")</f>
        <v>#VALUE!</v>
      </c>
      <c r="G38" t="e">
        <f>AND('Planilla_General_07-12-2012_8_3'!I558,"AAAAACy/fgY=")</f>
        <v>#VALUE!</v>
      </c>
      <c r="H38" t="e">
        <f>AND('Planilla_General_07-12-2012_8_3'!J558,"AAAAACy/fgc=")</f>
        <v>#VALUE!</v>
      </c>
      <c r="I38" t="e">
        <f>AND('Planilla_General_07-12-2012_8_3'!K558,"AAAAACy/fgg=")</f>
        <v>#VALUE!</v>
      </c>
      <c r="J38" t="e">
        <f>AND('Planilla_General_07-12-2012_8_3'!L558,"AAAAACy/fgk=")</f>
        <v>#VALUE!</v>
      </c>
      <c r="K38" t="e">
        <f>AND('Planilla_General_07-12-2012_8_3'!M558,"AAAAACy/fgo=")</f>
        <v>#VALUE!</v>
      </c>
      <c r="L38" t="e">
        <f>AND('Planilla_General_07-12-2012_8_3'!N558,"AAAAACy/fgs=")</f>
        <v>#VALUE!</v>
      </c>
      <c r="M38" t="e">
        <f>AND('Planilla_General_07-12-2012_8_3'!O558,"AAAAACy/fgw=")</f>
        <v>#VALUE!</v>
      </c>
      <c r="N38" t="e">
        <f>AND('Planilla_General_07-12-2012_8_3'!P558,"AAAAACy/fg0=")</f>
        <v>#VALUE!</v>
      </c>
      <c r="O38" t="str">
        <f>IF('Planilla_General_07-12-2012_8_3'!559:559,"AAAAACy/fg4=",0)</f>
        <v>AAAAACy/fg4=</v>
      </c>
      <c r="P38" t="e">
        <f>AND('Planilla_General_07-12-2012_8_3'!A559,"AAAAACy/fg8=")</f>
        <v>#VALUE!</v>
      </c>
      <c r="Q38" t="e">
        <f>AND('Planilla_General_07-12-2012_8_3'!B559,"AAAAACy/fhA=")</f>
        <v>#VALUE!</v>
      </c>
      <c r="R38" t="e">
        <f>AND('Planilla_General_07-12-2012_8_3'!C559,"AAAAACy/fhE=")</f>
        <v>#VALUE!</v>
      </c>
      <c r="S38" t="e">
        <f>AND('Planilla_General_07-12-2012_8_3'!D559,"AAAAACy/fhI=")</f>
        <v>#VALUE!</v>
      </c>
      <c r="T38" t="e">
        <f>AND('Planilla_General_07-12-2012_8_3'!E559,"AAAAACy/fhM=")</f>
        <v>#VALUE!</v>
      </c>
      <c r="U38" t="e">
        <f>AND('Planilla_General_07-12-2012_8_3'!F559,"AAAAACy/fhQ=")</f>
        <v>#VALUE!</v>
      </c>
      <c r="V38" t="e">
        <f>AND('Planilla_General_07-12-2012_8_3'!G559,"AAAAACy/fhU=")</f>
        <v>#VALUE!</v>
      </c>
      <c r="W38" t="e">
        <f>AND('Planilla_General_07-12-2012_8_3'!H559,"AAAAACy/fhY=")</f>
        <v>#VALUE!</v>
      </c>
      <c r="X38" t="e">
        <f>AND('Planilla_General_07-12-2012_8_3'!I559,"AAAAACy/fhc=")</f>
        <v>#VALUE!</v>
      </c>
      <c r="Y38" t="e">
        <f>AND('Planilla_General_07-12-2012_8_3'!J559,"AAAAACy/fhg=")</f>
        <v>#VALUE!</v>
      </c>
      <c r="Z38" t="e">
        <f>AND('Planilla_General_07-12-2012_8_3'!K559,"AAAAACy/fhk=")</f>
        <v>#VALUE!</v>
      </c>
      <c r="AA38" t="e">
        <f>AND('Planilla_General_07-12-2012_8_3'!L559,"AAAAACy/fho=")</f>
        <v>#VALUE!</v>
      </c>
      <c r="AB38" t="e">
        <f>AND('Planilla_General_07-12-2012_8_3'!M559,"AAAAACy/fhs=")</f>
        <v>#VALUE!</v>
      </c>
      <c r="AC38" t="e">
        <f>AND('Planilla_General_07-12-2012_8_3'!N559,"AAAAACy/fhw=")</f>
        <v>#VALUE!</v>
      </c>
      <c r="AD38" t="e">
        <f>AND('Planilla_General_07-12-2012_8_3'!O559,"AAAAACy/fh0=")</f>
        <v>#VALUE!</v>
      </c>
      <c r="AE38" t="e">
        <f>AND('Planilla_General_07-12-2012_8_3'!P559,"AAAAACy/fh4=")</f>
        <v>#VALUE!</v>
      </c>
      <c r="AF38">
        <f>IF('Planilla_General_07-12-2012_8_3'!560:560,"AAAAACy/fh8=",0)</f>
        <v>0</v>
      </c>
      <c r="AG38" t="e">
        <f>AND('Planilla_General_07-12-2012_8_3'!A560,"AAAAACy/fiA=")</f>
        <v>#VALUE!</v>
      </c>
      <c r="AH38" t="e">
        <f>AND('Planilla_General_07-12-2012_8_3'!B560,"AAAAACy/fiE=")</f>
        <v>#VALUE!</v>
      </c>
      <c r="AI38" t="e">
        <f>AND('Planilla_General_07-12-2012_8_3'!C560,"AAAAACy/fiI=")</f>
        <v>#VALUE!</v>
      </c>
      <c r="AJ38" t="e">
        <f>AND('Planilla_General_07-12-2012_8_3'!D560,"AAAAACy/fiM=")</f>
        <v>#VALUE!</v>
      </c>
      <c r="AK38" t="e">
        <f>AND('Planilla_General_07-12-2012_8_3'!E560,"AAAAACy/fiQ=")</f>
        <v>#VALUE!</v>
      </c>
      <c r="AL38" t="e">
        <f>AND('Planilla_General_07-12-2012_8_3'!F560,"AAAAACy/fiU=")</f>
        <v>#VALUE!</v>
      </c>
      <c r="AM38" t="e">
        <f>AND('Planilla_General_07-12-2012_8_3'!G560,"AAAAACy/fiY=")</f>
        <v>#VALUE!</v>
      </c>
      <c r="AN38" t="e">
        <f>AND('Planilla_General_07-12-2012_8_3'!H560,"AAAAACy/fic=")</f>
        <v>#VALUE!</v>
      </c>
      <c r="AO38" t="e">
        <f>AND('Planilla_General_07-12-2012_8_3'!I560,"AAAAACy/fig=")</f>
        <v>#VALUE!</v>
      </c>
      <c r="AP38" t="e">
        <f>AND('Planilla_General_07-12-2012_8_3'!J560,"AAAAACy/fik=")</f>
        <v>#VALUE!</v>
      </c>
      <c r="AQ38" t="e">
        <f>AND('Planilla_General_07-12-2012_8_3'!K560,"AAAAACy/fio=")</f>
        <v>#VALUE!</v>
      </c>
      <c r="AR38" t="e">
        <f>AND('Planilla_General_07-12-2012_8_3'!L560,"AAAAACy/fis=")</f>
        <v>#VALUE!</v>
      </c>
      <c r="AS38" t="e">
        <f>AND('Planilla_General_07-12-2012_8_3'!M560,"AAAAACy/fiw=")</f>
        <v>#VALUE!</v>
      </c>
      <c r="AT38" t="e">
        <f>AND('Planilla_General_07-12-2012_8_3'!N560,"AAAAACy/fi0=")</f>
        <v>#VALUE!</v>
      </c>
      <c r="AU38" t="e">
        <f>AND('Planilla_General_07-12-2012_8_3'!O560,"AAAAACy/fi4=")</f>
        <v>#VALUE!</v>
      </c>
      <c r="AV38" t="e">
        <f>AND('Planilla_General_07-12-2012_8_3'!P560,"AAAAACy/fi8=")</f>
        <v>#VALUE!</v>
      </c>
      <c r="AW38">
        <f>IF('Planilla_General_07-12-2012_8_3'!561:561,"AAAAACy/fjA=",0)</f>
        <v>0</v>
      </c>
      <c r="AX38" t="e">
        <f>AND('Planilla_General_07-12-2012_8_3'!A561,"AAAAACy/fjE=")</f>
        <v>#VALUE!</v>
      </c>
      <c r="AY38" t="e">
        <f>AND('Planilla_General_07-12-2012_8_3'!B561,"AAAAACy/fjI=")</f>
        <v>#VALUE!</v>
      </c>
      <c r="AZ38" t="e">
        <f>AND('Planilla_General_07-12-2012_8_3'!C561,"AAAAACy/fjM=")</f>
        <v>#VALUE!</v>
      </c>
      <c r="BA38" t="e">
        <f>AND('Planilla_General_07-12-2012_8_3'!D561,"AAAAACy/fjQ=")</f>
        <v>#VALUE!</v>
      </c>
      <c r="BB38" t="e">
        <f>AND('Planilla_General_07-12-2012_8_3'!E561,"AAAAACy/fjU=")</f>
        <v>#VALUE!</v>
      </c>
      <c r="BC38" t="e">
        <f>AND('Planilla_General_07-12-2012_8_3'!F561,"AAAAACy/fjY=")</f>
        <v>#VALUE!</v>
      </c>
      <c r="BD38" t="e">
        <f>AND('Planilla_General_07-12-2012_8_3'!G561,"AAAAACy/fjc=")</f>
        <v>#VALUE!</v>
      </c>
      <c r="BE38" t="e">
        <f>AND('Planilla_General_07-12-2012_8_3'!H561,"AAAAACy/fjg=")</f>
        <v>#VALUE!</v>
      </c>
      <c r="BF38" t="e">
        <f>AND('Planilla_General_07-12-2012_8_3'!I561,"AAAAACy/fjk=")</f>
        <v>#VALUE!</v>
      </c>
      <c r="BG38" t="e">
        <f>AND('Planilla_General_07-12-2012_8_3'!J561,"AAAAACy/fjo=")</f>
        <v>#VALUE!</v>
      </c>
      <c r="BH38" t="e">
        <f>AND('Planilla_General_07-12-2012_8_3'!K561,"AAAAACy/fjs=")</f>
        <v>#VALUE!</v>
      </c>
      <c r="BI38" t="e">
        <f>AND('Planilla_General_07-12-2012_8_3'!L561,"AAAAACy/fjw=")</f>
        <v>#VALUE!</v>
      </c>
      <c r="BJ38" t="e">
        <f>AND('Planilla_General_07-12-2012_8_3'!M561,"AAAAACy/fj0=")</f>
        <v>#VALUE!</v>
      </c>
      <c r="BK38" t="e">
        <f>AND('Planilla_General_07-12-2012_8_3'!N561,"AAAAACy/fj4=")</f>
        <v>#VALUE!</v>
      </c>
      <c r="BL38" t="e">
        <f>AND('Planilla_General_07-12-2012_8_3'!O561,"AAAAACy/fj8=")</f>
        <v>#VALUE!</v>
      </c>
      <c r="BM38" t="e">
        <f>AND('Planilla_General_07-12-2012_8_3'!P561,"AAAAACy/fkA=")</f>
        <v>#VALUE!</v>
      </c>
      <c r="BN38">
        <f>IF('Planilla_General_07-12-2012_8_3'!562:562,"AAAAACy/fkE=",0)</f>
        <v>0</v>
      </c>
      <c r="BO38" t="e">
        <f>AND('Planilla_General_07-12-2012_8_3'!A562,"AAAAACy/fkI=")</f>
        <v>#VALUE!</v>
      </c>
      <c r="BP38" t="e">
        <f>AND('Planilla_General_07-12-2012_8_3'!B562,"AAAAACy/fkM=")</f>
        <v>#VALUE!</v>
      </c>
      <c r="BQ38" t="e">
        <f>AND('Planilla_General_07-12-2012_8_3'!C562,"AAAAACy/fkQ=")</f>
        <v>#VALUE!</v>
      </c>
      <c r="BR38" t="e">
        <f>AND('Planilla_General_07-12-2012_8_3'!D562,"AAAAACy/fkU=")</f>
        <v>#VALUE!</v>
      </c>
      <c r="BS38" t="e">
        <f>AND('Planilla_General_07-12-2012_8_3'!E562,"AAAAACy/fkY=")</f>
        <v>#VALUE!</v>
      </c>
      <c r="BT38" t="e">
        <f>AND('Planilla_General_07-12-2012_8_3'!F562,"AAAAACy/fkc=")</f>
        <v>#VALUE!</v>
      </c>
      <c r="BU38" t="e">
        <f>AND('Planilla_General_07-12-2012_8_3'!G562,"AAAAACy/fkg=")</f>
        <v>#VALUE!</v>
      </c>
      <c r="BV38" t="e">
        <f>AND('Planilla_General_07-12-2012_8_3'!H562,"AAAAACy/fkk=")</f>
        <v>#VALUE!</v>
      </c>
      <c r="BW38" t="e">
        <f>AND('Planilla_General_07-12-2012_8_3'!I562,"AAAAACy/fko=")</f>
        <v>#VALUE!</v>
      </c>
      <c r="BX38" t="e">
        <f>AND('Planilla_General_07-12-2012_8_3'!J562,"AAAAACy/fks=")</f>
        <v>#VALUE!</v>
      </c>
      <c r="BY38" t="e">
        <f>AND('Planilla_General_07-12-2012_8_3'!K562,"AAAAACy/fkw=")</f>
        <v>#VALUE!</v>
      </c>
      <c r="BZ38" t="e">
        <f>AND('Planilla_General_07-12-2012_8_3'!L562,"AAAAACy/fk0=")</f>
        <v>#VALUE!</v>
      </c>
      <c r="CA38" t="e">
        <f>AND('Planilla_General_07-12-2012_8_3'!M562,"AAAAACy/fk4=")</f>
        <v>#VALUE!</v>
      </c>
      <c r="CB38" t="e">
        <f>AND('Planilla_General_07-12-2012_8_3'!N562,"AAAAACy/fk8=")</f>
        <v>#VALUE!</v>
      </c>
      <c r="CC38" t="e">
        <f>AND('Planilla_General_07-12-2012_8_3'!O562,"AAAAACy/flA=")</f>
        <v>#VALUE!</v>
      </c>
      <c r="CD38" t="e">
        <f>AND('Planilla_General_07-12-2012_8_3'!P562,"AAAAACy/flE=")</f>
        <v>#VALUE!</v>
      </c>
      <c r="CE38">
        <f>IF('Planilla_General_07-12-2012_8_3'!563:563,"AAAAACy/flI=",0)</f>
        <v>0</v>
      </c>
      <c r="CF38" t="e">
        <f>AND('Planilla_General_07-12-2012_8_3'!A563,"AAAAACy/flM=")</f>
        <v>#VALUE!</v>
      </c>
      <c r="CG38" t="e">
        <f>AND('Planilla_General_07-12-2012_8_3'!B563,"AAAAACy/flQ=")</f>
        <v>#VALUE!</v>
      </c>
      <c r="CH38" t="e">
        <f>AND('Planilla_General_07-12-2012_8_3'!C563,"AAAAACy/flU=")</f>
        <v>#VALUE!</v>
      </c>
      <c r="CI38" t="e">
        <f>AND('Planilla_General_07-12-2012_8_3'!D563,"AAAAACy/flY=")</f>
        <v>#VALUE!</v>
      </c>
      <c r="CJ38" t="e">
        <f>AND('Planilla_General_07-12-2012_8_3'!E563,"AAAAACy/flc=")</f>
        <v>#VALUE!</v>
      </c>
      <c r="CK38" t="e">
        <f>AND('Planilla_General_07-12-2012_8_3'!F563,"AAAAACy/flg=")</f>
        <v>#VALUE!</v>
      </c>
      <c r="CL38" t="e">
        <f>AND('Planilla_General_07-12-2012_8_3'!G563,"AAAAACy/flk=")</f>
        <v>#VALUE!</v>
      </c>
      <c r="CM38" t="e">
        <f>AND('Planilla_General_07-12-2012_8_3'!H563,"AAAAACy/flo=")</f>
        <v>#VALUE!</v>
      </c>
      <c r="CN38" t="e">
        <f>AND('Planilla_General_07-12-2012_8_3'!I563,"AAAAACy/fls=")</f>
        <v>#VALUE!</v>
      </c>
      <c r="CO38" t="e">
        <f>AND('Planilla_General_07-12-2012_8_3'!J563,"AAAAACy/flw=")</f>
        <v>#VALUE!</v>
      </c>
      <c r="CP38" t="e">
        <f>AND('Planilla_General_07-12-2012_8_3'!K563,"AAAAACy/fl0=")</f>
        <v>#VALUE!</v>
      </c>
      <c r="CQ38" t="e">
        <f>AND('Planilla_General_07-12-2012_8_3'!L563,"AAAAACy/fl4=")</f>
        <v>#VALUE!</v>
      </c>
      <c r="CR38" t="e">
        <f>AND('Planilla_General_07-12-2012_8_3'!M563,"AAAAACy/fl8=")</f>
        <v>#VALUE!</v>
      </c>
      <c r="CS38" t="e">
        <f>AND('Planilla_General_07-12-2012_8_3'!N563,"AAAAACy/fmA=")</f>
        <v>#VALUE!</v>
      </c>
      <c r="CT38" t="e">
        <f>AND('Planilla_General_07-12-2012_8_3'!O563,"AAAAACy/fmE=")</f>
        <v>#VALUE!</v>
      </c>
      <c r="CU38" t="e">
        <f>AND('Planilla_General_07-12-2012_8_3'!P563,"AAAAACy/fmI=")</f>
        <v>#VALUE!</v>
      </c>
      <c r="CV38">
        <f>IF('Planilla_General_07-12-2012_8_3'!564:564,"AAAAACy/fmM=",0)</f>
        <v>0</v>
      </c>
      <c r="CW38" t="e">
        <f>AND('Planilla_General_07-12-2012_8_3'!A564,"AAAAACy/fmQ=")</f>
        <v>#VALUE!</v>
      </c>
      <c r="CX38" t="e">
        <f>AND('Planilla_General_07-12-2012_8_3'!B564,"AAAAACy/fmU=")</f>
        <v>#VALUE!</v>
      </c>
      <c r="CY38" t="e">
        <f>AND('Planilla_General_07-12-2012_8_3'!C564,"AAAAACy/fmY=")</f>
        <v>#VALUE!</v>
      </c>
      <c r="CZ38" t="e">
        <f>AND('Planilla_General_07-12-2012_8_3'!D564,"AAAAACy/fmc=")</f>
        <v>#VALUE!</v>
      </c>
      <c r="DA38" t="e">
        <f>AND('Planilla_General_07-12-2012_8_3'!E564,"AAAAACy/fmg=")</f>
        <v>#VALUE!</v>
      </c>
      <c r="DB38" t="e">
        <f>AND('Planilla_General_07-12-2012_8_3'!F564,"AAAAACy/fmk=")</f>
        <v>#VALUE!</v>
      </c>
      <c r="DC38" t="e">
        <f>AND('Planilla_General_07-12-2012_8_3'!G564,"AAAAACy/fmo=")</f>
        <v>#VALUE!</v>
      </c>
      <c r="DD38" t="e">
        <f>AND('Planilla_General_07-12-2012_8_3'!H564,"AAAAACy/fms=")</f>
        <v>#VALUE!</v>
      </c>
      <c r="DE38" t="e">
        <f>AND('Planilla_General_07-12-2012_8_3'!I564,"AAAAACy/fmw=")</f>
        <v>#VALUE!</v>
      </c>
      <c r="DF38" t="e">
        <f>AND('Planilla_General_07-12-2012_8_3'!J564,"AAAAACy/fm0=")</f>
        <v>#VALUE!</v>
      </c>
      <c r="DG38" t="e">
        <f>AND('Planilla_General_07-12-2012_8_3'!K564,"AAAAACy/fm4=")</f>
        <v>#VALUE!</v>
      </c>
      <c r="DH38" t="e">
        <f>AND('Planilla_General_07-12-2012_8_3'!L564,"AAAAACy/fm8=")</f>
        <v>#VALUE!</v>
      </c>
      <c r="DI38" t="e">
        <f>AND('Planilla_General_07-12-2012_8_3'!M564,"AAAAACy/fnA=")</f>
        <v>#VALUE!</v>
      </c>
      <c r="DJ38" t="e">
        <f>AND('Planilla_General_07-12-2012_8_3'!N564,"AAAAACy/fnE=")</f>
        <v>#VALUE!</v>
      </c>
      <c r="DK38" t="e">
        <f>AND('Planilla_General_07-12-2012_8_3'!O564,"AAAAACy/fnI=")</f>
        <v>#VALUE!</v>
      </c>
      <c r="DL38" t="e">
        <f>AND('Planilla_General_07-12-2012_8_3'!P564,"AAAAACy/fnM=")</f>
        <v>#VALUE!</v>
      </c>
      <c r="DM38">
        <f>IF('Planilla_General_07-12-2012_8_3'!565:565,"AAAAACy/fnQ=",0)</f>
        <v>0</v>
      </c>
      <c r="DN38" t="e">
        <f>AND('Planilla_General_07-12-2012_8_3'!A565,"AAAAACy/fnU=")</f>
        <v>#VALUE!</v>
      </c>
      <c r="DO38" t="e">
        <f>AND('Planilla_General_07-12-2012_8_3'!B565,"AAAAACy/fnY=")</f>
        <v>#VALUE!</v>
      </c>
      <c r="DP38" t="e">
        <f>AND('Planilla_General_07-12-2012_8_3'!C565,"AAAAACy/fnc=")</f>
        <v>#VALUE!</v>
      </c>
      <c r="DQ38" t="e">
        <f>AND('Planilla_General_07-12-2012_8_3'!D565,"AAAAACy/fng=")</f>
        <v>#VALUE!</v>
      </c>
      <c r="DR38" t="e">
        <f>AND('Planilla_General_07-12-2012_8_3'!E565,"AAAAACy/fnk=")</f>
        <v>#VALUE!</v>
      </c>
      <c r="DS38" t="e">
        <f>AND('Planilla_General_07-12-2012_8_3'!F565,"AAAAACy/fno=")</f>
        <v>#VALUE!</v>
      </c>
      <c r="DT38" t="e">
        <f>AND('Planilla_General_07-12-2012_8_3'!G565,"AAAAACy/fns=")</f>
        <v>#VALUE!</v>
      </c>
      <c r="DU38" t="e">
        <f>AND('Planilla_General_07-12-2012_8_3'!H565,"AAAAACy/fnw=")</f>
        <v>#VALUE!</v>
      </c>
      <c r="DV38" t="e">
        <f>AND('Planilla_General_07-12-2012_8_3'!I565,"AAAAACy/fn0=")</f>
        <v>#VALUE!</v>
      </c>
      <c r="DW38" t="e">
        <f>AND('Planilla_General_07-12-2012_8_3'!J565,"AAAAACy/fn4=")</f>
        <v>#VALUE!</v>
      </c>
      <c r="DX38" t="e">
        <f>AND('Planilla_General_07-12-2012_8_3'!K565,"AAAAACy/fn8=")</f>
        <v>#VALUE!</v>
      </c>
      <c r="DY38" t="e">
        <f>AND('Planilla_General_07-12-2012_8_3'!L565,"AAAAACy/foA=")</f>
        <v>#VALUE!</v>
      </c>
      <c r="DZ38" t="e">
        <f>AND('Planilla_General_07-12-2012_8_3'!M565,"AAAAACy/foE=")</f>
        <v>#VALUE!</v>
      </c>
      <c r="EA38" t="e">
        <f>AND('Planilla_General_07-12-2012_8_3'!N565,"AAAAACy/foI=")</f>
        <v>#VALUE!</v>
      </c>
      <c r="EB38" t="e">
        <f>AND('Planilla_General_07-12-2012_8_3'!O565,"AAAAACy/foM=")</f>
        <v>#VALUE!</v>
      </c>
      <c r="EC38" t="e">
        <f>AND('Planilla_General_07-12-2012_8_3'!P565,"AAAAACy/foQ=")</f>
        <v>#VALUE!</v>
      </c>
      <c r="ED38">
        <f>IF('Planilla_General_07-12-2012_8_3'!566:566,"AAAAACy/foU=",0)</f>
        <v>0</v>
      </c>
      <c r="EE38" t="e">
        <f>AND('Planilla_General_07-12-2012_8_3'!A566,"AAAAACy/foY=")</f>
        <v>#VALUE!</v>
      </c>
      <c r="EF38" t="e">
        <f>AND('Planilla_General_07-12-2012_8_3'!B566,"AAAAACy/foc=")</f>
        <v>#VALUE!</v>
      </c>
      <c r="EG38" t="e">
        <f>AND('Planilla_General_07-12-2012_8_3'!C566,"AAAAACy/fog=")</f>
        <v>#VALUE!</v>
      </c>
      <c r="EH38" t="e">
        <f>AND('Planilla_General_07-12-2012_8_3'!D566,"AAAAACy/fok=")</f>
        <v>#VALUE!</v>
      </c>
      <c r="EI38" t="e">
        <f>AND('Planilla_General_07-12-2012_8_3'!E566,"AAAAACy/foo=")</f>
        <v>#VALUE!</v>
      </c>
      <c r="EJ38" t="e">
        <f>AND('Planilla_General_07-12-2012_8_3'!F566,"AAAAACy/fos=")</f>
        <v>#VALUE!</v>
      </c>
      <c r="EK38" t="e">
        <f>AND('Planilla_General_07-12-2012_8_3'!G566,"AAAAACy/fow=")</f>
        <v>#VALUE!</v>
      </c>
      <c r="EL38" t="e">
        <f>AND('Planilla_General_07-12-2012_8_3'!H566,"AAAAACy/fo0=")</f>
        <v>#VALUE!</v>
      </c>
      <c r="EM38" t="e">
        <f>AND('Planilla_General_07-12-2012_8_3'!I566,"AAAAACy/fo4=")</f>
        <v>#VALUE!</v>
      </c>
      <c r="EN38" t="e">
        <f>AND('Planilla_General_07-12-2012_8_3'!J566,"AAAAACy/fo8=")</f>
        <v>#VALUE!</v>
      </c>
      <c r="EO38" t="e">
        <f>AND('Planilla_General_07-12-2012_8_3'!K566,"AAAAACy/fpA=")</f>
        <v>#VALUE!</v>
      </c>
      <c r="EP38" t="e">
        <f>AND('Planilla_General_07-12-2012_8_3'!L566,"AAAAACy/fpE=")</f>
        <v>#VALUE!</v>
      </c>
      <c r="EQ38" t="e">
        <f>AND('Planilla_General_07-12-2012_8_3'!M566,"AAAAACy/fpI=")</f>
        <v>#VALUE!</v>
      </c>
      <c r="ER38" t="e">
        <f>AND('Planilla_General_07-12-2012_8_3'!N566,"AAAAACy/fpM=")</f>
        <v>#VALUE!</v>
      </c>
      <c r="ES38" t="e">
        <f>AND('Planilla_General_07-12-2012_8_3'!O566,"AAAAACy/fpQ=")</f>
        <v>#VALUE!</v>
      </c>
      <c r="ET38" t="e">
        <f>AND('Planilla_General_07-12-2012_8_3'!P566,"AAAAACy/fpU=")</f>
        <v>#VALUE!</v>
      </c>
      <c r="EU38">
        <f>IF('Planilla_General_07-12-2012_8_3'!567:567,"AAAAACy/fpY=",0)</f>
        <v>0</v>
      </c>
      <c r="EV38" t="e">
        <f>AND('Planilla_General_07-12-2012_8_3'!A567,"AAAAACy/fpc=")</f>
        <v>#VALUE!</v>
      </c>
      <c r="EW38" t="e">
        <f>AND('Planilla_General_07-12-2012_8_3'!B567,"AAAAACy/fpg=")</f>
        <v>#VALUE!</v>
      </c>
      <c r="EX38" t="e">
        <f>AND('Planilla_General_07-12-2012_8_3'!C567,"AAAAACy/fpk=")</f>
        <v>#VALUE!</v>
      </c>
      <c r="EY38" t="e">
        <f>AND('Planilla_General_07-12-2012_8_3'!D567,"AAAAACy/fpo=")</f>
        <v>#VALUE!</v>
      </c>
      <c r="EZ38" t="e">
        <f>AND('Planilla_General_07-12-2012_8_3'!E567,"AAAAACy/fps=")</f>
        <v>#VALUE!</v>
      </c>
      <c r="FA38" t="e">
        <f>AND('Planilla_General_07-12-2012_8_3'!F567,"AAAAACy/fpw=")</f>
        <v>#VALUE!</v>
      </c>
      <c r="FB38" t="e">
        <f>AND('Planilla_General_07-12-2012_8_3'!G567,"AAAAACy/fp0=")</f>
        <v>#VALUE!</v>
      </c>
      <c r="FC38" t="e">
        <f>AND('Planilla_General_07-12-2012_8_3'!H567,"AAAAACy/fp4=")</f>
        <v>#VALUE!</v>
      </c>
      <c r="FD38" t="e">
        <f>AND('Planilla_General_07-12-2012_8_3'!I567,"AAAAACy/fp8=")</f>
        <v>#VALUE!</v>
      </c>
      <c r="FE38" t="e">
        <f>AND('Planilla_General_07-12-2012_8_3'!J567,"AAAAACy/fqA=")</f>
        <v>#VALUE!</v>
      </c>
      <c r="FF38" t="e">
        <f>AND('Planilla_General_07-12-2012_8_3'!K567,"AAAAACy/fqE=")</f>
        <v>#VALUE!</v>
      </c>
      <c r="FG38" t="e">
        <f>AND('Planilla_General_07-12-2012_8_3'!L567,"AAAAACy/fqI=")</f>
        <v>#VALUE!</v>
      </c>
      <c r="FH38" t="e">
        <f>AND('Planilla_General_07-12-2012_8_3'!M567,"AAAAACy/fqM=")</f>
        <v>#VALUE!</v>
      </c>
      <c r="FI38" t="e">
        <f>AND('Planilla_General_07-12-2012_8_3'!N567,"AAAAACy/fqQ=")</f>
        <v>#VALUE!</v>
      </c>
      <c r="FJ38" t="e">
        <f>AND('Planilla_General_07-12-2012_8_3'!O567,"AAAAACy/fqU=")</f>
        <v>#VALUE!</v>
      </c>
      <c r="FK38" t="e">
        <f>AND('Planilla_General_07-12-2012_8_3'!P567,"AAAAACy/fqY=")</f>
        <v>#VALUE!</v>
      </c>
      <c r="FL38">
        <f>IF('Planilla_General_07-12-2012_8_3'!568:568,"AAAAACy/fqc=",0)</f>
        <v>0</v>
      </c>
      <c r="FM38" t="e">
        <f>AND('Planilla_General_07-12-2012_8_3'!A568,"AAAAACy/fqg=")</f>
        <v>#VALUE!</v>
      </c>
      <c r="FN38" t="e">
        <f>AND('Planilla_General_07-12-2012_8_3'!B568,"AAAAACy/fqk=")</f>
        <v>#VALUE!</v>
      </c>
      <c r="FO38" t="e">
        <f>AND('Planilla_General_07-12-2012_8_3'!C568,"AAAAACy/fqo=")</f>
        <v>#VALUE!</v>
      </c>
      <c r="FP38" t="e">
        <f>AND('Planilla_General_07-12-2012_8_3'!D568,"AAAAACy/fqs=")</f>
        <v>#VALUE!</v>
      </c>
      <c r="FQ38" t="e">
        <f>AND('Planilla_General_07-12-2012_8_3'!E568,"AAAAACy/fqw=")</f>
        <v>#VALUE!</v>
      </c>
      <c r="FR38" t="e">
        <f>AND('Planilla_General_07-12-2012_8_3'!F568,"AAAAACy/fq0=")</f>
        <v>#VALUE!</v>
      </c>
      <c r="FS38" t="e">
        <f>AND('Planilla_General_07-12-2012_8_3'!G568,"AAAAACy/fq4=")</f>
        <v>#VALUE!</v>
      </c>
      <c r="FT38" t="e">
        <f>AND('Planilla_General_07-12-2012_8_3'!H568,"AAAAACy/fq8=")</f>
        <v>#VALUE!</v>
      </c>
      <c r="FU38" t="e">
        <f>AND('Planilla_General_07-12-2012_8_3'!I568,"AAAAACy/frA=")</f>
        <v>#VALUE!</v>
      </c>
      <c r="FV38" t="e">
        <f>AND('Planilla_General_07-12-2012_8_3'!J568,"AAAAACy/frE=")</f>
        <v>#VALUE!</v>
      </c>
      <c r="FW38" t="e">
        <f>AND('Planilla_General_07-12-2012_8_3'!K568,"AAAAACy/frI=")</f>
        <v>#VALUE!</v>
      </c>
      <c r="FX38" t="e">
        <f>AND('Planilla_General_07-12-2012_8_3'!L568,"AAAAACy/frM=")</f>
        <v>#VALUE!</v>
      </c>
      <c r="FY38" t="e">
        <f>AND('Planilla_General_07-12-2012_8_3'!M568,"AAAAACy/frQ=")</f>
        <v>#VALUE!</v>
      </c>
      <c r="FZ38" t="e">
        <f>AND('Planilla_General_07-12-2012_8_3'!N568,"AAAAACy/frU=")</f>
        <v>#VALUE!</v>
      </c>
      <c r="GA38" t="e">
        <f>AND('Planilla_General_07-12-2012_8_3'!O568,"AAAAACy/frY=")</f>
        <v>#VALUE!</v>
      </c>
      <c r="GB38" t="e">
        <f>AND('Planilla_General_07-12-2012_8_3'!P568,"AAAAACy/frc=")</f>
        <v>#VALUE!</v>
      </c>
      <c r="GC38">
        <f>IF('Planilla_General_07-12-2012_8_3'!569:569,"AAAAACy/frg=",0)</f>
        <v>0</v>
      </c>
      <c r="GD38" t="e">
        <f>AND('Planilla_General_07-12-2012_8_3'!A569,"AAAAACy/frk=")</f>
        <v>#VALUE!</v>
      </c>
      <c r="GE38" t="e">
        <f>AND('Planilla_General_07-12-2012_8_3'!B569,"AAAAACy/fro=")</f>
        <v>#VALUE!</v>
      </c>
      <c r="GF38" t="e">
        <f>AND('Planilla_General_07-12-2012_8_3'!C569,"AAAAACy/frs=")</f>
        <v>#VALUE!</v>
      </c>
      <c r="GG38" t="e">
        <f>AND('Planilla_General_07-12-2012_8_3'!D569,"AAAAACy/frw=")</f>
        <v>#VALUE!</v>
      </c>
      <c r="GH38" t="e">
        <f>AND('Planilla_General_07-12-2012_8_3'!E569,"AAAAACy/fr0=")</f>
        <v>#VALUE!</v>
      </c>
      <c r="GI38" t="e">
        <f>AND('Planilla_General_07-12-2012_8_3'!F569,"AAAAACy/fr4=")</f>
        <v>#VALUE!</v>
      </c>
      <c r="GJ38" t="e">
        <f>AND('Planilla_General_07-12-2012_8_3'!G569,"AAAAACy/fr8=")</f>
        <v>#VALUE!</v>
      </c>
      <c r="GK38" t="e">
        <f>AND('Planilla_General_07-12-2012_8_3'!H569,"AAAAACy/fsA=")</f>
        <v>#VALUE!</v>
      </c>
      <c r="GL38" t="e">
        <f>AND('Planilla_General_07-12-2012_8_3'!I569,"AAAAACy/fsE=")</f>
        <v>#VALUE!</v>
      </c>
      <c r="GM38" t="e">
        <f>AND('Planilla_General_07-12-2012_8_3'!J569,"AAAAACy/fsI=")</f>
        <v>#VALUE!</v>
      </c>
      <c r="GN38" t="e">
        <f>AND('Planilla_General_07-12-2012_8_3'!K569,"AAAAACy/fsM=")</f>
        <v>#VALUE!</v>
      </c>
      <c r="GO38" t="e">
        <f>AND('Planilla_General_07-12-2012_8_3'!L569,"AAAAACy/fsQ=")</f>
        <v>#VALUE!</v>
      </c>
      <c r="GP38" t="e">
        <f>AND('Planilla_General_07-12-2012_8_3'!M569,"AAAAACy/fsU=")</f>
        <v>#VALUE!</v>
      </c>
      <c r="GQ38" t="e">
        <f>AND('Planilla_General_07-12-2012_8_3'!N569,"AAAAACy/fsY=")</f>
        <v>#VALUE!</v>
      </c>
      <c r="GR38" t="e">
        <f>AND('Planilla_General_07-12-2012_8_3'!O569,"AAAAACy/fsc=")</f>
        <v>#VALUE!</v>
      </c>
      <c r="GS38" t="e">
        <f>AND('Planilla_General_07-12-2012_8_3'!P569,"AAAAACy/fsg=")</f>
        <v>#VALUE!</v>
      </c>
      <c r="GT38">
        <f>IF('Planilla_General_07-12-2012_8_3'!570:570,"AAAAACy/fsk=",0)</f>
        <v>0</v>
      </c>
      <c r="GU38" t="e">
        <f>AND('Planilla_General_07-12-2012_8_3'!A570,"AAAAACy/fso=")</f>
        <v>#VALUE!</v>
      </c>
      <c r="GV38" t="e">
        <f>AND('Planilla_General_07-12-2012_8_3'!B570,"AAAAACy/fss=")</f>
        <v>#VALUE!</v>
      </c>
      <c r="GW38" t="e">
        <f>AND('Planilla_General_07-12-2012_8_3'!C570,"AAAAACy/fsw=")</f>
        <v>#VALUE!</v>
      </c>
      <c r="GX38" t="e">
        <f>AND('Planilla_General_07-12-2012_8_3'!D570,"AAAAACy/fs0=")</f>
        <v>#VALUE!</v>
      </c>
      <c r="GY38" t="e">
        <f>AND('Planilla_General_07-12-2012_8_3'!E570,"AAAAACy/fs4=")</f>
        <v>#VALUE!</v>
      </c>
      <c r="GZ38" t="e">
        <f>AND('Planilla_General_07-12-2012_8_3'!F570,"AAAAACy/fs8=")</f>
        <v>#VALUE!</v>
      </c>
      <c r="HA38" t="e">
        <f>AND('Planilla_General_07-12-2012_8_3'!G570,"AAAAACy/ftA=")</f>
        <v>#VALUE!</v>
      </c>
      <c r="HB38" t="e">
        <f>AND('Planilla_General_07-12-2012_8_3'!H570,"AAAAACy/ftE=")</f>
        <v>#VALUE!</v>
      </c>
      <c r="HC38" t="e">
        <f>AND('Planilla_General_07-12-2012_8_3'!I570,"AAAAACy/ftI=")</f>
        <v>#VALUE!</v>
      </c>
      <c r="HD38" t="e">
        <f>AND('Planilla_General_07-12-2012_8_3'!J570,"AAAAACy/ftM=")</f>
        <v>#VALUE!</v>
      </c>
      <c r="HE38" t="e">
        <f>AND('Planilla_General_07-12-2012_8_3'!K570,"AAAAACy/ftQ=")</f>
        <v>#VALUE!</v>
      </c>
      <c r="HF38" t="e">
        <f>AND('Planilla_General_07-12-2012_8_3'!L570,"AAAAACy/ftU=")</f>
        <v>#VALUE!</v>
      </c>
      <c r="HG38" t="e">
        <f>AND('Planilla_General_07-12-2012_8_3'!M570,"AAAAACy/ftY=")</f>
        <v>#VALUE!</v>
      </c>
      <c r="HH38" t="e">
        <f>AND('Planilla_General_07-12-2012_8_3'!N570,"AAAAACy/ftc=")</f>
        <v>#VALUE!</v>
      </c>
      <c r="HI38" t="e">
        <f>AND('Planilla_General_07-12-2012_8_3'!O570,"AAAAACy/ftg=")</f>
        <v>#VALUE!</v>
      </c>
      <c r="HJ38" t="e">
        <f>AND('Planilla_General_07-12-2012_8_3'!P570,"AAAAACy/ftk=")</f>
        <v>#VALUE!</v>
      </c>
      <c r="HK38">
        <f>IF('Planilla_General_07-12-2012_8_3'!571:571,"AAAAACy/fto=",0)</f>
        <v>0</v>
      </c>
      <c r="HL38" t="e">
        <f>AND('Planilla_General_07-12-2012_8_3'!A571,"AAAAACy/fts=")</f>
        <v>#VALUE!</v>
      </c>
      <c r="HM38" t="e">
        <f>AND('Planilla_General_07-12-2012_8_3'!B571,"AAAAACy/ftw=")</f>
        <v>#VALUE!</v>
      </c>
      <c r="HN38" t="e">
        <f>AND('Planilla_General_07-12-2012_8_3'!C571,"AAAAACy/ft0=")</f>
        <v>#VALUE!</v>
      </c>
      <c r="HO38" t="e">
        <f>AND('Planilla_General_07-12-2012_8_3'!D571,"AAAAACy/ft4=")</f>
        <v>#VALUE!</v>
      </c>
      <c r="HP38" t="e">
        <f>AND('Planilla_General_07-12-2012_8_3'!E571,"AAAAACy/ft8=")</f>
        <v>#VALUE!</v>
      </c>
      <c r="HQ38" t="e">
        <f>AND('Planilla_General_07-12-2012_8_3'!F571,"AAAAACy/fuA=")</f>
        <v>#VALUE!</v>
      </c>
      <c r="HR38" t="e">
        <f>AND('Planilla_General_07-12-2012_8_3'!G571,"AAAAACy/fuE=")</f>
        <v>#VALUE!</v>
      </c>
      <c r="HS38" t="e">
        <f>AND('Planilla_General_07-12-2012_8_3'!H571,"AAAAACy/fuI=")</f>
        <v>#VALUE!</v>
      </c>
      <c r="HT38" t="e">
        <f>AND('Planilla_General_07-12-2012_8_3'!I571,"AAAAACy/fuM=")</f>
        <v>#VALUE!</v>
      </c>
      <c r="HU38" t="e">
        <f>AND('Planilla_General_07-12-2012_8_3'!J571,"AAAAACy/fuQ=")</f>
        <v>#VALUE!</v>
      </c>
      <c r="HV38" t="e">
        <f>AND('Planilla_General_07-12-2012_8_3'!K571,"AAAAACy/fuU=")</f>
        <v>#VALUE!</v>
      </c>
      <c r="HW38" t="e">
        <f>AND('Planilla_General_07-12-2012_8_3'!L571,"AAAAACy/fuY=")</f>
        <v>#VALUE!</v>
      </c>
      <c r="HX38" t="e">
        <f>AND('Planilla_General_07-12-2012_8_3'!M571,"AAAAACy/fuc=")</f>
        <v>#VALUE!</v>
      </c>
      <c r="HY38" t="e">
        <f>AND('Planilla_General_07-12-2012_8_3'!N571,"AAAAACy/fug=")</f>
        <v>#VALUE!</v>
      </c>
      <c r="HZ38" t="e">
        <f>AND('Planilla_General_07-12-2012_8_3'!O571,"AAAAACy/fuk=")</f>
        <v>#VALUE!</v>
      </c>
      <c r="IA38" t="e">
        <f>AND('Planilla_General_07-12-2012_8_3'!P571,"AAAAACy/fuo=")</f>
        <v>#VALUE!</v>
      </c>
      <c r="IB38">
        <f>IF('Planilla_General_07-12-2012_8_3'!572:572,"AAAAACy/fus=",0)</f>
        <v>0</v>
      </c>
      <c r="IC38" t="e">
        <f>AND('Planilla_General_07-12-2012_8_3'!A572,"AAAAACy/fuw=")</f>
        <v>#VALUE!</v>
      </c>
      <c r="ID38" t="e">
        <f>AND('Planilla_General_07-12-2012_8_3'!B572,"AAAAACy/fu0=")</f>
        <v>#VALUE!</v>
      </c>
      <c r="IE38" t="e">
        <f>AND('Planilla_General_07-12-2012_8_3'!C572,"AAAAACy/fu4=")</f>
        <v>#VALUE!</v>
      </c>
      <c r="IF38" t="e">
        <f>AND('Planilla_General_07-12-2012_8_3'!D572,"AAAAACy/fu8=")</f>
        <v>#VALUE!</v>
      </c>
      <c r="IG38" t="e">
        <f>AND('Planilla_General_07-12-2012_8_3'!E572,"AAAAACy/fvA=")</f>
        <v>#VALUE!</v>
      </c>
      <c r="IH38" t="e">
        <f>AND('Planilla_General_07-12-2012_8_3'!F572,"AAAAACy/fvE=")</f>
        <v>#VALUE!</v>
      </c>
      <c r="II38" t="e">
        <f>AND('Planilla_General_07-12-2012_8_3'!G572,"AAAAACy/fvI=")</f>
        <v>#VALUE!</v>
      </c>
      <c r="IJ38" t="e">
        <f>AND('Planilla_General_07-12-2012_8_3'!H572,"AAAAACy/fvM=")</f>
        <v>#VALUE!</v>
      </c>
      <c r="IK38" t="e">
        <f>AND('Planilla_General_07-12-2012_8_3'!I572,"AAAAACy/fvQ=")</f>
        <v>#VALUE!</v>
      </c>
      <c r="IL38" t="e">
        <f>AND('Planilla_General_07-12-2012_8_3'!J572,"AAAAACy/fvU=")</f>
        <v>#VALUE!</v>
      </c>
      <c r="IM38" t="e">
        <f>AND('Planilla_General_07-12-2012_8_3'!K572,"AAAAACy/fvY=")</f>
        <v>#VALUE!</v>
      </c>
      <c r="IN38" t="e">
        <f>AND('Planilla_General_07-12-2012_8_3'!L572,"AAAAACy/fvc=")</f>
        <v>#VALUE!</v>
      </c>
      <c r="IO38" t="e">
        <f>AND('Planilla_General_07-12-2012_8_3'!M572,"AAAAACy/fvg=")</f>
        <v>#VALUE!</v>
      </c>
      <c r="IP38" t="e">
        <f>AND('Planilla_General_07-12-2012_8_3'!N572,"AAAAACy/fvk=")</f>
        <v>#VALUE!</v>
      </c>
      <c r="IQ38" t="e">
        <f>AND('Planilla_General_07-12-2012_8_3'!O572,"AAAAACy/fvo=")</f>
        <v>#VALUE!</v>
      </c>
      <c r="IR38" t="e">
        <f>AND('Planilla_General_07-12-2012_8_3'!P572,"AAAAACy/fvs=")</f>
        <v>#VALUE!</v>
      </c>
      <c r="IS38">
        <f>IF('Planilla_General_07-12-2012_8_3'!573:573,"AAAAACy/fvw=",0)</f>
        <v>0</v>
      </c>
      <c r="IT38" t="e">
        <f>AND('Planilla_General_07-12-2012_8_3'!A573,"AAAAACy/fv0=")</f>
        <v>#VALUE!</v>
      </c>
      <c r="IU38" t="e">
        <f>AND('Planilla_General_07-12-2012_8_3'!B573,"AAAAACy/fv4=")</f>
        <v>#VALUE!</v>
      </c>
      <c r="IV38" t="e">
        <f>AND('Planilla_General_07-12-2012_8_3'!C573,"AAAAACy/fv8=")</f>
        <v>#VALUE!</v>
      </c>
    </row>
    <row r="39" spans="1:256" x14ac:dyDescent="0.25">
      <c r="A39" t="e">
        <f>AND('Planilla_General_07-12-2012_8_3'!D573,"AAAAAHSv+QA=")</f>
        <v>#VALUE!</v>
      </c>
      <c r="B39" t="e">
        <f>AND('Planilla_General_07-12-2012_8_3'!E573,"AAAAAHSv+QE=")</f>
        <v>#VALUE!</v>
      </c>
      <c r="C39" t="e">
        <f>AND('Planilla_General_07-12-2012_8_3'!F573,"AAAAAHSv+QI=")</f>
        <v>#VALUE!</v>
      </c>
      <c r="D39" t="e">
        <f>AND('Planilla_General_07-12-2012_8_3'!G573,"AAAAAHSv+QM=")</f>
        <v>#VALUE!</v>
      </c>
      <c r="E39" t="e">
        <f>AND('Planilla_General_07-12-2012_8_3'!H573,"AAAAAHSv+QQ=")</f>
        <v>#VALUE!</v>
      </c>
      <c r="F39" t="e">
        <f>AND('Planilla_General_07-12-2012_8_3'!I573,"AAAAAHSv+QU=")</f>
        <v>#VALUE!</v>
      </c>
      <c r="G39" t="e">
        <f>AND('Planilla_General_07-12-2012_8_3'!J573,"AAAAAHSv+QY=")</f>
        <v>#VALUE!</v>
      </c>
      <c r="H39" t="e">
        <f>AND('Planilla_General_07-12-2012_8_3'!K573,"AAAAAHSv+Qc=")</f>
        <v>#VALUE!</v>
      </c>
      <c r="I39" t="e">
        <f>AND('Planilla_General_07-12-2012_8_3'!L573,"AAAAAHSv+Qg=")</f>
        <v>#VALUE!</v>
      </c>
      <c r="J39" t="e">
        <f>AND('Planilla_General_07-12-2012_8_3'!M573,"AAAAAHSv+Qk=")</f>
        <v>#VALUE!</v>
      </c>
      <c r="K39" t="e">
        <f>AND('Planilla_General_07-12-2012_8_3'!N573,"AAAAAHSv+Qo=")</f>
        <v>#VALUE!</v>
      </c>
      <c r="L39" t="e">
        <f>AND('Planilla_General_07-12-2012_8_3'!O573,"AAAAAHSv+Qs=")</f>
        <v>#VALUE!</v>
      </c>
      <c r="M39" t="e">
        <f>AND('Planilla_General_07-12-2012_8_3'!P573,"AAAAAHSv+Qw=")</f>
        <v>#VALUE!</v>
      </c>
      <c r="N39" t="str">
        <f>IF('Planilla_General_07-12-2012_8_3'!574:574,"AAAAAHSv+Q0=",0)</f>
        <v>AAAAAHSv+Q0=</v>
      </c>
      <c r="O39" t="e">
        <f>AND('Planilla_General_07-12-2012_8_3'!A574,"AAAAAHSv+Q4=")</f>
        <v>#VALUE!</v>
      </c>
      <c r="P39" t="e">
        <f>AND('Planilla_General_07-12-2012_8_3'!B574,"AAAAAHSv+Q8=")</f>
        <v>#VALUE!</v>
      </c>
      <c r="Q39" t="e">
        <f>AND('Planilla_General_07-12-2012_8_3'!C574,"AAAAAHSv+RA=")</f>
        <v>#VALUE!</v>
      </c>
      <c r="R39" t="e">
        <f>AND('Planilla_General_07-12-2012_8_3'!D574,"AAAAAHSv+RE=")</f>
        <v>#VALUE!</v>
      </c>
      <c r="S39" t="e">
        <f>AND('Planilla_General_07-12-2012_8_3'!E574,"AAAAAHSv+RI=")</f>
        <v>#VALUE!</v>
      </c>
      <c r="T39" t="e">
        <f>AND('Planilla_General_07-12-2012_8_3'!F574,"AAAAAHSv+RM=")</f>
        <v>#VALUE!</v>
      </c>
      <c r="U39" t="e">
        <f>AND('Planilla_General_07-12-2012_8_3'!G574,"AAAAAHSv+RQ=")</f>
        <v>#VALUE!</v>
      </c>
      <c r="V39" t="e">
        <f>AND('Planilla_General_07-12-2012_8_3'!H574,"AAAAAHSv+RU=")</f>
        <v>#VALUE!</v>
      </c>
      <c r="W39" t="e">
        <f>AND('Planilla_General_07-12-2012_8_3'!I574,"AAAAAHSv+RY=")</f>
        <v>#VALUE!</v>
      </c>
      <c r="X39" t="e">
        <f>AND('Planilla_General_07-12-2012_8_3'!J574,"AAAAAHSv+Rc=")</f>
        <v>#VALUE!</v>
      </c>
      <c r="Y39" t="e">
        <f>AND('Planilla_General_07-12-2012_8_3'!K574,"AAAAAHSv+Rg=")</f>
        <v>#VALUE!</v>
      </c>
      <c r="Z39" t="e">
        <f>AND('Planilla_General_07-12-2012_8_3'!L574,"AAAAAHSv+Rk=")</f>
        <v>#VALUE!</v>
      </c>
      <c r="AA39" t="e">
        <f>AND('Planilla_General_07-12-2012_8_3'!M574,"AAAAAHSv+Ro=")</f>
        <v>#VALUE!</v>
      </c>
      <c r="AB39" t="e">
        <f>AND('Planilla_General_07-12-2012_8_3'!N574,"AAAAAHSv+Rs=")</f>
        <v>#VALUE!</v>
      </c>
      <c r="AC39" t="e">
        <f>AND('Planilla_General_07-12-2012_8_3'!O574,"AAAAAHSv+Rw=")</f>
        <v>#VALUE!</v>
      </c>
      <c r="AD39" t="e">
        <f>AND('Planilla_General_07-12-2012_8_3'!P574,"AAAAAHSv+R0=")</f>
        <v>#VALUE!</v>
      </c>
      <c r="AE39">
        <f>IF('Planilla_General_07-12-2012_8_3'!575:575,"AAAAAHSv+R4=",0)</f>
        <v>0</v>
      </c>
      <c r="AF39" t="e">
        <f>AND('Planilla_General_07-12-2012_8_3'!A575,"AAAAAHSv+R8=")</f>
        <v>#VALUE!</v>
      </c>
      <c r="AG39" t="e">
        <f>AND('Planilla_General_07-12-2012_8_3'!B575,"AAAAAHSv+SA=")</f>
        <v>#VALUE!</v>
      </c>
      <c r="AH39" t="e">
        <f>AND('Planilla_General_07-12-2012_8_3'!C575,"AAAAAHSv+SE=")</f>
        <v>#VALUE!</v>
      </c>
      <c r="AI39" t="e">
        <f>AND('Planilla_General_07-12-2012_8_3'!D575,"AAAAAHSv+SI=")</f>
        <v>#VALUE!</v>
      </c>
      <c r="AJ39" t="e">
        <f>AND('Planilla_General_07-12-2012_8_3'!E575,"AAAAAHSv+SM=")</f>
        <v>#VALUE!</v>
      </c>
      <c r="AK39" t="e">
        <f>AND('Planilla_General_07-12-2012_8_3'!F575,"AAAAAHSv+SQ=")</f>
        <v>#VALUE!</v>
      </c>
      <c r="AL39" t="e">
        <f>AND('Planilla_General_07-12-2012_8_3'!G575,"AAAAAHSv+SU=")</f>
        <v>#VALUE!</v>
      </c>
      <c r="AM39" t="e">
        <f>AND('Planilla_General_07-12-2012_8_3'!H575,"AAAAAHSv+SY=")</f>
        <v>#VALUE!</v>
      </c>
      <c r="AN39" t="e">
        <f>AND('Planilla_General_07-12-2012_8_3'!I575,"AAAAAHSv+Sc=")</f>
        <v>#VALUE!</v>
      </c>
      <c r="AO39" t="e">
        <f>AND('Planilla_General_07-12-2012_8_3'!J575,"AAAAAHSv+Sg=")</f>
        <v>#VALUE!</v>
      </c>
      <c r="AP39" t="e">
        <f>AND('Planilla_General_07-12-2012_8_3'!K575,"AAAAAHSv+Sk=")</f>
        <v>#VALUE!</v>
      </c>
      <c r="AQ39" t="e">
        <f>AND('Planilla_General_07-12-2012_8_3'!L575,"AAAAAHSv+So=")</f>
        <v>#VALUE!</v>
      </c>
      <c r="AR39" t="e">
        <f>AND('Planilla_General_07-12-2012_8_3'!M575,"AAAAAHSv+Ss=")</f>
        <v>#VALUE!</v>
      </c>
      <c r="AS39" t="e">
        <f>AND('Planilla_General_07-12-2012_8_3'!N575,"AAAAAHSv+Sw=")</f>
        <v>#VALUE!</v>
      </c>
      <c r="AT39" t="e">
        <f>AND('Planilla_General_07-12-2012_8_3'!O575,"AAAAAHSv+S0=")</f>
        <v>#VALUE!</v>
      </c>
      <c r="AU39" t="e">
        <f>AND('Planilla_General_07-12-2012_8_3'!P575,"AAAAAHSv+S4=")</f>
        <v>#VALUE!</v>
      </c>
      <c r="AV39">
        <f>IF('Planilla_General_07-12-2012_8_3'!576:576,"AAAAAHSv+S8=",0)</f>
        <v>0</v>
      </c>
      <c r="AW39" t="e">
        <f>AND('Planilla_General_07-12-2012_8_3'!A576,"AAAAAHSv+TA=")</f>
        <v>#VALUE!</v>
      </c>
      <c r="AX39" t="e">
        <f>AND('Planilla_General_07-12-2012_8_3'!B576,"AAAAAHSv+TE=")</f>
        <v>#VALUE!</v>
      </c>
      <c r="AY39" t="e">
        <f>AND('Planilla_General_07-12-2012_8_3'!C576,"AAAAAHSv+TI=")</f>
        <v>#VALUE!</v>
      </c>
      <c r="AZ39" t="e">
        <f>AND('Planilla_General_07-12-2012_8_3'!D576,"AAAAAHSv+TM=")</f>
        <v>#VALUE!</v>
      </c>
      <c r="BA39" t="e">
        <f>AND('Planilla_General_07-12-2012_8_3'!E576,"AAAAAHSv+TQ=")</f>
        <v>#VALUE!</v>
      </c>
      <c r="BB39" t="e">
        <f>AND('Planilla_General_07-12-2012_8_3'!F576,"AAAAAHSv+TU=")</f>
        <v>#VALUE!</v>
      </c>
      <c r="BC39" t="e">
        <f>AND('Planilla_General_07-12-2012_8_3'!G576,"AAAAAHSv+TY=")</f>
        <v>#VALUE!</v>
      </c>
      <c r="BD39" t="e">
        <f>AND('Planilla_General_07-12-2012_8_3'!H576,"AAAAAHSv+Tc=")</f>
        <v>#VALUE!</v>
      </c>
      <c r="BE39" t="e">
        <f>AND('Planilla_General_07-12-2012_8_3'!I576,"AAAAAHSv+Tg=")</f>
        <v>#VALUE!</v>
      </c>
      <c r="BF39" t="e">
        <f>AND('Planilla_General_07-12-2012_8_3'!J576,"AAAAAHSv+Tk=")</f>
        <v>#VALUE!</v>
      </c>
      <c r="BG39" t="e">
        <f>AND('Planilla_General_07-12-2012_8_3'!K576,"AAAAAHSv+To=")</f>
        <v>#VALUE!</v>
      </c>
      <c r="BH39" t="e">
        <f>AND('Planilla_General_07-12-2012_8_3'!L576,"AAAAAHSv+Ts=")</f>
        <v>#VALUE!</v>
      </c>
      <c r="BI39" t="e">
        <f>AND('Planilla_General_07-12-2012_8_3'!M576,"AAAAAHSv+Tw=")</f>
        <v>#VALUE!</v>
      </c>
      <c r="BJ39" t="e">
        <f>AND('Planilla_General_07-12-2012_8_3'!N576,"AAAAAHSv+T0=")</f>
        <v>#VALUE!</v>
      </c>
      <c r="BK39" t="e">
        <f>AND('Planilla_General_07-12-2012_8_3'!O576,"AAAAAHSv+T4=")</f>
        <v>#VALUE!</v>
      </c>
      <c r="BL39" t="e">
        <f>AND('Planilla_General_07-12-2012_8_3'!P576,"AAAAAHSv+T8=")</f>
        <v>#VALUE!</v>
      </c>
      <c r="BM39">
        <f>IF('Planilla_General_07-12-2012_8_3'!577:577,"AAAAAHSv+UA=",0)</f>
        <v>0</v>
      </c>
      <c r="BN39" t="e">
        <f>AND('Planilla_General_07-12-2012_8_3'!A577,"AAAAAHSv+UE=")</f>
        <v>#VALUE!</v>
      </c>
      <c r="BO39" t="e">
        <f>AND('Planilla_General_07-12-2012_8_3'!B577,"AAAAAHSv+UI=")</f>
        <v>#VALUE!</v>
      </c>
      <c r="BP39" t="e">
        <f>AND('Planilla_General_07-12-2012_8_3'!C577,"AAAAAHSv+UM=")</f>
        <v>#VALUE!</v>
      </c>
      <c r="BQ39" t="e">
        <f>AND('Planilla_General_07-12-2012_8_3'!D577,"AAAAAHSv+UQ=")</f>
        <v>#VALUE!</v>
      </c>
      <c r="BR39" t="e">
        <f>AND('Planilla_General_07-12-2012_8_3'!E577,"AAAAAHSv+UU=")</f>
        <v>#VALUE!</v>
      </c>
      <c r="BS39" t="e">
        <f>AND('Planilla_General_07-12-2012_8_3'!F577,"AAAAAHSv+UY=")</f>
        <v>#VALUE!</v>
      </c>
      <c r="BT39" t="e">
        <f>AND('Planilla_General_07-12-2012_8_3'!G577,"AAAAAHSv+Uc=")</f>
        <v>#VALUE!</v>
      </c>
      <c r="BU39" t="e">
        <f>AND('Planilla_General_07-12-2012_8_3'!H577,"AAAAAHSv+Ug=")</f>
        <v>#VALUE!</v>
      </c>
      <c r="BV39" t="e">
        <f>AND('Planilla_General_07-12-2012_8_3'!I577,"AAAAAHSv+Uk=")</f>
        <v>#VALUE!</v>
      </c>
      <c r="BW39" t="e">
        <f>AND('Planilla_General_07-12-2012_8_3'!J577,"AAAAAHSv+Uo=")</f>
        <v>#VALUE!</v>
      </c>
      <c r="BX39" t="e">
        <f>AND('Planilla_General_07-12-2012_8_3'!K577,"AAAAAHSv+Us=")</f>
        <v>#VALUE!</v>
      </c>
      <c r="BY39" t="e">
        <f>AND('Planilla_General_07-12-2012_8_3'!L577,"AAAAAHSv+Uw=")</f>
        <v>#VALUE!</v>
      </c>
      <c r="BZ39" t="e">
        <f>AND('Planilla_General_07-12-2012_8_3'!M577,"AAAAAHSv+U0=")</f>
        <v>#VALUE!</v>
      </c>
      <c r="CA39" t="e">
        <f>AND('Planilla_General_07-12-2012_8_3'!N577,"AAAAAHSv+U4=")</f>
        <v>#VALUE!</v>
      </c>
      <c r="CB39" t="e">
        <f>AND('Planilla_General_07-12-2012_8_3'!O577,"AAAAAHSv+U8=")</f>
        <v>#VALUE!</v>
      </c>
      <c r="CC39" t="e">
        <f>AND('Planilla_General_07-12-2012_8_3'!P577,"AAAAAHSv+VA=")</f>
        <v>#VALUE!</v>
      </c>
      <c r="CD39">
        <f>IF('Planilla_General_07-12-2012_8_3'!578:578,"AAAAAHSv+VE=",0)</f>
        <v>0</v>
      </c>
      <c r="CE39" t="e">
        <f>AND('Planilla_General_07-12-2012_8_3'!A578,"AAAAAHSv+VI=")</f>
        <v>#VALUE!</v>
      </c>
      <c r="CF39" t="e">
        <f>AND('Planilla_General_07-12-2012_8_3'!B578,"AAAAAHSv+VM=")</f>
        <v>#VALUE!</v>
      </c>
      <c r="CG39" t="e">
        <f>AND('Planilla_General_07-12-2012_8_3'!C578,"AAAAAHSv+VQ=")</f>
        <v>#VALUE!</v>
      </c>
      <c r="CH39" t="e">
        <f>AND('Planilla_General_07-12-2012_8_3'!D578,"AAAAAHSv+VU=")</f>
        <v>#VALUE!</v>
      </c>
      <c r="CI39" t="e">
        <f>AND('Planilla_General_07-12-2012_8_3'!E578,"AAAAAHSv+VY=")</f>
        <v>#VALUE!</v>
      </c>
      <c r="CJ39" t="e">
        <f>AND('Planilla_General_07-12-2012_8_3'!F578,"AAAAAHSv+Vc=")</f>
        <v>#VALUE!</v>
      </c>
      <c r="CK39" t="e">
        <f>AND('Planilla_General_07-12-2012_8_3'!G578,"AAAAAHSv+Vg=")</f>
        <v>#VALUE!</v>
      </c>
      <c r="CL39" t="e">
        <f>AND('Planilla_General_07-12-2012_8_3'!H578,"AAAAAHSv+Vk=")</f>
        <v>#VALUE!</v>
      </c>
      <c r="CM39" t="e">
        <f>AND('Planilla_General_07-12-2012_8_3'!I578,"AAAAAHSv+Vo=")</f>
        <v>#VALUE!</v>
      </c>
      <c r="CN39" t="e">
        <f>AND('Planilla_General_07-12-2012_8_3'!J578,"AAAAAHSv+Vs=")</f>
        <v>#VALUE!</v>
      </c>
      <c r="CO39" t="e">
        <f>AND('Planilla_General_07-12-2012_8_3'!K578,"AAAAAHSv+Vw=")</f>
        <v>#VALUE!</v>
      </c>
      <c r="CP39" t="e">
        <f>AND('Planilla_General_07-12-2012_8_3'!L578,"AAAAAHSv+V0=")</f>
        <v>#VALUE!</v>
      </c>
      <c r="CQ39" t="e">
        <f>AND('Planilla_General_07-12-2012_8_3'!M578,"AAAAAHSv+V4=")</f>
        <v>#VALUE!</v>
      </c>
      <c r="CR39" t="e">
        <f>AND('Planilla_General_07-12-2012_8_3'!N578,"AAAAAHSv+V8=")</f>
        <v>#VALUE!</v>
      </c>
      <c r="CS39" t="e">
        <f>AND('Planilla_General_07-12-2012_8_3'!O578,"AAAAAHSv+WA=")</f>
        <v>#VALUE!</v>
      </c>
      <c r="CT39" t="e">
        <f>AND('Planilla_General_07-12-2012_8_3'!P578,"AAAAAHSv+WE=")</f>
        <v>#VALUE!</v>
      </c>
      <c r="CU39">
        <f>IF('Planilla_General_07-12-2012_8_3'!579:579,"AAAAAHSv+WI=",0)</f>
        <v>0</v>
      </c>
      <c r="CV39" t="e">
        <f>AND('Planilla_General_07-12-2012_8_3'!A579,"AAAAAHSv+WM=")</f>
        <v>#VALUE!</v>
      </c>
      <c r="CW39" t="e">
        <f>AND('Planilla_General_07-12-2012_8_3'!B579,"AAAAAHSv+WQ=")</f>
        <v>#VALUE!</v>
      </c>
      <c r="CX39" t="e">
        <f>AND('Planilla_General_07-12-2012_8_3'!C579,"AAAAAHSv+WU=")</f>
        <v>#VALUE!</v>
      </c>
      <c r="CY39" t="e">
        <f>AND('Planilla_General_07-12-2012_8_3'!D579,"AAAAAHSv+WY=")</f>
        <v>#VALUE!</v>
      </c>
      <c r="CZ39" t="e">
        <f>AND('Planilla_General_07-12-2012_8_3'!E579,"AAAAAHSv+Wc=")</f>
        <v>#VALUE!</v>
      </c>
      <c r="DA39" t="e">
        <f>AND('Planilla_General_07-12-2012_8_3'!F579,"AAAAAHSv+Wg=")</f>
        <v>#VALUE!</v>
      </c>
      <c r="DB39" t="e">
        <f>AND('Planilla_General_07-12-2012_8_3'!G579,"AAAAAHSv+Wk=")</f>
        <v>#VALUE!</v>
      </c>
      <c r="DC39" t="e">
        <f>AND('Planilla_General_07-12-2012_8_3'!H579,"AAAAAHSv+Wo=")</f>
        <v>#VALUE!</v>
      </c>
      <c r="DD39" t="e">
        <f>AND('Planilla_General_07-12-2012_8_3'!I579,"AAAAAHSv+Ws=")</f>
        <v>#VALUE!</v>
      </c>
      <c r="DE39" t="e">
        <f>AND('Planilla_General_07-12-2012_8_3'!J579,"AAAAAHSv+Ww=")</f>
        <v>#VALUE!</v>
      </c>
      <c r="DF39" t="e">
        <f>AND('Planilla_General_07-12-2012_8_3'!K579,"AAAAAHSv+W0=")</f>
        <v>#VALUE!</v>
      </c>
      <c r="DG39" t="e">
        <f>AND('Planilla_General_07-12-2012_8_3'!L579,"AAAAAHSv+W4=")</f>
        <v>#VALUE!</v>
      </c>
      <c r="DH39" t="e">
        <f>AND('Planilla_General_07-12-2012_8_3'!M579,"AAAAAHSv+W8=")</f>
        <v>#VALUE!</v>
      </c>
      <c r="DI39" t="e">
        <f>AND('Planilla_General_07-12-2012_8_3'!N579,"AAAAAHSv+XA=")</f>
        <v>#VALUE!</v>
      </c>
      <c r="DJ39" t="e">
        <f>AND('Planilla_General_07-12-2012_8_3'!O579,"AAAAAHSv+XE=")</f>
        <v>#VALUE!</v>
      </c>
      <c r="DK39" t="e">
        <f>AND('Planilla_General_07-12-2012_8_3'!P579,"AAAAAHSv+XI=")</f>
        <v>#VALUE!</v>
      </c>
      <c r="DL39">
        <f>IF('Planilla_General_07-12-2012_8_3'!580:580,"AAAAAHSv+XM=",0)</f>
        <v>0</v>
      </c>
      <c r="DM39" t="e">
        <f>AND('Planilla_General_07-12-2012_8_3'!A580,"AAAAAHSv+XQ=")</f>
        <v>#VALUE!</v>
      </c>
      <c r="DN39" t="e">
        <f>AND('Planilla_General_07-12-2012_8_3'!B580,"AAAAAHSv+XU=")</f>
        <v>#VALUE!</v>
      </c>
      <c r="DO39" t="e">
        <f>AND('Planilla_General_07-12-2012_8_3'!C580,"AAAAAHSv+XY=")</f>
        <v>#VALUE!</v>
      </c>
      <c r="DP39" t="e">
        <f>AND('Planilla_General_07-12-2012_8_3'!D580,"AAAAAHSv+Xc=")</f>
        <v>#VALUE!</v>
      </c>
      <c r="DQ39" t="e">
        <f>AND('Planilla_General_07-12-2012_8_3'!E580,"AAAAAHSv+Xg=")</f>
        <v>#VALUE!</v>
      </c>
      <c r="DR39" t="e">
        <f>AND('Planilla_General_07-12-2012_8_3'!F580,"AAAAAHSv+Xk=")</f>
        <v>#VALUE!</v>
      </c>
      <c r="DS39" t="e">
        <f>AND('Planilla_General_07-12-2012_8_3'!G580,"AAAAAHSv+Xo=")</f>
        <v>#VALUE!</v>
      </c>
      <c r="DT39" t="e">
        <f>AND('Planilla_General_07-12-2012_8_3'!H580,"AAAAAHSv+Xs=")</f>
        <v>#VALUE!</v>
      </c>
      <c r="DU39" t="e">
        <f>AND('Planilla_General_07-12-2012_8_3'!I580,"AAAAAHSv+Xw=")</f>
        <v>#VALUE!</v>
      </c>
      <c r="DV39" t="e">
        <f>AND('Planilla_General_07-12-2012_8_3'!J580,"AAAAAHSv+X0=")</f>
        <v>#VALUE!</v>
      </c>
      <c r="DW39" t="e">
        <f>AND('Planilla_General_07-12-2012_8_3'!K580,"AAAAAHSv+X4=")</f>
        <v>#VALUE!</v>
      </c>
      <c r="DX39" t="e">
        <f>AND('Planilla_General_07-12-2012_8_3'!L580,"AAAAAHSv+X8=")</f>
        <v>#VALUE!</v>
      </c>
      <c r="DY39" t="e">
        <f>AND('Planilla_General_07-12-2012_8_3'!M580,"AAAAAHSv+YA=")</f>
        <v>#VALUE!</v>
      </c>
      <c r="DZ39" t="e">
        <f>AND('Planilla_General_07-12-2012_8_3'!N580,"AAAAAHSv+YE=")</f>
        <v>#VALUE!</v>
      </c>
      <c r="EA39" t="e">
        <f>AND('Planilla_General_07-12-2012_8_3'!O580,"AAAAAHSv+YI=")</f>
        <v>#VALUE!</v>
      </c>
      <c r="EB39" t="e">
        <f>AND('Planilla_General_07-12-2012_8_3'!P580,"AAAAAHSv+YM=")</f>
        <v>#VALUE!</v>
      </c>
      <c r="EC39">
        <f>IF('Planilla_General_07-12-2012_8_3'!581:581,"AAAAAHSv+YQ=",0)</f>
        <v>0</v>
      </c>
      <c r="ED39" t="e">
        <f>AND('Planilla_General_07-12-2012_8_3'!A581,"AAAAAHSv+YU=")</f>
        <v>#VALUE!</v>
      </c>
      <c r="EE39" t="e">
        <f>AND('Planilla_General_07-12-2012_8_3'!B581,"AAAAAHSv+YY=")</f>
        <v>#VALUE!</v>
      </c>
      <c r="EF39" t="e">
        <f>AND('Planilla_General_07-12-2012_8_3'!C581,"AAAAAHSv+Yc=")</f>
        <v>#VALUE!</v>
      </c>
      <c r="EG39" t="e">
        <f>AND('Planilla_General_07-12-2012_8_3'!D581,"AAAAAHSv+Yg=")</f>
        <v>#VALUE!</v>
      </c>
      <c r="EH39" t="e">
        <f>AND('Planilla_General_07-12-2012_8_3'!E581,"AAAAAHSv+Yk=")</f>
        <v>#VALUE!</v>
      </c>
      <c r="EI39" t="e">
        <f>AND('Planilla_General_07-12-2012_8_3'!F581,"AAAAAHSv+Yo=")</f>
        <v>#VALUE!</v>
      </c>
      <c r="EJ39" t="e">
        <f>AND('Planilla_General_07-12-2012_8_3'!G581,"AAAAAHSv+Ys=")</f>
        <v>#VALUE!</v>
      </c>
      <c r="EK39" t="e">
        <f>AND('Planilla_General_07-12-2012_8_3'!H581,"AAAAAHSv+Yw=")</f>
        <v>#VALUE!</v>
      </c>
      <c r="EL39" t="e">
        <f>AND('Planilla_General_07-12-2012_8_3'!I581,"AAAAAHSv+Y0=")</f>
        <v>#VALUE!</v>
      </c>
      <c r="EM39" t="e">
        <f>AND('Planilla_General_07-12-2012_8_3'!J581,"AAAAAHSv+Y4=")</f>
        <v>#VALUE!</v>
      </c>
      <c r="EN39" t="e">
        <f>AND('Planilla_General_07-12-2012_8_3'!K581,"AAAAAHSv+Y8=")</f>
        <v>#VALUE!</v>
      </c>
      <c r="EO39" t="e">
        <f>AND('Planilla_General_07-12-2012_8_3'!L581,"AAAAAHSv+ZA=")</f>
        <v>#VALUE!</v>
      </c>
      <c r="EP39" t="e">
        <f>AND('Planilla_General_07-12-2012_8_3'!M581,"AAAAAHSv+ZE=")</f>
        <v>#VALUE!</v>
      </c>
      <c r="EQ39" t="e">
        <f>AND('Planilla_General_07-12-2012_8_3'!N581,"AAAAAHSv+ZI=")</f>
        <v>#VALUE!</v>
      </c>
      <c r="ER39" t="e">
        <f>AND('Planilla_General_07-12-2012_8_3'!O581,"AAAAAHSv+ZM=")</f>
        <v>#VALUE!</v>
      </c>
      <c r="ES39" t="e">
        <f>AND('Planilla_General_07-12-2012_8_3'!P581,"AAAAAHSv+ZQ=")</f>
        <v>#VALUE!</v>
      </c>
      <c r="ET39">
        <f>IF('Planilla_General_07-12-2012_8_3'!582:582,"AAAAAHSv+ZU=",0)</f>
        <v>0</v>
      </c>
      <c r="EU39" t="e">
        <f>AND('Planilla_General_07-12-2012_8_3'!A582,"AAAAAHSv+ZY=")</f>
        <v>#VALUE!</v>
      </c>
      <c r="EV39" t="e">
        <f>AND('Planilla_General_07-12-2012_8_3'!B582,"AAAAAHSv+Zc=")</f>
        <v>#VALUE!</v>
      </c>
      <c r="EW39" t="e">
        <f>AND('Planilla_General_07-12-2012_8_3'!C582,"AAAAAHSv+Zg=")</f>
        <v>#VALUE!</v>
      </c>
      <c r="EX39" t="e">
        <f>AND('Planilla_General_07-12-2012_8_3'!D582,"AAAAAHSv+Zk=")</f>
        <v>#VALUE!</v>
      </c>
      <c r="EY39" t="e">
        <f>AND('Planilla_General_07-12-2012_8_3'!E582,"AAAAAHSv+Zo=")</f>
        <v>#VALUE!</v>
      </c>
      <c r="EZ39" t="e">
        <f>AND('Planilla_General_07-12-2012_8_3'!F582,"AAAAAHSv+Zs=")</f>
        <v>#VALUE!</v>
      </c>
      <c r="FA39" t="e">
        <f>AND('Planilla_General_07-12-2012_8_3'!G582,"AAAAAHSv+Zw=")</f>
        <v>#VALUE!</v>
      </c>
      <c r="FB39" t="e">
        <f>AND('Planilla_General_07-12-2012_8_3'!H582,"AAAAAHSv+Z0=")</f>
        <v>#VALUE!</v>
      </c>
      <c r="FC39" t="e">
        <f>AND('Planilla_General_07-12-2012_8_3'!I582,"AAAAAHSv+Z4=")</f>
        <v>#VALUE!</v>
      </c>
      <c r="FD39" t="e">
        <f>AND('Planilla_General_07-12-2012_8_3'!J582,"AAAAAHSv+Z8=")</f>
        <v>#VALUE!</v>
      </c>
      <c r="FE39" t="e">
        <f>AND('Planilla_General_07-12-2012_8_3'!K582,"AAAAAHSv+aA=")</f>
        <v>#VALUE!</v>
      </c>
      <c r="FF39" t="e">
        <f>AND('Planilla_General_07-12-2012_8_3'!L582,"AAAAAHSv+aE=")</f>
        <v>#VALUE!</v>
      </c>
      <c r="FG39" t="e">
        <f>AND('Planilla_General_07-12-2012_8_3'!M582,"AAAAAHSv+aI=")</f>
        <v>#VALUE!</v>
      </c>
      <c r="FH39" t="e">
        <f>AND('Planilla_General_07-12-2012_8_3'!N582,"AAAAAHSv+aM=")</f>
        <v>#VALUE!</v>
      </c>
      <c r="FI39" t="e">
        <f>AND('Planilla_General_07-12-2012_8_3'!O582,"AAAAAHSv+aQ=")</f>
        <v>#VALUE!</v>
      </c>
      <c r="FJ39" t="e">
        <f>AND('Planilla_General_07-12-2012_8_3'!P582,"AAAAAHSv+aU=")</f>
        <v>#VALUE!</v>
      </c>
      <c r="FK39">
        <f>IF('Planilla_General_07-12-2012_8_3'!583:583,"AAAAAHSv+aY=",0)</f>
        <v>0</v>
      </c>
      <c r="FL39" t="e">
        <f>AND('Planilla_General_07-12-2012_8_3'!A583,"AAAAAHSv+ac=")</f>
        <v>#VALUE!</v>
      </c>
      <c r="FM39" t="e">
        <f>AND('Planilla_General_07-12-2012_8_3'!B583,"AAAAAHSv+ag=")</f>
        <v>#VALUE!</v>
      </c>
      <c r="FN39" t="e">
        <f>AND('Planilla_General_07-12-2012_8_3'!C583,"AAAAAHSv+ak=")</f>
        <v>#VALUE!</v>
      </c>
      <c r="FO39" t="e">
        <f>AND('Planilla_General_07-12-2012_8_3'!D583,"AAAAAHSv+ao=")</f>
        <v>#VALUE!</v>
      </c>
      <c r="FP39" t="e">
        <f>AND('Planilla_General_07-12-2012_8_3'!E583,"AAAAAHSv+as=")</f>
        <v>#VALUE!</v>
      </c>
      <c r="FQ39" t="e">
        <f>AND('Planilla_General_07-12-2012_8_3'!F583,"AAAAAHSv+aw=")</f>
        <v>#VALUE!</v>
      </c>
      <c r="FR39" t="e">
        <f>AND('Planilla_General_07-12-2012_8_3'!G583,"AAAAAHSv+a0=")</f>
        <v>#VALUE!</v>
      </c>
      <c r="FS39" t="e">
        <f>AND('Planilla_General_07-12-2012_8_3'!H583,"AAAAAHSv+a4=")</f>
        <v>#VALUE!</v>
      </c>
      <c r="FT39" t="e">
        <f>AND('Planilla_General_07-12-2012_8_3'!I583,"AAAAAHSv+a8=")</f>
        <v>#VALUE!</v>
      </c>
      <c r="FU39" t="e">
        <f>AND('Planilla_General_07-12-2012_8_3'!J583,"AAAAAHSv+bA=")</f>
        <v>#VALUE!</v>
      </c>
      <c r="FV39" t="e">
        <f>AND('Planilla_General_07-12-2012_8_3'!K583,"AAAAAHSv+bE=")</f>
        <v>#VALUE!</v>
      </c>
      <c r="FW39" t="e">
        <f>AND('Planilla_General_07-12-2012_8_3'!L583,"AAAAAHSv+bI=")</f>
        <v>#VALUE!</v>
      </c>
      <c r="FX39" t="e">
        <f>AND('Planilla_General_07-12-2012_8_3'!M583,"AAAAAHSv+bM=")</f>
        <v>#VALUE!</v>
      </c>
      <c r="FY39" t="e">
        <f>AND('Planilla_General_07-12-2012_8_3'!N583,"AAAAAHSv+bQ=")</f>
        <v>#VALUE!</v>
      </c>
      <c r="FZ39" t="e">
        <f>AND('Planilla_General_07-12-2012_8_3'!O583,"AAAAAHSv+bU=")</f>
        <v>#VALUE!</v>
      </c>
      <c r="GA39" t="e">
        <f>AND('Planilla_General_07-12-2012_8_3'!P583,"AAAAAHSv+bY=")</f>
        <v>#VALUE!</v>
      </c>
      <c r="GB39">
        <f>IF('Planilla_General_07-12-2012_8_3'!584:584,"AAAAAHSv+bc=",0)</f>
        <v>0</v>
      </c>
      <c r="GC39" t="e">
        <f>AND('Planilla_General_07-12-2012_8_3'!A584,"AAAAAHSv+bg=")</f>
        <v>#VALUE!</v>
      </c>
      <c r="GD39" t="e">
        <f>AND('Planilla_General_07-12-2012_8_3'!B584,"AAAAAHSv+bk=")</f>
        <v>#VALUE!</v>
      </c>
      <c r="GE39" t="e">
        <f>AND('Planilla_General_07-12-2012_8_3'!C584,"AAAAAHSv+bo=")</f>
        <v>#VALUE!</v>
      </c>
      <c r="GF39" t="e">
        <f>AND('Planilla_General_07-12-2012_8_3'!D584,"AAAAAHSv+bs=")</f>
        <v>#VALUE!</v>
      </c>
      <c r="GG39" t="e">
        <f>AND('Planilla_General_07-12-2012_8_3'!E584,"AAAAAHSv+bw=")</f>
        <v>#VALUE!</v>
      </c>
      <c r="GH39" t="e">
        <f>AND('Planilla_General_07-12-2012_8_3'!F584,"AAAAAHSv+b0=")</f>
        <v>#VALUE!</v>
      </c>
      <c r="GI39" t="e">
        <f>AND('Planilla_General_07-12-2012_8_3'!G584,"AAAAAHSv+b4=")</f>
        <v>#VALUE!</v>
      </c>
      <c r="GJ39" t="e">
        <f>AND('Planilla_General_07-12-2012_8_3'!H584,"AAAAAHSv+b8=")</f>
        <v>#VALUE!</v>
      </c>
      <c r="GK39" t="e">
        <f>AND('Planilla_General_07-12-2012_8_3'!I584,"AAAAAHSv+cA=")</f>
        <v>#VALUE!</v>
      </c>
      <c r="GL39" t="e">
        <f>AND('Planilla_General_07-12-2012_8_3'!J584,"AAAAAHSv+cE=")</f>
        <v>#VALUE!</v>
      </c>
      <c r="GM39" t="e">
        <f>AND('Planilla_General_07-12-2012_8_3'!K584,"AAAAAHSv+cI=")</f>
        <v>#VALUE!</v>
      </c>
      <c r="GN39" t="e">
        <f>AND('Planilla_General_07-12-2012_8_3'!L584,"AAAAAHSv+cM=")</f>
        <v>#VALUE!</v>
      </c>
      <c r="GO39" t="e">
        <f>AND('Planilla_General_07-12-2012_8_3'!M584,"AAAAAHSv+cQ=")</f>
        <v>#VALUE!</v>
      </c>
      <c r="GP39" t="e">
        <f>AND('Planilla_General_07-12-2012_8_3'!N584,"AAAAAHSv+cU=")</f>
        <v>#VALUE!</v>
      </c>
      <c r="GQ39" t="e">
        <f>AND('Planilla_General_07-12-2012_8_3'!O584,"AAAAAHSv+cY=")</f>
        <v>#VALUE!</v>
      </c>
      <c r="GR39" t="e">
        <f>AND('Planilla_General_07-12-2012_8_3'!P584,"AAAAAHSv+cc=")</f>
        <v>#VALUE!</v>
      </c>
      <c r="GS39">
        <f>IF('Planilla_General_07-12-2012_8_3'!585:585,"AAAAAHSv+cg=",0)</f>
        <v>0</v>
      </c>
      <c r="GT39" t="e">
        <f>AND('Planilla_General_07-12-2012_8_3'!A585,"AAAAAHSv+ck=")</f>
        <v>#VALUE!</v>
      </c>
      <c r="GU39" t="e">
        <f>AND('Planilla_General_07-12-2012_8_3'!B585,"AAAAAHSv+co=")</f>
        <v>#VALUE!</v>
      </c>
      <c r="GV39" t="e">
        <f>AND('Planilla_General_07-12-2012_8_3'!C585,"AAAAAHSv+cs=")</f>
        <v>#VALUE!</v>
      </c>
      <c r="GW39" t="e">
        <f>AND('Planilla_General_07-12-2012_8_3'!D585,"AAAAAHSv+cw=")</f>
        <v>#VALUE!</v>
      </c>
      <c r="GX39" t="e">
        <f>AND('Planilla_General_07-12-2012_8_3'!E585,"AAAAAHSv+c0=")</f>
        <v>#VALUE!</v>
      </c>
      <c r="GY39" t="e">
        <f>AND('Planilla_General_07-12-2012_8_3'!F585,"AAAAAHSv+c4=")</f>
        <v>#VALUE!</v>
      </c>
      <c r="GZ39" t="e">
        <f>AND('Planilla_General_07-12-2012_8_3'!G585,"AAAAAHSv+c8=")</f>
        <v>#VALUE!</v>
      </c>
      <c r="HA39" t="e">
        <f>AND('Planilla_General_07-12-2012_8_3'!H585,"AAAAAHSv+dA=")</f>
        <v>#VALUE!</v>
      </c>
      <c r="HB39" t="e">
        <f>AND('Planilla_General_07-12-2012_8_3'!I585,"AAAAAHSv+dE=")</f>
        <v>#VALUE!</v>
      </c>
      <c r="HC39" t="e">
        <f>AND('Planilla_General_07-12-2012_8_3'!J585,"AAAAAHSv+dI=")</f>
        <v>#VALUE!</v>
      </c>
      <c r="HD39" t="e">
        <f>AND('Planilla_General_07-12-2012_8_3'!K585,"AAAAAHSv+dM=")</f>
        <v>#VALUE!</v>
      </c>
      <c r="HE39" t="e">
        <f>AND('Planilla_General_07-12-2012_8_3'!L585,"AAAAAHSv+dQ=")</f>
        <v>#VALUE!</v>
      </c>
      <c r="HF39" t="e">
        <f>AND('Planilla_General_07-12-2012_8_3'!M585,"AAAAAHSv+dU=")</f>
        <v>#VALUE!</v>
      </c>
      <c r="HG39" t="e">
        <f>AND('Planilla_General_07-12-2012_8_3'!N585,"AAAAAHSv+dY=")</f>
        <v>#VALUE!</v>
      </c>
      <c r="HH39" t="e">
        <f>AND('Planilla_General_07-12-2012_8_3'!O585,"AAAAAHSv+dc=")</f>
        <v>#VALUE!</v>
      </c>
      <c r="HI39" t="e">
        <f>AND('Planilla_General_07-12-2012_8_3'!P585,"AAAAAHSv+dg=")</f>
        <v>#VALUE!</v>
      </c>
      <c r="HJ39">
        <f>IF('Planilla_General_07-12-2012_8_3'!586:586,"AAAAAHSv+dk=",0)</f>
        <v>0</v>
      </c>
      <c r="HK39" t="e">
        <f>AND('Planilla_General_07-12-2012_8_3'!A586,"AAAAAHSv+do=")</f>
        <v>#VALUE!</v>
      </c>
      <c r="HL39" t="e">
        <f>AND('Planilla_General_07-12-2012_8_3'!B586,"AAAAAHSv+ds=")</f>
        <v>#VALUE!</v>
      </c>
      <c r="HM39" t="e">
        <f>AND('Planilla_General_07-12-2012_8_3'!C586,"AAAAAHSv+dw=")</f>
        <v>#VALUE!</v>
      </c>
      <c r="HN39" t="e">
        <f>AND('Planilla_General_07-12-2012_8_3'!D586,"AAAAAHSv+d0=")</f>
        <v>#VALUE!</v>
      </c>
      <c r="HO39" t="e">
        <f>AND('Planilla_General_07-12-2012_8_3'!E586,"AAAAAHSv+d4=")</f>
        <v>#VALUE!</v>
      </c>
      <c r="HP39" t="e">
        <f>AND('Planilla_General_07-12-2012_8_3'!F586,"AAAAAHSv+d8=")</f>
        <v>#VALUE!</v>
      </c>
      <c r="HQ39" t="e">
        <f>AND('Planilla_General_07-12-2012_8_3'!G586,"AAAAAHSv+eA=")</f>
        <v>#VALUE!</v>
      </c>
      <c r="HR39" t="e">
        <f>AND('Planilla_General_07-12-2012_8_3'!H586,"AAAAAHSv+eE=")</f>
        <v>#VALUE!</v>
      </c>
      <c r="HS39" t="e">
        <f>AND('Planilla_General_07-12-2012_8_3'!I586,"AAAAAHSv+eI=")</f>
        <v>#VALUE!</v>
      </c>
      <c r="HT39" t="e">
        <f>AND('Planilla_General_07-12-2012_8_3'!J586,"AAAAAHSv+eM=")</f>
        <v>#VALUE!</v>
      </c>
      <c r="HU39" t="e">
        <f>AND('Planilla_General_07-12-2012_8_3'!K586,"AAAAAHSv+eQ=")</f>
        <v>#VALUE!</v>
      </c>
      <c r="HV39" t="e">
        <f>AND('Planilla_General_07-12-2012_8_3'!L586,"AAAAAHSv+eU=")</f>
        <v>#VALUE!</v>
      </c>
      <c r="HW39" t="e">
        <f>AND('Planilla_General_07-12-2012_8_3'!M586,"AAAAAHSv+eY=")</f>
        <v>#VALUE!</v>
      </c>
      <c r="HX39" t="e">
        <f>AND('Planilla_General_07-12-2012_8_3'!N586,"AAAAAHSv+ec=")</f>
        <v>#VALUE!</v>
      </c>
      <c r="HY39" t="e">
        <f>AND('Planilla_General_07-12-2012_8_3'!O586,"AAAAAHSv+eg=")</f>
        <v>#VALUE!</v>
      </c>
      <c r="HZ39" t="e">
        <f>AND('Planilla_General_07-12-2012_8_3'!P586,"AAAAAHSv+ek=")</f>
        <v>#VALUE!</v>
      </c>
      <c r="IA39">
        <f>IF('Planilla_General_07-12-2012_8_3'!587:587,"AAAAAHSv+eo=",0)</f>
        <v>0</v>
      </c>
      <c r="IB39" t="e">
        <f>AND('Planilla_General_07-12-2012_8_3'!A587,"AAAAAHSv+es=")</f>
        <v>#VALUE!</v>
      </c>
      <c r="IC39" t="e">
        <f>AND('Planilla_General_07-12-2012_8_3'!B587,"AAAAAHSv+ew=")</f>
        <v>#VALUE!</v>
      </c>
      <c r="ID39" t="e">
        <f>AND('Planilla_General_07-12-2012_8_3'!C587,"AAAAAHSv+e0=")</f>
        <v>#VALUE!</v>
      </c>
      <c r="IE39" t="e">
        <f>AND('Planilla_General_07-12-2012_8_3'!D587,"AAAAAHSv+e4=")</f>
        <v>#VALUE!</v>
      </c>
      <c r="IF39" t="e">
        <f>AND('Planilla_General_07-12-2012_8_3'!E587,"AAAAAHSv+e8=")</f>
        <v>#VALUE!</v>
      </c>
      <c r="IG39" t="e">
        <f>AND('Planilla_General_07-12-2012_8_3'!F587,"AAAAAHSv+fA=")</f>
        <v>#VALUE!</v>
      </c>
      <c r="IH39" t="e">
        <f>AND('Planilla_General_07-12-2012_8_3'!G587,"AAAAAHSv+fE=")</f>
        <v>#VALUE!</v>
      </c>
      <c r="II39" t="e">
        <f>AND('Planilla_General_07-12-2012_8_3'!H587,"AAAAAHSv+fI=")</f>
        <v>#VALUE!</v>
      </c>
      <c r="IJ39" t="e">
        <f>AND('Planilla_General_07-12-2012_8_3'!I587,"AAAAAHSv+fM=")</f>
        <v>#VALUE!</v>
      </c>
      <c r="IK39" t="e">
        <f>AND('Planilla_General_07-12-2012_8_3'!J587,"AAAAAHSv+fQ=")</f>
        <v>#VALUE!</v>
      </c>
      <c r="IL39" t="e">
        <f>AND('Planilla_General_07-12-2012_8_3'!K587,"AAAAAHSv+fU=")</f>
        <v>#VALUE!</v>
      </c>
      <c r="IM39" t="e">
        <f>AND('Planilla_General_07-12-2012_8_3'!L587,"AAAAAHSv+fY=")</f>
        <v>#VALUE!</v>
      </c>
      <c r="IN39" t="e">
        <f>AND('Planilla_General_07-12-2012_8_3'!M587,"AAAAAHSv+fc=")</f>
        <v>#VALUE!</v>
      </c>
      <c r="IO39" t="e">
        <f>AND('Planilla_General_07-12-2012_8_3'!N587,"AAAAAHSv+fg=")</f>
        <v>#VALUE!</v>
      </c>
      <c r="IP39" t="e">
        <f>AND('Planilla_General_07-12-2012_8_3'!O587,"AAAAAHSv+fk=")</f>
        <v>#VALUE!</v>
      </c>
      <c r="IQ39" t="e">
        <f>AND('Planilla_General_07-12-2012_8_3'!P587,"AAAAAHSv+fo=")</f>
        <v>#VALUE!</v>
      </c>
      <c r="IR39">
        <f>IF('Planilla_General_07-12-2012_8_3'!588:588,"AAAAAHSv+fs=",0)</f>
        <v>0</v>
      </c>
      <c r="IS39" t="e">
        <f>AND('Planilla_General_07-12-2012_8_3'!A588,"AAAAAHSv+fw=")</f>
        <v>#VALUE!</v>
      </c>
      <c r="IT39" t="e">
        <f>AND('Planilla_General_07-12-2012_8_3'!B588,"AAAAAHSv+f0=")</f>
        <v>#VALUE!</v>
      </c>
      <c r="IU39" t="e">
        <f>AND('Planilla_General_07-12-2012_8_3'!C588,"AAAAAHSv+f4=")</f>
        <v>#VALUE!</v>
      </c>
      <c r="IV39" t="e">
        <f>AND('Planilla_General_07-12-2012_8_3'!D588,"AAAAAHSv+f8=")</f>
        <v>#VALUE!</v>
      </c>
    </row>
    <row r="40" spans="1:256" x14ac:dyDescent="0.25">
      <c r="A40" t="e">
        <f>AND('Planilla_General_07-12-2012_8_3'!E588,"AAAAAE9f3AA=")</f>
        <v>#VALUE!</v>
      </c>
      <c r="B40" t="e">
        <f>AND('Planilla_General_07-12-2012_8_3'!F588,"AAAAAE9f3AE=")</f>
        <v>#VALUE!</v>
      </c>
      <c r="C40" t="e">
        <f>AND('Planilla_General_07-12-2012_8_3'!G588,"AAAAAE9f3AI=")</f>
        <v>#VALUE!</v>
      </c>
      <c r="D40" t="e">
        <f>AND('Planilla_General_07-12-2012_8_3'!H588,"AAAAAE9f3AM=")</f>
        <v>#VALUE!</v>
      </c>
      <c r="E40" t="e">
        <f>AND('Planilla_General_07-12-2012_8_3'!I588,"AAAAAE9f3AQ=")</f>
        <v>#VALUE!</v>
      </c>
      <c r="F40" t="e">
        <f>AND('Planilla_General_07-12-2012_8_3'!J588,"AAAAAE9f3AU=")</f>
        <v>#VALUE!</v>
      </c>
      <c r="G40" t="e">
        <f>AND('Planilla_General_07-12-2012_8_3'!K588,"AAAAAE9f3AY=")</f>
        <v>#VALUE!</v>
      </c>
      <c r="H40" t="e">
        <f>AND('Planilla_General_07-12-2012_8_3'!L588,"AAAAAE9f3Ac=")</f>
        <v>#VALUE!</v>
      </c>
      <c r="I40" t="e">
        <f>AND('Planilla_General_07-12-2012_8_3'!M588,"AAAAAE9f3Ag=")</f>
        <v>#VALUE!</v>
      </c>
      <c r="J40" t="e">
        <f>AND('Planilla_General_07-12-2012_8_3'!N588,"AAAAAE9f3Ak=")</f>
        <v>#VALUE!</v>
      </c>
      <c r="K40" t="e">
        <f>AND('Planilla_General_07-12-2012_8_3'!O588,"AAAAAE9f3Ao=")</f>
        <v>#VALUE!</v>
      </c>
      <c r="L40" t="e">
        <f>AND('Planilla_General_07-12-2012_8_3'!P588,"AAAAAE9f3As=")</f>
        <v>#VALUE!</v>
      </c>
      <c r="M40" t="str">
        <f>IF('Planilla_General_07-12-2012_8_3'!589:589,"AAAAAE9f3Aw=",0)</f>
        <v>AAAAAE9f3Aw=</v>
      </c>
      <c r="N40" t="e">
        <f>AND('Planilla_General_07-12-2012_8_3'!A589,"AAAAAE9f3A0=")</f>
        <v>#VALUE!</v>
      </c>
      <c r="O40" t="e">
        <f>AND('Planilla_General_07-12-2012_8_3'!B589,"AAAAAE9f3A4=")</f>
        <v>#VALUE!</v>
      </c>
      <c r="P40" t="e">
        <f>AND('Planilla_General_07-12-2012_8_3'!C589,"AAAAAE9f3A8=")</f>
        <v>#VALUE!</v>
      </c>
      <c r="Q40" t="e">
        <f>AND('Planilla_General_07-12-2012_8_3'!D589,"AAAAAE9f3BA=")</f>
        <v>#VALUE!</v>
      </c>
      <c r="R40" t="e">
        <f>AND('Planilla_General_07-12-2012_8_3'!E589,"AAAAAE9f3BE=")</f>
        <v>#VALUE!</v>
      </c>
      <c r="S40" t="e">
        <f>AND('Planilla_General_07-12-2012_8_3'!F589,"AAAAAE9f3BI=")</f>
        <v>#VALUE!</v>
      </c>
      <c r="T40" t="e">
        <f>AND('Planilla_General_07-12-2012_8_3'!G589,"AAAAAE9f3BM=")</f>
        <v>#VALUE!</v>
      </c>
      <c r="U40" t="e">
        <f>AND('Planilla_General_07-12-2012_8_3'!H589,"AAAAAE9f3BQ=")</f>
        <v>#VALUE!</v>
      </c>
      <c r="V40" t="e">
        <f>AND('Planilla_General_07-12-2012_8_3'!I589,"AAAAAE9f3BU=")</f>
        <v>#VALUE!</v>
      </c>
      <c r="W40" t="e">
        <f>AND('Planilla_General_07-12-2012_8_3'!J589,"AAAAAE9f3BY=")</f>
        <v>#VALUE!</v>
      </c>
      <c r="X40" t="e">
        <f>AND('Planilla_General_07-12-2012_8_3'!K589,"AAAAAE9f3Bc=")</f>
        <v>#VALUE!</v>
      </c>
      <c r="Y40" t="e">
        <f>AND('Planilla_General_07-12-2012_8_3'!L589,"AAAAAE9f3Bg=")</f>
        <v>#VALUE!</v>
      </c>
      <c r="Z40" t="e">
        <f>AND('Planilla_General_07-12-2012_8_3'!M589,"AAAAAE9f3Bk=")</f>
        <v>#VALUE!</v>
      </c>
      <c r="AA40" t="e">
        <f>AND('Planilla_General_07-12-2012_8_3'!N589,"AAAAAE9f3Bo=")</f>
        <v>#VALUE!</v>
      </c>
      <c r="AB40" t="e">
        <f>AND('Planilla_General_07-12-2012_8_3'!O589,"AAAAAE9f3Bs=")</f>
        <v>#VALUE!</v>
      </c>
      <c r="AC40" t="e">
        <f>AND('Planilla_General_07-12-2012_8_3'!P589,"AAAAAE9f3Bw=")</f>
        <v>#VALUE!</v>
      </c>
      <c r="AD40">
        <f>IF('Planilla_General_07-12-2012_8_3'!590:590,"AAAAAE9f3B0=",0)</f>
        <v>0</v>
      </c>
      <c r="AE40" t="e">
        <f>AND('Planilla_General_07-12-2012_8_3'!A590,"AAAAAE9f3B4=")</f>
        <v>#VALUE!</v>
      </c>
      <c r="AF40" t="e">
        <f>AND('Planilla_General_07-12-2012_8_3'!B590,"AAAAAE9f3B8=")</f>
        <v>#VALUE!</v>
      </c>
      <c r="AG40" t="e">
        <f>AND('Planilla_General_07-12-2012_8_3'!C590,"AAAAAE9f3CA=")</f>
        <v>#VALUE!</v>
      </c>
      <c r="AH40" t="e">
        <f>AND('Planilla_General_07-12-2012_8_3'!D590,"AAAAAE9f3CE=")</f>
        <v>#VALUE!</v>
      </c>
      <c r="AI40" t="e">
        <f>AND('Planilla_General_07-12-2012_8_3'!E590,"AAAAAE9f3CI=")</f>
        <v>#VALUE!</v>
      </c>
      <c r="AJ40" t="e">
        <f>AND('Planilla_General_07-12-2012_8_3'!F590,"AAAAAE9f3CM=")</f>
        <v>#VALUE!</v>
      </c>
      <c r="AK40" t="e">
        <f>AND('Planilla_General_07-12-2012_8_3'!G590,"AAAAAE9f3CQ=")</f>
        <v>#VALUE!</v>
      </c>
      <c r="AL40" t="e">
        <f>AND('Planilla_General_07-12-2012_8_3'!H590,"AAAAAE9f3CU=")</f>
        <v>#VALUE!</v>
      </c>
      <c r="AM40" t="e">
        <f>AND('Planilla_General_07-12-2012_8_3'!I590,"AAAAAE9f3CY=")</f>
        <v>#VALUE!</v>
      </c>
      <c r="AN40" t="e">
        <f>AND('Planilla_General_07-12-2012_8_3'!J590,"AAAAAE9f3Cc=")</f>
        <v>#VALUE!</v>
      </c>
      <c r="AO40" t="e">
        <f>AND('Planilla_General_07-12-2012_8_3'!K590,"AAAAAE9f3Cg=")</f>
        <v>#VALUE!</v>
      </c>
      <c r="AP40" t="e">
        <f>AND('Planilla_General_07-12-2012_8_3'!L590,"AAAAAE9f3Ck=")</f>
        <v>#VALUE!</v>
      </c>
      <c r="AQ40" t="e">
        <f>AND('Planilla_General_07-12-2012_8_3'!M590,"AAAAAE9f3Co=")</f>
        <v>#VALUE!</v>
      </c>
      <c r="AR40" t="e">
        <f>AND('Planilla_General_07-12-2012_8_3'!N590,"AAAAAE9f3Cs=")</f>
        <v>#VALUE!</v>
      </c>
      <c r="AS40" t="e">
        <f>AND('Planilla_General_07-12-2012_8_3'!O590,"AAAAAE9f3Cw=")</f>
        <v>#VALUE!</v>
      </c>
      <c r="AT40" t="e">
        <f>AND('Planilla_General_07-12-2012_8_3'!P590,"AAAAAE9f3C0=")</f>
        <v>#VALUE!</v>
      </c>
      <c r="AU40">
        <f>IF('Planilla_General_07-12-2012_8_3'!591:591,"AAAAAE9f3C4=",0)</f>
        <v>0</v>
      </c>
      <c r="AV40" t="e">
        <f>AND('Planilla_General_07-12-2012_8_3'!A591,"AAAAAE9f3C8=")</f>
        <v>#VALUE!</v>
      </c>
      <c r="AW40" t="e">
        <f>AND('Planilla_General_07-12-2012_8_3'!B591,"AAAAAE9f3DA=")</f>
        <v>#VALUE!</v>
      </c>
      <c r="AX40" t="e">
        <f>AND('Planilla_General_07-12-2012_8_3'!C591,"AAAAAE9f3DE=")</f>
        <v>#VALUE!</v>
      </c>
      <c r="AY40" t="e">
        <f>AND('Planilla_General_07-12-2012_8_3'!D591,"AAAAAE9f3DI=")</f>
        <v>#VALUE!</v>
      </c>
      <c r="AZ40" t="e">
        <f>AND('Planilla_General_07-12-2012_8_3'!E591,"AAAAAE9f3DM=")</f>
        <v>#VALUE!</v>
      </c>
      <c r="BA40" t="e">
        <f>AND('Planilla_General_07-12-2012_8_3'!F591,"AAAAAE9f3DQ=")</f>
        <v>#VALUE!</v>
      </c>
      <c r="BB40" t="e">
        <f>AND('Planilla_General_07-12-2012_8_3'!G591,"AAAAAE9f3DU=")</f>
        <v>#VALUE!</v>
      </c>
      <c r="BC40" t="e">
        <f>AND('Planilla_General_07-12-2012_8_3'!H591,"AAAAAE9f3DY=")</f>
        <v>#VALUE!</v>
      </c>
      <c r="BD40" t="e">
        <f>AND('Planilla_General_07-12-2012_8_3'!I591,"AAAAAE9f3Dc=")</f>
        <v>#VALUE!</v>
      </c>
      <c r="BE40" t="e">
        <f>AND('Planilla_General_07-12-2012_8_3'!J591,"AAAAAE9f3Dg=")</f>
        <v>#VALUE!</v>
      </c>
      <c r="BF40" t="e">
        <f>AND('Planilla_General_07-12-2012_8_3'!K591,"AAAAAE9f3Dk=")</f>
        <v>#VALUE!</v>
      </c>
      <c r="BG40" t="e">
        <f>AND('Planilla_General_07-12-2012_8_3'!L591,"AAAAAE9f3Do=")</f>
        <v>#VALUE!</v>
      </c>
      <c r="BH40" t="e">
        <f>AND('Planilla_General_07-12-2012_8_3'!M591,"AAAAAE9f3Ds=")</f>
        <v>#VALUE!</v>
      </c>
      <c r="BI40" t="e">
        <f>AND('Planilla_General_07-12-2012_8_3'!N591,"AAAAAE9f3Dw=")</f>
        <v>#VALUE!</v>
      </c>
      <c r="BJ40" t="e">
        <f>AND('Planilla_General_07-12-2012_8_3'!O591,"AAAAAE9f3D0=")</f>
        <v>#VALUE!</v>
      </c>
      <c r="BK40" t="e">
        <f>AND('Planilla_General_07-12-2012_8_3'!P591,"AAAAAE9f3D4=")</f>
        <v>#VALUE!</v>
      </c>
      <c r="BL40">
        <f>IF('Planilla_General_07-12-2012_8_3'!592:592,"AAAAAE9f3D8=",0)</f>
        <v>0</v>
      </c>
      <c r="BM40" t="e">
        <f>AND('Planilla_General_07-12-2012_8_3'!A592,"AAAAAE9f3EA=")</f>
        <v>#VALUE!</v>
      </c>
      <c r="BN40" t="e">
        <f>AND('Planilla_General_07-12-2012_8_3'!B592,"AAAAAE9f3EE=")</f>
        <v>#VALUE!</v>
      </c>
      <c r="BO40" t="e">
        <f>AND('Planilla_General_07-12-2012_8_3'!C592,"AAAAAE9f3EI=")</f>
        <v>#VALUE!</v>
      </c>
      <c r="BP40" t="e">
        <f>AND('Planilla_General_07-12-2012_8_3'!D592,"AAAAAE9f3EM=")</f>
        <v>#VALUE!</v>
      </c>
      <c r="BQ40" t="e">
        <f>AND('Planilla_General_07-12-2012_8_3'!E592,"AAAAAE9f3EQ=")</f>
        <v>#VALUE!</v>
      </c>
      <c r="BR40" t="e">
        <f>AND('Planilla_General_07-12-2012_8_3'!F592,"AAAAAE9f3EU=")</f>
        <v>#VALUE!</v>
      </c>
      <c r="BS40" t="e">
        <f>AND('Planilla_General_07-12-2012_8_3'!G592,"AAAAAE9f3EY=")</f>
        <v>#VALUE!</v>
      </c>
      <c r="BT40" t="e">
        <f>AND('Planilla_General_07-12-2012_8_3'!H592,"AAAAAE9f3Ec=")</f>
        <v>#VALUE!</v>
      </c>
      <c r="BU40" t="e">
        <f>AND('Planilla_General_07-12-2012_8_3'!I592,"AAAAAE9f3Eg=")</f>
        <v>#VALUE!</v>
      </c>
      <c r="BV40" t="e">
        <f>AND('Planilla_General_07-12-2012_8_3'!J592,"AAAAAE9f3Ek=")</f>
        <v>#VALUE!</v>
      </c>
      <c r="BW40" t="e">
        <f>AND('Planilla_General_07-12-2012_8_3'!K592,"AAAAAE9f3Eo=")</f>
        <v>#VALUE!</v>
      </c>
      <c r="BX40" t="e">
        <f>AND('Planilla_General_07-12-2012_8_3'!L592,"AAAAAE9f3Es=")</f>
        <v>#VALUE!</v>
      </c>
      <c r="BY40" t="e">
        <f>AND('Planilla_General_07-12-2012_8_3'!M592,"AAAAAE9f3Ew=")</f>
        <v>#VALUE!</v>
      </c>
      <c r="BZ40" t="e">
        <f>AND('Planilla_General_07-12-2012_8_3'!N592,"AAAAAE9f3E0=")</f>
        <v>#VALUE!</v>
      </c>
      <c r="CA40" t="e">
        <f>AND('Planilla_General_07-12-2012_8_3'!O592,"AAAAAE9f3E4=")</f>
        <v>#VALUE!</v>
      </c>
      <c r="CB40" t="e">
        <f>AND('Planilla_General_07-12-2012_8_3'!P592,"AAAAAE9f3E8=")</f>
        <v>#VALUE!</v>
      </c>
      <c r="CC40">
        <f>IF('Planilla_General_07-12-2012_8_3'!593:593,"AAAAAE9f3FA=",0)</f>
        <v>0</v>
      </c>
      <c r="CD40" t="e">
        <f>AND('Planilla_General_07-12-2012_8_3'!A593,"AAAAAE9f3FE=")</f>
        <v>#VALUE!</v>
      </c>
      <c r="CE40" t="e">
        <f>AND('Planilla_General_07-12-2012_8_3'!B593,"AAAAAE9f3FI=")</f>
        <v>#VALUE!</v>
      </c>
      <c r="CF40" t="e">
        <f>AND('Planilla_General_07-12-2012_8_3'!C593,"AAAAAE9f3FM=")</f>
        <v>#VALUE!</v>
      </c>
      <c r="CG40" t="e">
        <f>AND('Planilla_General_07-12-2012_8_3'!D593,"AAAAAE9f3FQ=")</f>
        <v>#VALUE!</v>
      </c>
      <c r="CH40" t="e">
        <f>AND('Planilla_General_07-12-2012_8_3'!E593,"AAAAAE9f3FU=")</f>
        <v>#VALUE!</v>
      </c>
      <c r="CI40" t="e">
        <f>AND('Planilla_General_07-12-2012_8_3'!F593,"AAAAAE9f3FY=")</f>
        <v>#VALUE!</v>
      </c>
      <c r="CJ40" t="e">
        <f>AND('Planilla_General_07-12-2012_8_3'!G593,"AAAAAE9f3Fc=")</f>
        <v>#VALUE!</v>
      </c>
      <c r="CK40" t="e">
        <f>AND('Planilla_General_07-12-2012_8_3'!H593,"AAAAAE9f3Fg=")</f>
        <v>#VALUE!</v>
      </c>
      <c r="CL40" t="e">
        <f>AND('Planilla_General_07-12-2012_8_3'!I593,"AAAAAE9f3Fk=")</f>
        <v>#VALUE!</v>
      </c>
      <c r="CM40" t="e">
        <f>AND('Planilla_General_07-12-2012_8_3'!J593,"AAAAAE9f3Fo=")</f>
        <v>#VALUE!</v>
      </c>
      <c r="CN40" t="e">
        <f>AND('Planilla_General_07-12-2012_8_3'!K593,"AAAAAE9f3Fs=")</f>
        <v>#VALUE!</v>
      </c>
      <c r="CO40" t="e">
        <f>AND('Planilla_General_07-12-2012_8_3'!L593,"AAAAAE9f3Fw=")</f>
        <v>#VALUE!</v>
      </c>
      <c r="CP40" t="e">
        <f>AND('Planilla_General_07-12-2012_8_3'!M593,"AAAAAE9f3F0=")</f>
        <v>#VALUE!</v>
      </c>
      <c r="CQ40" t="e">
        <f>AND('Planilla_General_07-12-2012_8_3'!N593,"AAAAAE9f3F4=")</f>
        <v>#VALUE!</v>
      </c>
      <c r="CR40" t="e">
        <f>AND('Planilla_General_07-12-2012_8_3'!O593,"AAAAAE9f3F8=")</f>
        <v>#VALUE!</v>
      </c>
      <c r="CS40" t="e">
        <f>AND('Planilla_General_07-12-2012_8_3'!P593,"AAAAAE9f3GA=")</f>
        <v>#VALUE!</v>
      </c>
      <c r="CT40">
        <f>IF('Planilla_General_07-12-2012_8_3'!594:594,"AAAAAE9f3GE=",0)</f>
        <v>0</v>
      </c>
      <c r="CU40" t="e">
        <f>AND('Planilla_General_07-12-2012_8_3'!A594,"AAAAAE9f3GI=")</f>
        <v>#VALUE!</v>
      </c>
      <c r="CV40" t="e">
        <f>AND('Planilla_General_07-12-2012_8_3'!B594,"AAAAAE9f3GM=")</f>
        <v>#VALUE!</v>
      </c>
      <c r="CW40" t="e">
        <f>AND('Planilla_General_07-12-2012_8_3'!C594,"AAAAAE9f3GQ=")</f>
        <v>#VALUE!</v>
      </c>
      <c r="CX40" t="e">
        <f>AND('Planilla_General_07-12-2012_8_3'!D594,"AAAAAE9f3GU=")</f>
        <v>#VALUE!</v>
      </c>
      <c r="CY40" t="e">
        <f>AND('Planilla_General_07-12-2012_8_3'!E594,"AAAAAE9f3GY=")</f>
        <v>#VALUE!</v>
      </c>
      <c r="CZ40" t="e">
        <f>AND('Planilla_General_07-12-2012_8_3'!F594,"AAAAAE9f3Gc=")</f>
        <v>#VALUE!</v>
      </c>
      <c r="DA40" t="e">
        <f>AND('Planilla_General_07-12-2012_8_3'!G594,"AAAAAE9f3Gg=")</f>
        <v>#VALUE!</v>
      </c>
      <c r="DB40" t="e">
        <f>AND('Planilla_General_07-12-2012_8_3'!H594,"AAAAAE9f3Gk=")</f>
        <v>#VALUE!</v>
      </c>
      <c r="DC40" t="e">
        <f>AND('Planilla_General_07-12-2012_8_3'!I594,"AAAAAE9f3Go=")</f>
        <v>#VALUE!</v>
      </c>
      <c r="DD40" t="e">
        <f>AND('Planilla_General_07-12-2012_8_3'!J594,"AAAAAE9f3Gs=")</f>
        <v>#VALUE!</v>
      </c>
      <c r="DE40" t="e">
        <f>AND('Planilla_General_07-12-2012_8_3'!K594,"AAAAAE9f3Gw=")</f>
        <v>#VALUE!</v>
      </c>
      <c r="DF40" t="e">
        <f>AND('Planilla_General_07-12-2012_8_3'!L594,"AAAAAE9f3G0=")</f>
        <v>#VALUE!</v>
      </c>
      <c r="DG40" t="e">
        <f>AND('Planilla_General_07-12-2012_8_3'!M594,"AAAAAE9f3G4=")</f>
        <v>#VALUE!</v>
      </c>
      <c r="DH40" t="e">
        <f>AND('Planilla_General_07-12-2012_8_3'!N594,"AAAAAE9f3G8=")</f>
        <v>#VALUE!</v>
      </c>
      <c r="DI40" t="e">
        <f>AND('Planilla_General_07-12-2012_8_3'!O594,"AAAAAE9f3HA=")</f>
        <v>#VALUE!</v>
      </c>
      <c r="DJ40" t="e">
        <f>AND('Planilla_General_07-12-2012_8_3'!P594,"AAAAAE9f3HE=")</f>
        <v>#VALUE!</v>
      </c>
      <c r="DK40">
        <f>IF('Planilla_General_07-12-2012_8_3'!595:595,"AAAAAE9f3HI=",0)</f>
        <v>0</v>
      </c>
      <c r="DL40" t="e">
        <f>AND('Planilla_General_07-12-2012_8_3'!A595,"AAAAAE9f3HM=")</f>
        <v>#VALUE!</v>
      </c>
      <c r="DM40" t="e">
        <f>AND('Planilla_General_07-12-2012_8_3'!B595,"AAAAAE9f3HQ=")</f>
        <v>#VALUE!</v>
      </c>
      <c r="DN40" t="e">
        <f>AND('Planilla_General_07-12-2012_8_3'!C595,"AAAAAE9f3HU=")</f>
        <v>#VALUE!</v>
      </c>
      <c r="DO40" t="e">
        <f>AND('Planilla_General_07-12-2012_8_3'!D595,"AAAAAE9f3HY=")</f>
        <v>#VALUE!</v>
      </c>
      <c r="DP40" t="e">
        <f>AND('Planilla_General_07-12-2012_8_3'!E595,"AAAAAE9f3Hc=")</f>
        <v>#VALUE!</v>
      </c>
      <c r="DQ40" t="e">
        <f>AND('Planilla_General_07-12-2012_8_3'!F595,"AAAAAE9f3Hg=")</f>
        <v>#VALUE!</v>
      </c>
      <c r="DR40" t="e">
        <f>AND('Planilla_General_07-12-2012_8_3'!G595,"AAAAAE9f3Hk=")</f>
        <v>#VALUE!</v>
      </c>
      <c r="DS40" t="e">
        <f>AND('Planilla_General_07-12-2012_8_3'!H595,"AAAAAE9f3Ho=")</f>
        <v>#VALUE!</v>
      </c>
      <c r="DT40" t="e">
        <f>AND('Planilla_General_07-12-2012_8_3'!I595,"AAAAAE9f3Hs=")</f>
        <v>#VALUE!</v>
      </c>
      <c r="DU40" t="e">
        <f>AND('Planilla_General_07-12-2012_8_3'!J595,"AAAAAE9f3Hw=")</f>
        <v>#VALUE!</v>
      </c>
      <c r="DV40" t="e">
        <f>AND('Planilla_General_07-12-2012_8_3'!K595,"AAAAAE9f3H0=")</f>
        <v>#VALUE!</v>
      </c>
      <c r="DW40" t="e">
        <f>AND('Planilla_General_07-12-2012_8_3'!L595,"AAAAAE9f3H4=")</f>
        <v>#VALUE!</v>
      </c>
      <c r="DX40" t="e">
        <f>AND('Planilla_General_07-12-2012_8_3'!M595,"AAAAAE9f3H8=")</f>
        <v>#VALUE!</v>
      </c>
      <c r="DY40" t="e">
        <f>AND('Planilla_General_07-12-2012_8_3'!N595,"AAAAAE9f3IA=")</f>
        <v>#VALUE!</v>
      </c>
      <c r="DZ40" t="e">
        <f>AND('Planilla_General_07-12-2012_8_3'!O595,"AAAAAE9f3IE=")</f>
        <v>#VALUE!</v>
      </c>
      <c r="EA40" t="e">
        <f>AND('Planilla_General_07-12-2012_8_3'!P595,"AAAAAE9f3II=")</f>
        <v>#VALUE!</v>
      </c>
      <c r="EB40">
        <f>IF('Planilla_General_07-12-2012_8_3'!596:596,"AAAAAE9f3IM=",0)</f>
        <v>0</v>
      </c>
      <c r="EC40" t="e">
        <f>AND('Planilla_General_07-12-2012_8_3'!A596,"AAAAAE9f3IQ=")</f>
        <v>#VALUE!</v>
      </c>
      <c r="ED40" t="e">
        <f>AND('Planilla_General_07-12-2012_8_3'!B596,"AAAAAE9f3IU=")</f>
        <v>#VALUE!</v>
      </c>
      <c r="EE40" t="e">
        <f>AND('Planilla_General_07-12-2012_8_3'!C596,"AAAAAE9f3IY=")</f>
        <v>#VALUE!</v>
      </c>
      <c r="EF40" t="e">
        <f>AND('Planilla_General_07-12-2012_8_3'!D596,"AAAAAE9f3Ic=")</f>
        <v>#VALUE!</v>
      </c>
      <c r="EG40" t="e">
        <f>AND('Planilla_General_07-12-2012_8_3'!E596,"AAAAAE9f3Ig=")</f>
        <v>#VALUE!</v>
      </c>
      <c r="EH40" t="e">
        <f>AND('Planilla_General_07-12-2012_8_3'!F596,"AAAAAE9f3Ik=")</f>
        <v>#VALUE!</v>
      </c>
      <c r="EI40" t="e">
        <f>AND('Planilla_General_07-12-2012_8_3'!G596,"AAAAAE9f3Io=")</f>
        <v>#VALUE!</v>
      </c>
      <c r="EJ40" t="e">
        <f>AND('Planilla_General_07-12-2012_8_3'!H596,"AAAAAE9f3Is=")</f>
        <v>#VALUE!</v>
      </c>
      <c r="EK40" t="e">
        <f>AND('Planilla_General_07-12-2012_8_3'!I596,"AAAAAE9f3Iw=")</f>
        <v>#VALUE!</v>
      </c>
      <c r="EL40" t="e">
        <f>AND('Planilla_General_07-12-2012_8_3'!J596,"AAAAAE9f3I0=")</f>
        <v>#VALUE!</v>
      </c>
      <c r="EM40" t="e">
        <f>AND('Planilla_General_07-12-2012_8_3'!K596,"AAAAAE9f3I4=")</f>
        <v>#VALUE!</v>
      </c>
      <c r="EN40" t="e">
        <f>AND('Planilla_General_07-12-2012_8_3'!L596,"AAAAAE9f3I8=")</f>
        <v>#VALUE!</v>
      </c>
      <c r="EO40" t="e">
        <f>AND('Planilla_General_07-12-2012_8_3'!M596,"AAAAAE9f3JA=")</f>
        <v>#VALUE!</v>
      </c>
      <c r="EP40" t="e">
        <f>AND('Planilla_General_07-12-2012_8_3'!N596,"AAAAAE9f3JE=")</f>
        <v>#VALUE!</v>
      </c>
      <c r="EQ40" t="e">
        <f>AND('Planilla_General_07-12-2012_8_3'!O596,"AAAAAE9f3JI=")</f>
        <v>#VALUE!</v>
      </c>
      <c r="ER40" t="e">
        <f>AND('Planilla_General_07-12-2012_8_3'!P596,"AAAAAE9f3JM=")</f>
        <v>#VALUE!</v>
      </c>
      <c r="ES40">
        <f>IF('Planilla_General_07-12-2012_8_3'!597:597,"AAAAAE9f3JQ=",0)</f>
        <v>0</v>
      </c>
      <c r="ET40" t="e">
        <f>AND('Planilla_General_07-12-2012_8_3'!A597,"AAAAAE9f3JU=")</f>
        <v>#VALUE!</v>
      </c>
      <c r="EU40" t="e">
        <f>AND('Planilla_General_07-12-2012_8_3'!B597,"AAAAAE9f3JY=")</f>
        <v>#VALUE!</v>
      </c>
      <c r="EV40" t="e">
        <f>AND('Planilla_General_07-12-2012_8_3'!C597,"AAAAAE9f3Jc=")</f>
        <v>#VALUE!</v>
      </c>
      <c r="EW40" t="e">
        <f>AND('Planilla_General_07-12-2012_8_3'!D597,"AAAAAE9f3Jg=")</f>
        <v>#VALUE!</v>
      </c>
      <c r="EX40" t="e">
        <f>AND('Planilla_General_07-12-2012_8_3'!E597,"AAAAAE9f3Jk=")</f>
        <v>#VALUE!</v>
      </c>
      <c r="EY40" t="e">
        <f>AND('Planilla_General_07-12-2012_8_3'!F597,"AAAAAE9f3Jo=")</f>
        <v>#VALUE!</v>
      </c>
      <c r="EZ40" t="e">
        <f>AND('Planilla_General_07-12-2012_8_3'!G597,"AAAAAE9f3Js=")</f>
        <v>#VALUE!</v>
      </c>
      <c r="FA40" t="e">
        <f>AND('Planilla_General_07-12-2012_8_3'!H597,"AAAAAE9f3Jw=")</f>
        <v>#VALUE!</v>
      </c>
      <c r="FB40" t="e">
        <f>AND('Planilla_General_07-12-2012_8_3'!I597,"AAAAAE9f3J0=")</f>
        <v>#VALUE!</v>
      </c>
      <c r="FC40" t="e">
        <f>AND('Planilla_General_07-12-2012_8_3'!J597,"AAAAAE9f3J4=")</f>
        <v>#VALUE!</v>
      </c>
      <c r="FD40" t="e">
        <f>AND('Planilla_General_07-12-2012_8_3'!K597,"AAAAAE9f3J8=")</f>
        <v>#VALUE!</v>
      </c>
      <c r="FE40" t="e">
        <f>AND('Planilla_General_07-12-2012_8_3'!L597,"AAAAAE9f3KA=")</f>
        <v>#VALUE!</v>
      </c>
      <c r="FF40" t="e">
        <f>AND('Planilla_General_07-12-2012_8_3'!M597,"AAAAAE9f3KE=")</f>
        <v>#VALUE!</v>
      </c>
      <c r="FG40" t="e">
        <f>AND('Planilla_General_07-12-2012_8_3'!N597,"AAAAAE9f3KI=")</f>
        <v>#VALUE!</v>
      </c>
      <c r="FH40" t="e">
        <f>AND('Planilla_General_07-12-2012_8_3'!O597,"AAAAAE9f3KM=")</f>
        <v>#VALUE!</v>
      </c>
      <c r="FI40" t="e">
        <f>AND('Planilla_General_07-12-2012_8_3'!P597,"AAAAAE9f3KQ=")</f>
        <v>#VALUE!</v>
      </c>
      <c r="FJ40">
        <f>IF('Planilla_General_07-12-2012_8_3'!598:598,"AAAAAE9f3KU=",0)</f>
        <v>0</v>
      </c>
      <c r="FK40" t="e">
        <f>AND('Planilla_General_07-12-2012_8_3'!A598,"AAAAAE9f3KY=")</f>
        <v>#VALUE!</v>
      </c>
      <c r="FL40" t="e">
        <f>AND('Planilla_General_07-12-2012_8_3'!B598,"AAAAAE9f3Kc=")</f>
        <v>#VALUE!</v>
      </c>
      <c r="FM40" t="e">
        <f>AND('Planilla_General_07-12-2012_8_3'!C598,"AAAAAE9f3Kg=")</f>
        <v>#VALUE!</v>
      </c>
      <c r="FN40" t="e">
        <f>AND('Planilla_General_07-12-2012_8_3'!D598,"AAAAAE9f3Kk=")</f>
        <v>#VALUE!</v>
      </c>
      <c r="FO40" t="e">
        <f>AND('Planilla_General_07-12-2012_8_3'!E598,"AAAAAE9f3Ko=")</f>
        <v>#VALUE!</v>
      </c>
      <c r="FP40" t="e">
        <f>AND('Planilla_General_07-12-2012_8_3'!F598,"AAAAAE9f3Ks=")</f>
        <v>#VALUE!</v>
      </c>
      <c r="FQ40" t="e">
        <f>AND('Planilla_General_07-12-2012_8_3'!G598,"AAAAAE9f3Kw=")</f>
        <v>#VALUE!</v>
      </c>
      <c r="FR40" t="e">
        <f>AND('Planilla_General_07-12-2012_8_3'!H598,"AAAAAE9f3K0=")</f>
        <v>#VALUE!</v>
      </c>
      <c r="FS40" t="e">
        <f>AND('Planilla_General_07-12-2012_8_3'!I598,"AAAAAE9f3K4=")</f>
        <v>#VALUE!</v>
      </c>
      <c r="FT40" t="e">
        <f>AND('Planilla_General_07-12-2012_8_3'!J598,"AAAAAE9f3K8=")</f>
        <v>#VALUE!</v>
      </c>
      <c r="FU40" t="e">
        <f>AND('Planilla_General_07-12-2012_8_3'!K598,"AAAAAE9f3LA=")</f>
        <v>#VALUE!</v>
      </c>
      <c r="FV40" t="e">
        <f>AND('Planilla_General_07-12-2012_8_3'!L598,"AAAAAE9f3LE=")</f>
        <v>#VALUE!</v>
      </c>
      <c r="FW40" t="e">
        <f>AND('Planilla_General_07-12-2012_8_3'!M598,"AAAAAE9f3LI=")</f>
        <v>#VALUE!</v>
      </c>
      <c r="FX40" t="e">
        <f>AND('Planilla_General_07-12-2012_8_3'!N598,"AAAAAE9f3LM=")</f>
        <v>#VALUE!</v>
      </c>
      <c r="FY40" t="e">
        <f>AND('Planilla_General_07-12-2012_8_3'!O598,"AAAAAE9f3LQ=")</f>
        <v>#VALUE!</v>
      </c>
      <c r="FZ40" t="e">
        <f>AND('Planilla_General_07-12-2012_8_3'!P598,"AAAAAE9f3LU=")</f>
        <v>#VALUE!</v>
      </c>
      <c r="GA40">
        <f>IF('Planilla_General_07-12-2012_8_3'!599:599,"AAAAAE9f3LY=",0)</f>
        <v>0</v>
      </c>
      <c r="GB40" t="e">
        <f>AND('Planilla_General_07-12-2012_8_3'!A599,"AAAAAE9f3Lc=")</f>
        <v>#VALUE!</v>
      </c>
      <c r="GC40" t="e">
        <f>AND('Planilla_General_07-12-2012_8_3'!B599,"AAAAAE9f3Lg=")</f>
        <v>#VALUE!</v>
      </c>
      <c r="GD40" t="e">
        <f>AND('Planilla_General_07-12-2012_8_3'!C599,"AAAAAE9f3Lk=")</f>
        <v>#VALUE!</v>
      </c>
      <c r="GE40" t="e">
        <f>AND('Planilla_General_07-12-2012_8_3'!D599,"AAAAAE9f3Lo=")</f>
        <v>#VALUE!</v>
      </c>
      <c r="GF40" t="e">
        <f>AND('Planilla_General_07-12-2012_8_3'!E599,"AAAAAE9f3Ls=")</f>
        <v>#VALUE!</v>
      </c>
      <c r="GG40" t="e">
        <f>AND('Planilla_General_07-12-2012_8_3'!F599,"AAAAAE9f3Lw=")</f>
        <v>#VALUE!</v>
      </c>
      <c r="GH40" t="e">
        <f>AND('Planilla_General_07-12-2012_8_3'!G599,"AAAAAE9f3L0=")</f>
        <v>#VALUE!</v>
      </c>
      <c r="GI40" t="e">
        <f>AND('Planilla_General_07-12-2012_8_3'!H599,"AAAAAE9f3L4=")</f>
        <v>#VALUE!</v>
      </c>
      <c r="GJ40" t="e">
        <f>AND('Planilla_General_07-12-2012_8_3'!I599,"AAAAAE9f3L8=")</f>
        <v>#VALUE!</v>
      </c>
      <c r="GK40" t="e">
        <f>AND('Planilla_General_07-12-2012_8_3'!J599,"AAAAAE9f3MA=")</f>
        <v>#VALUE!</v>
      </c>
      <c r="GL40" t="e">
        <f>AND('Planilla_General_07-12-2012_8_3'!K599,"AAAAAE9f3ME=")</f>
        <v>#VALUE!</v>
      </c>
      <c r="GM40" t="e">
        <f>AND('Planilla_General_07-12-2012_8_3'!L599,"AAAAAE9f3MI=")</f>
        <v>#VALUE!</v>
      </c>
      <c r="GN40" t="e">
        <f>AND('Planilla_General_07-12-2012_8_3'!M599,"AAAAAE9f3MM=")</f>
        <v>#VALUE!</v>
      </c>
      <c r="GO40" t="e">
        <f>AND('Planilla_General_07-12-2012_8_3'!N599,"AAAAAE9f3MQ=")</f>
        <v>#VALUE!</v>
      </c>
      <c r="GP40" t="e">
        <f>AND('Planilla_General_07-12-2012_8_3'!O599,"AAAAAE9f3MU=")</f>
        <v>#VALUE!</v>
      </c>
      <c r="GQ40" t="e">
        <f>AND('Planilla_General_07-12-2012_8_3'!P599,"AAAAAE9f3MY=")</f>
        <v>#VALUE!</v>
      </c>
      <c r="GR40">
        <f>IF('Planilla_General_07-12-2012_8_3'!600:600,"AAAAAE9f3Mc=",0)</f>
        <v>0</v>
      </c>
      <c r="GS40" t="e">
        <f>AND('Planilla_General_07-12-2012_8_3'!A600,"AAAAAE9f3Mg=")</f>
        <v>#VALUE!</v>
      </c>
      <c r="GT40" t="e">
        <f>AND('Planilla_General_07-12-2012_8_3'!B600,"AAAAAE9f3Mk=")</f>
        <v>#VALUE!</v>
      </c>
      <c r="GU40" t="e">
        <f>AND('Planilla_General_07-12-2012_8_3'!C600,"AAAAAE9f3Mo=")</f>
        <v>#VALUE!</v>
      </c>
      <c r="GV40" t="e">
        <f>AND('Planilla_General_07-12-2012_8_3'!D600,"AAAAAE9f3Ms=")</f>
        <v>#VALUE!</v>
      </c>
      <c r="GW40" t="e">
        <f>AND('Planilla_General_07-12-2012_8_3'!E600,"AAAAAE9f3Mw=")</f>
        <v>#VALUE!</v>
      </c>
      <c r="GX40" t="e">
        <f>AND('Planilla_General_07-12-2012_8_3'!F600,"AAAAAE9f3M0=")</f>
        <v>#VALUE!</v>
      </c>
      <c r="GY40" t="e">
        <f>AND('Planilla_General_07-12-2012_8_3'!G600,"AAAAAE9f3M4=")</f>
        <v>#VALUE!</v>
      </c>
      <c r="GZ40" t="e">
        <f>AND('Planilla_General_07-12-2012_8_3'!H600,"AAAAAE9f3M8=")</f>
        <v>#VALUE!</v>
      </c>
      <c r="HA40" t="e">
        <f>AND('Planilla_General_07-12-2012_8_3'!I600,"AAAAAE9f3NA=")</f>
        <v>#VALUE!</v>
      </c>
      <c r="HB40" t="e">
        <f>AND('Planilla_General_07-12-2012_8_3'!J600,"AAAAAE9f3NE=")</f>
        <v>#VALUE!</v>
      </c>
      <c r="HC40" t="e">
        <f>AND('Planilla_General_07-12-2012_8_3'!K600,"AAAAAE9f3NI=")</f>
        <v>#VALUE!</v>
      </c>
      <c r="HD40" t="e">
        <f>AND('Planilla_General_07-12-2012_8_3'!L600,"AAAAAE9f3NM=")</f>
        <v>#VALUE!</v>
      </c>
      <c r="HE40" t="e">
        <f>AND('Planilla_General_07-12-2012_8_3'!M600,"AAAAAE9f3NQ=")</f>
        <v>#VALUE!</v>
      </c>
      <c r="HF40" t="e">
        <f>AND('Planilla_General_07-12-2012_8_3'!N600,"AAAAAE9f3NU=")</f>
        <v>#VALUE!</v>
      </c>
      <c r="HG40" t="e">
        <f>AND('Planilla_General_07-12-2012_8_3'!O600,"AAAAAE9f3NY=")</f>
        <v>#VALUE!</v>
      </c>
      <c r="HH40" t="e">
        <f>AND('Planilla_General_07-12-2012_8_3'!P600,"AAAAAE9f3Nc=")</f>
        <v>#VALUE!</v>
      </c>
      <c r="HI40">
        <f>IF('Planilla_General_07-12-2012_8_3'!601:601,"AAAAAE9f3Ng=",0)</f>
        <v>0</v>
      </c>
      <c r="HJ40" t="e">
        <f>AND('Planilla_General_07-12-2012_8_3'!A601,"AAAAAE9f3Nk=")</f>
        <v>#VALUE!</v>
      </c>
      <c r="HK40" t="e">
        <f>AND('Planilla_General_07-12-2012_8_3'!B601,"AAAAAE9f3No=")</f>
        <v>#VALUE!</v>
      </c>
      <c r="HL40" t="e">
        <f>AND('Planilla_General_07-12-2012_8_3'!C601,"AAAAAE9f3Ns=")</f>
        <v>#VALUE!</v>
      </c>
      <c r="HM40" t="e">
        <f>AND('Planilla_General_07-12-2012_8_3'!D601,"AAAAAE9f3Nw=")</f>
        <v>#VALUE!</v>
      </c>
      <c r="HN40" t="e">
        <f>AND('Planilla_General_07-12-2012_8_3'!E601,"AAAAAE9f3N0=")</f>
        <v>#VALUE!</v>
      </c>
      <c r="HO40" t="e">
        <f>AND('Planilla_General_07-12-2012_8_3'!F601,"AAAAAE9f3N4=")</f>
        <v>#VALUE!</v>
      </c>
      <c r="HP40" t="e">
        <f>AND('Planilla_General_07-12-2012_8_3'!G601,"AAAAAE9f3N8=")</f>
        <v>#VALUE!</v>
      </c>
      <c r="HQ40" t="e">
        <f>AND('Planilla_General_07-12-2012_8_3'!H601,"AAAAAE9f3OA=")</f>
        <v>#VALUE!</v>
      </c>
      <c r="HR40" t="e">
        <f>AND('Planilla_General_07-12-2012_8_3'!I601,"AAAAAE9f3OE=")</f>
        <v>#VALUE!</v>
      </c>
      <c r="HS40" t="e">
        <f>AND('Planilla_General_07-12-2012_8_3'!J601,"AAAAAE9f3OI=")</f>
        <v>#VALUE!</v>
      </c>
      <c r="HT40" t="e">
        <f>AND('Planilla_General_07-12-2012_8_3'!K601,"AAAAAE9f3OM=")</f>
        <v>#VALUE!</v>
      </c>
      <c r="HU40" t="e">
        <f>AND('Planilla_General_07-12-2012_8_3'!L601,"AAAAAE9f3OQ=")</f>
        <v>#VALUE!</v>
      </c>
      <c r="HV40" t="e">
        <f>AND('Planilla_General_07-12-2012_8_3'!M601,"AAAAAE9f3OU=")</f>
        <v>#VALUE!</v>
      </c>
      <c r="HW40" t="e">
        <f>AND('Planilla_General_07-12-2012_8_3'!N601,"AAAAAE9f3OY=")</f>
        <v>#VALUE!</v>
      </c>
      <c r="HX40" t="e">
        <f>AND('Planilla_General_07-12-2012_8_3'!O601,"AAAAAE9f3Oc=")</f>
        <v>#VALUE!</v>
      </c>
      <c r="HY40" t="e">
        <f>AND('Planilla_General_07-12-2012_8_3'!P601,"AAAAAE9f3Og=")</f>
        <v>#VALUE!</v>
      </c>
      <c r="HZ40">
        <f>IF('Planilla_General_07-12-2012_8_3'!602:602,"AAAAAE9f3Ok=",0)</f>
        <v>0</v>
      </c>
      <c r="IA40" t="e">
        <f>AND('Planilla_General_07-12-2012_8_3'!A602,"AAAAAE9f3Oo=")</f>
        <v>#VALUE!</v>
      </c>
      <c r="IB40" t="e">
        <f>AND('Planilla_General_07-12-2012_8_3'!B602,"AAAAAE9f3Os=")</f>
        <v>#VALUE!</v>
      </c>
      <c r="IC40" t="e">
        <f>AND('Planilla_General_07-12-2012_8_3'!C602,"AAAAAE9f3Ow=")</f>
        <v>#VALUE!</v>
      </c>
      <c r="ID40" t="e">
        <f>AND('Planilla_General_07-12-2012_8_3'!D602,"AAAAAE9f3O0=")</f>
        <v>#VALUE!</v>
      </c>
      <c r="IE40" t="e">
        <f>AND('Planilla_General_07-12-2012_8_3'!E602,"AAAAAE9f3O4=")</f>
        <v>#VALUE!</v>
      </c>
      <c r="IF40" t="e">
        <f>AND('Planilla_General_07-12-2012_8_3'!F602,"AAAAAE9f3O8=")</f>
        <v>#VALUE!</v>
      </c>
      <c r="IG40" t="e">
        <f>AND('Planilla_General_07-12-2012_8_3'!G602,"AAAAAE9f3PA=")</f>
        <v>#VALUE!</v>
      </c>
      <c r="IH40" t="e">
        <f>AND('Planilla_General_07-12-2012_8_3'!H602,"AAAAAE9f3PE=")</f>
        <v>#VALUE!</v>
      </c>
      <c r="II40" t="e">
        <f>AND('Planilla_General_07-12-2012_8_3'!I602,"AAAAAE9f3PI=")</f>
        <v>#VALUE!</v>
      </c>
      <c r="IJ40" t="e">
        <f>AND('Planilla_General_07-12-2012_8_3'!J602,"AAAAAE9f3PM=")</f>
        <v>#VALUE!</v>
      </c>
      <c r="IK40" t="e">
        <f>AND('Planilla_General_07-12-2012_8_3'!K602,"AAAAAE9f3PQ=")</f>
        <v>#VALUE!</v>
      </c>
      <c r="IL40" t="e">
        <f>AND('Planilla_General_07-12-2012_8_3'!L602,"AAAAAE9f3PU=")</f>
        <v>#VALUE!</v>
      </c>
      <c r="IM40" t="e">
        <f>AND('Planilla_General_07-12-2012_8_3'!M602,"AAAAAE9f3PY=")</f>
        <v>#VALUE!</v>
      </c>
      <c r="IN40" t="e">
        <f>AND('Planilla_General_07-12-2012_8_3'!N602,"AAAAAE9f3Pc=")</f>
        <v>#VALUE!</v>
      </c>
      <c r="IO40" t="e">
        <f>AND('Planilla_General_07-12-2012_8_3'!O602,"AAAAAE9f3Pg=")</f>
        <v>#VALUE!</v>
      </c>
      <c r="IP40" t="e">
        <f>AND('Planilla_General_07-12-2012_8_3'!P602,"AAAAAE9f3Pk=")</f>
        <v>#VALUE!</v>
      </c>
      <c r="IQ40">
        <f>IF('Planilla_General_07-12-2012_8_3'!603:603,"AAAAAE9f3Po=",0)</f>
        <v>0</v>
      </c>
      <c r="IR40" t="e">
        <f>AND('Planilla_General_07-12-2012_8_3'!A603,"AAAAAE9f3Ps=")</f>
        <v>#VALUE!</v>
      </c>
      <c r="IS40" t="e">
        <f>AND('Planilla_General_07-12-2012_8_3'!B603,"AAAAAE9f3Pw=")</f>
        <v>#VALUE!</v>
      </c>
      <c r="IT40" t="e">
        <f>AND('Planilla_General_07-12-2012_8_3'!C603,"AAAAAE9f3P0=")</f>
        <v>#VALUE!</v>
      </c>
      <c r="IU40" t="e">
        <f>AND('Planilla_General_07-12-2012_8_3'!D603,"AAAAAE9f3P4=")</f>
        <v>#VALUE!</v>
      </c>
      <c r="IV40" t="e">
        <f>AND('Planilla_General_07-12-2012_8_3'!E603,"AAAAAE9f3P8=")</f>
        <v>#VALUE!</v>
      </c>
    </row>
    <row r="41" spans="1:256" x14ac:dyDescent="0.25">
      <c r="A41" t="e">
        <f>AND('Planilla_General_07-12-2012_8_3'!F603,"AAAAAHd/3AA=")</f>
        <v>#VALUE!</v>
      </c>
      <c r="B41" t="e">
        <f>AND('Planilla_General_07-12-2012_8_3'!G603,"AAAAAHd/3AE=")</f>
        <v>#VALUE!</v>
      </c>
      <c r="C41" t="e">
        <f>AND('Planilla_General_07-12-2012_8_3'!H603,"AAAAAHd/3AI=")</f>
        <v>#VALUE!</v>
      </c>
      <c r="D41" t="e">
        <f>AND('Planilla_General_07-12-2012_8_3'!I603,"AAAAAHd/3AM=")</f>
        <v>#VALUE!</v>
      </c>
      <c r="E41" t="e">
        <f>AND('Planilla_General_07-12-2012_8_3'!J603,"AAAAAHd/3AQ=")</f>
        <v>#VALUE!</v>
      </c>
      <c r="F41" t="e">
        <f>AND('Planilla_General_07-12-2012_8_3'!K603,"AAAAAHd/3AU=")</f>
        <v>#VALUE!</v>
      </c>
      <c r="G41" t="e">
        <f>AND('Planilla_General_07-12-2012_8_3'!L603,"AAAAAHd/3AY=")</f>
        <v>#VALUE!</v>
      </c>
      <c r="H41" t="e">
        <f>AND('Planilla_General_07-12-2012_8_3'!M603,"AAAAAHd/3Ac=")</f>
        <v>#VALUE!</v>
      </c>
      <c r="I41" t="e">
        <f>AND('Planilla_General_07-12-2012_8_3'!N603,"AAAAAHd/3Ag=")</f>
        <v>#VALUE!</v>
      </c>
      <c r="J41" t="e">
        <f>AND('Planilla_General_07-12-2012_8_3'!O603,"AAAAAHd/3Ak=")</f>
        <v>#VALUE!</v>
      </c>
      <c r="K41" t="e">
        <f>AND('Planilla_General_07-12-2012_8_3'!P603,"AAAAAHd/3Ao=")</f>
        <v>#VALUE!</v>
      </c>
      <c r="L41" t="str">
        <f>IF('Planilla_General_07-12-2012_8_3'!604:604,"AAAAAHd/3As=",0)</f>
        <v>AAAAAHd/3As=</v>
      </c>
      <c r="M41" t="e">
        <f>AND('Planilla_General_07-12-2012_8_3'!A604,"AAAAAHd/3Aw=")</f>
        <v>#VALUE!</v>
      </c>
      <c r="N41" t="e">
        <f>AND('Planilla_General_07-12-2012_8_3'!B604,"AAAAAHd/3A0=")</f>
        <v>#VALUE!</v>
      </c>
      <c r="O41" t="e">
        <f>AND('Planilla_General_07-12-2012_8_3'!C604,"AAAAAHd/3A4=")</f>
        <v>#VALUE!</v>
      </c>
      <c r="P41" t="e">
        <f>AND('Planilla_General_07-12-2012_8_3'!D604,"AAAAAHd/3A8=")</f>
        <v>#VALUE!</v>
      </c>
      <c r="Q41" t="e">
        <f>AND('Planilla_General_07-12-2012_8_3'!E604,"AAAAAHd/3BA=")</f>
        <v>#VALUE!</v>
      </c>
      <c r="R41" t="e">
        <f>AND('Planilla_General_07-12-2012_8_3'!F604,"AAAAAHd/3BE=")</f>
        <v>#VALUE!</v>
      </c>
      <c r="S41" t="e">
        <f>AND('Planilla_General_07-12-2012_8_3'!G604,"AAAAAHd/3BI=")</f>
        <v>#VALUE!</v>
      </c>
      <c r="T41" t="e">
        <f>AND('Planilla_General_07-12-2012_8_3'!H604,"AAAAAHd/3BM=")</f>
        <v>#VALUE!</v>
      </c>
      <c r="U41" t="e">
        <f>AND('Planilla_General_07-12-2012_8_3'!I604,"AAAAAHd/3BQ=")</f>
        <v>#VALUE!</v>
      </c>
      <c r="V41" t="e">
        <f>AND('Planilla_General_07-12-2012_8_3'!J604,"AAAAAHd/3BU=")</f>
        <v>#VALUE!</v>
      </c>
      <c r="W41" t="e">
        <f>AND('Planilla_General_07-12-2012_8_3'!K604,"AAAAAHd/3BY=")</f>
        <v>#VALUE!</v>
      </c>
      <c r="X41" t="e">
        <f>AND('Planilla_General_07-12-2012_8_3'!L604,"AAAAAHd/3Bc=")</f>
        <v>#VALUE!</v>
      </c>
      <c r="Y41" t="e">
        <f>AND('Planilla_General_07-12-2012_8_3'!M604,"AAAAAHd/3Bg=")</f>
        <v>#VALUE!</v>
      </c>
      <c r="Z41" t="e">
        <f>AND('Planilla_General_07-12-2012_8_3'!N604,"AAAAAHd/3Bk=")</f>
        <v>#VALUE!</v>
      </c>
      <c r="AA41" t="e">
        <f>AND('Planilla_General_07-12-2012_8_3'!O604,"AAAAAHd/3Bo=")</f>
        <v>#VALUE!</v>
      </c>
      <c r="AB41" t="e">
        <f>AND('Planilla_General_07-12-2012_8_3'!P604,"AAAAAHd/3Bs=")</f>
        <v>#VALUE!</v>
      </c>
      <c r="AC41">
        <f>IF('Planilla_General_07-12-2012_8_3'!605:605,"AAAAAHd/3Bw=",0)</f>
        <v>0</v>
      </c>
      <c r="AD41" t="e">
        <f>AND('Planilla_General_07-12-2012_8_3'!A605,"AAAAAHd/3B0=")</f>
        <v>#VALUE!</v>
      </c>
      <c r="AE41" t="e">
        <f>AND('Planilla_General_07-12-2012_8_3'!B605,"AAAAAHd/3B4=")</f>
        <v>#VALUE!</v>
      </c>
      <c r="AF41" t="e">
        <f>AND('Planilla_General_07-12-2012_8_3'!C605,"AAAAAHd/3B8=")</f>
        <v>#VALUE!</v>
      </c>
      <c r="AG41" t="e">
        <f>AND('Planilla_General_07-12-2012_8_3'!D605,"AAAAAHd/3CA=")</f>
        <v>#VALUE!</v>
      </c>
      <c r="AH41" t="e">
        <f>AND('Planilla_General_07-12-2012_8_3'!E605,"AAAAAHd/3CE=")</f>
        <v>#VALUE!</v>
      </c>
      <c r="AI41" t="e">
        <f>AND('Planilla_General_07-12-2012_8_3'!F605,"AAAAAHd/3CI=")</f>
        <v>#VALUE!</v>
      </c>
      <c r="AJ41" t="e">
        <f>AND('Planilla_General_07-12-2012_8_3'!G605,"AAAAAHd/3CM=")</f>
        <v>#VALUE!</v>
      </c>
      <c r="AK41" t="e">
        <f>AND('Planilla_General_07-12-2012_8_3'!H605,"AAAAAHd/3CQ=")</f>
        <v>#VALUE!</v>
      </c>
      <c r="AL41" t="e">
        <f>AND('Planilla_General_07-12-2012_8_3'!I605,"AAAAAHd/3CU=")</f>
        <v>#VALUE!</v>
      </c>
      <c r="AM41" t="e">
        <f>AND('Planilla_General_07-12-2012_8_3'!J605,"AAAAAHd/3CY=")</f>
        <v>#VALUE!</v>
      </c>
      <c r="AN41" t="e">
        <f>AND('Planilla_General_07-12-2012_8_3'!K605,"AAAAAHd/3Cc=")</f>
        <v>#VALUE!</v>
      </c>
      <c r="AO41" t="e">
        <f>AND('Planilla_General_07-12-2012_8_3'!L605,"AAAAAHd/3Cg=")</f>
        <v>#VALUE!</v>
      </c>
      <c r="AP41" t="e">
        <f>AND('Planilla_General_07-12-2012_8_3'!M605,"AAAAAHd/3Ck=")</f>
        <v>#VALUE!</v>
      </c>
      <c r="AQ41" t="e">
        <f>AND('Planilla_General_07-12-2012_8_3'!N605,"AAAAAHd/3Co=")</f>
        <v>#VALUE!</v>
      </c>
      <c r="AR41" t="e">
        <f>AND('Planilla_General_07-12-2012_8_3'!O605,"AAAAAHd/3Cs=")</f>
        <v>#VALUE!</v>
      </c>
      <c r="AS41" t="e">
        <f>AND('Planilla_General_07-12-2012_8_3'!P605,"AAAAAHd/3Cw=")</f>
        <v>#VALUE!</v>
      </c>
      <c r="AT41">
        <f>IF('Planilla_General_07-12-2012_8_3'!606:606,"AAAAAHd/3C0=",0)</f>
        <v>0</v>
      </c>
      <c r="AU41" t="e">
        <f>AND('Planilla_General_07-12-2012_8_3'!A606,"AAAAAHd/3C4=")</f>
        <v>#VALUE!</v>
      </c>
      <c r="AV41" t="e">
        <f>AND('Planilla_General_07-12-2012_8_3'!B606,"AAAAAHd/3C8=")</f>
        <v>#VALUE!</v>
      </c>
      <c r="AW41" t="e">
        <f>AND('Planilla_General_07-12-2012_8_3'!C606,"AAAAAHd/3DA=")</f>
        <v>#VALUE!</v>
      </c>
      <c r="AX41" t="e">
        <f>AND('Planilla_General_07-12-2012_8_3'!D606,"AAAAAHd/3DE=")</f>
        <v>#VALUE!</v>
      </c>
      <c r="AY41" t="e">
        <f>AND('Planilla_General_07-12-2012_8_3'!E606,"AAAAAHd/3DI=")</f>
        <v>#VALUE!</v>
      </c>
      <c r="AZ41" t="e">
        <f>AND('Planilla_General_07-12-2012_8_3'!F606,"AAAAAHd/3DM=")</f>
        <v>#VALUE!</v>
      </c>
      <c r="BA41" t="e">
        <f>AND('Planilla_General_07-12-2012_8_3'!G606,"AAAAAHd/3DQ=")</f>
        <v>#VALUE!</v>
      </c>
      <c r="BB41" t="e">
        <f>AND('Planilla_General_07-12-2012_8_3'!H606,"AAAAAHd/3DU=")</f>
        <v>#VALUE!</v>
      </c>
      <c r="BC41" t="e">
        <f>AND('Planilla_General_07-12-2012_8_3'!I606,"AAAAAHd/3DY=")</f>
        <v>#VALUE!</v>
      </c>
      <c r="BD41" t="e">
        <f>AND('Planilla_General_07-12-2012_8_3'!J606,"AAAAAHd/3Dc=")</f>
        <v>#VALUE!</v>
      </c>
      <c r="BE41" t="e">
        <f>AND('Planilla_General_07-12-2012_8_3'!K606,"AAAAAHd/3Dg=")</f>
        <v>#VALUE!</v>
      </c>
      <c r="BF41" t="e">
        <f>AND('Planilla_General_07-12-2012_8_3'!L606,"AAAAAHd/3Dk=")</f>
        <v>#VALUE!</v>
      </c>
      <c r="BG41" t="e">
        <f>AND('Planilla_General_07-12-2012_8_3'!M606,"AAAAAHd/3Do=")</f>
        <v>#VALUE!</v>
      </c>
      <c r="BH41" t="e">
        <f>AND('Planilla_General_07-12-2012_8_3'!N606,"AAAAAHd/3Ds=")</f>
        <v>#VALUE!</v>
      </c>
      <c r="BI41" t="e">
        <f>AND('Planilla_General_07-12-2012_8_3'!O606,"AAAAAHd/3Dw=")</f>
        <v>#VALUE!</v>
      </c>
      <c r="BJ41" t="e">
        <f>AND('Planilla_General_07-12-2012_8_3'!P606,"AAAAAHd/3D0=")</f>
        <v>#VALUE!</v>
      </c>
      <c r="BK41">
        <f>IF('Planilla_General_07-12-2012_8_3'!607:607,"AAAAAHd/3D4=",0)</f>
        <v>0</v>
      </c>
      <c r="BL41" t="e">
        <f>AND('Planilla_General_07-12-2012_8_3'!A607,"AAAAAHd/3D8=")</f>
        <v>#VALUE!</v>
      </c>
      <c r="BM41" t="e">
        <f>AND('Planilla_General_07-12-2012_8_3'!B607,"AAAAAHd/3EA=")</f>
        <v>#VALUE!</v>
      </c>
      <c r="BN41" t="e">
        <f>AND('Planilla_General_07-12-2012_8_3'!C607,"AAAAAHd/3EE=")</f>
        <v>#VALUE!</v>
      </c>
      <c r="BO41" t="e">
        <f>AND('Planilla_General_07-12-2012_8_3'!D607,"AAAAAHd/3EI=")</f>
        <v>#VALUE!</v>
      </c>
      <c r="BP41" t="e">
        <f>AND('Planilla_General_07-12-2012_8_3'!E607,"AAAAAHd/3EM=")</f>
        <v>#VALUE!</v>
      </c>
      <c r="BQ41" t="e">
        <f>AND('Planilla_General_07-12-2012_8_3'!F607,"AAAAAHd/3EQ=")</f>
        <v>#VALUE!</v>
      </c>
      <c r="BR41" t="e">
        <f>AND('Planilla_General_07-12-2012_8_3'!G607,"AAAAAHd/3EU=")</f>
        <v>#VALUE!</v>
      </c>
      <c r="BS41" t="e">
        <f>AND('Planilla_General_07-12-2012_8_3'!H607,"AAAAAHd/3EY=")</f>
        <v>#VALUE!</v>
      </c>
      <c r="BT41" t="e">
        <f>AND('Planilla_General_07-12-2012_8_3'!I607,"AAAAAHd/3Ec=")</f>
        <v>#VALUE!</v>
      </c>
      <c r="BU41" t="e">
        <f>AND('Planilla_General_07-12-2012_8_3'!J607,"AAAAAHd/3Eg=")</f>
        <v>#VALUE!</v>
      </c>
      <c r="BV41" t="e">
        <f>AND('Planilla_General_07-12-2012_8_3'!K607,"AAAAAHd/3Ek=")</f>
        <v>#VALUE!</v>
      </c>
      <c r="BW41" t="e">
        <f>AND('Planilla_General_07-12-2012_8_3'!L607,"AAAAAHd/3Eo=")</f>
        <v>#VALUE!</v>
      </c>
      <c r="BX41" t="e">
        <f>AND('Planilla_General_07-12-2012_8_3'!M607,"AAAAAHd/3Es=")</f>
        <v>#VALUE!</v>
      </c>
      <c r="BY41" t="e">
        <f>AND('Planilla_General_07-12-2012_8_3'!N607,"AAAAAHd/3Ew=")</f>
        <v>#VALUE!</v>
      </c>
      <c r="BZ41" t="e">
        <f>AND('Planilla_General_07-12-2012_8_3'!O607,"AAAAAHd/3E0=")</f>
        <v>#VALUE!</v>
      </c>
      <c r="CA41" t="e">
        <f>AND('Planilla_General_07-12-2012_8_3'!P607,"AAAAAHd/3E4=")</f>
        <v>#VALUE!</v>
      </c>
      <c r="CB41">
        <f>IF('Planilla_General_07-12-2012_8_3'!608:608,"AAAAAHd/3E8=",0)</f>
        <v>0</v>
      </c>
      <c r="CC41" t="e">
        <f>AND('Planilla_General_07-12-2012_8_3'!A608,"AAAAAHd/3FA=")</f>
        <v>#VALUE!</v>
      </c>
      <c r="CD41" t="e">
        <f>AND('Planilla_General_07-12-2012_8_3'!B608,"AAAAAHd/3FE=")</f>
        <v>#VALUE!</v>
      </c>
      <c r="CE41" t="e">
        <f>AND('Planilla_General_07-12-2012_8_3'!C608,"AAAAAHd/3FI=")</f>
        <v>#VALUE!</v>
      </c>
      <c r="CF41" t="e">
        <f>AND('Planilla_General_07-12-2012_8_3'!D608,"AAAAAHd/3FM=")</f>
        <v>#VALUE!</v>
      </c>
      <c r="CG41" t="e">
        <f>AND('Planilla_General_07-12-2012_8_3'!E608,"AAAAAHd/3FQ=")</f>
        <v>#VALUE!</v>
      </c>
      <c r="CH41" t="e">
        <f>AND('Planilla_General_07-12-2012_8_3'!F608,"AAAAAHd/3FU=")</f>
        <v>#VALUE!</v>
      </c>
      <c r="CI41" t="e">
        <f>AND('Planilla_General_07-12-2012_8_3'!G608,"AAAAAHd/3FY=")</f>
        <v>#VALUE!</v>
      </c>
      <c r="CJ41" t="e">
        <f>AND('Planilla_General_07-12-2012_8_3'!H608,"AAAAAHd/3Fc=")</f>
        <v>#VALUE!</v>
      </c>
      <c r="CK41" t="e">
        <f>AND('Planilla_General_07-12-2012_8_3'!I608,"AAAAAHd/3Fg=")</f>
        <v>#VALUE!</v>
      </c>
      <c r="CL41" t="e">
        <f>AND('Planilla_General_07-12-2012_8_3'!J608,"AAAAAHd/3Fk=")</f>
        <v>#VALUE!</v>
      </c>
      <c r="CM41" t="e">
        <f>AND('Planilla_General_07-12-2012_8_3'!K608,"AAAAAHd/3Fo=")</f>
        <v>#VALUE!</v>
      </c>
      <c r="CN41" t="e">
        <f>AND('Planilla_General_07-12-2012_8_3'!L608,"AAAAAHd/3Fs=")</f>
        <v>#VALUE!</v>
      </c>
      <c r="CO41" t="e">
        <f>AND('Planilla_General_07-12-2012_8_3'!M608,"AAAAAHd/3Fw=")</f>
        <v>#VALUE!</v>
      </c>
      <c r="CP41" t="e">
        <f>AND('Planilla_General_07-12-2012_8_3'!N608,"AAAAAHd/3F0=")</f>
        <v>#VALUE!</v>
      </c>
      <c r="CQ41" t="e">
        <f>AND('Planilla_General_07-12-2012_8_3'!O608,"AAAAAHd/3F4=")</f>
        <v>#VALUE!</v>
      </c>
      <c r="CR41" t="e">
        <f>AND('Planilla_General_07-12-2012_8_3'!P608,"AAAAAHd/3F8=")</f>
        <v>#VALUE!</v>
      </c>
      <c r="CS41">
        <f>IF('Planilla_General_07-12-2012_8_3'!609:609,"AAAAAHd/3GA=",0)</f>
        <v>0</v>
      </c>
      <c r="CT41" t="e">
        <f>AND('Planilla_General_07-12-2012_8_3'!A609,"AAAAAHd/3GE=")</f>
        <v>#VALUE!</v>
      </c>
      <c r="CU41" t="e">
        <f>AND('Planilla_General_07-12-2012_8_3'!B609,"AAAAAHd/3GI=")</f>
        <v>#VALUE!</v>
      </c>
      <c r="CV41" t="e">
        <f>AND('Planilla_General_07-12-2012_8_3'!C609,"AAAAAHd/3GM=")</f>
        <v>#VALUE!</v>
      </c>
      <c r="CW41" t="e">
        <f>AND('Planilla_General_07-12-2012_8_3'!D609,"AAAAAHd/3GQ=")</f>
        <v>#VALUE!</v>
      </c>
      <c r="CX41" t="e">
        <f>AND('Planilla_General_07-12-2012_8_3'!E609,"AAAAAHd/3GU=")</f>
        <v>#VALUE!</v>
      </c>
      <c r="CY41" t="e">
        <f>AND('Planilla_General_07-12-2012_8_3'!F609,"AAAAAHd/3GY=")</f>
        <v>#VALUE!</v>
      </c>
      <c r="CZ41" t="e">
        <f>AND('Planilla_General_07-12-2012_8_3'!G609,"AAAAAHd/3Gc=")</f>
        <v>#VALUE!</v>
      </c>
      <c r="DA41" t="e">
        <f>AND('Planilla_General_07-12-2012_8_3'!H609,"AAAAAHd/3Gg=")</f>
        <v>#VALUE!</v>
      </c>
      <c r="DB41" t="e">
        <f>AND('Planilla_General_07-12-2012_8_3'!I609,"AAAAAHd/3Gk=")</f>
        <v>#VALUE!</v>
      </c>
      <c r="DC41" t="e">
        <f>AND('Planilla_General_07-12-2012_8_3'!J609,"AAAAAHd/3Go=")</f>
        <v>#VALUE!</v>
      </c>
      <c r="DD41" t="e">
        <f>AND('Planilla_General_07-12-2012_8_3'!K609,"AAAAAHd/3Gs=")</f>
        <v>#VALUE!</v>
      </c>
      <c r="DE41" t="e">
        <f>AND('Planilla_General_07-12-2012_8_3'!L609,"AAAAAHd/3Gw=")</f>
        <v>#VALUE!</v>
      </c>
      <c r="DF41" t="e">
        <f>AND('Planilla_General_07-12-2012_8_3'!M609,"AAAAAHd/3G0=")</f>
        <v>#VALUE!</v>
      </c>
      <c r="DG41" t="e">
        <f>AND('Planilla_General_07-12-2012_8_3'!N609,"AAAAAHd/3G4=")</f>
        <v>#VALUE!</v>
      </c>
      <c r="DH41" t="e">
        <f>AND('Planilla_General_07-12-2012_8_3'!O609,"AAAAAHd/3G8=")</f>
        <v>#VALUE!</v>
      </c>
      <c r="DI41" t="e">
        <f>AND('Planilla_General_07-12-2012_8_3'!P609,"AAAAAHd/3HA=")</f>
        <v>#VALUE!</v>
      </c>
      <c r="DJ41">
        <f>IF('Planilla_General_07-12-2012_8_3'!610:610,"AAAAAHd/3HE=",0)</f>
        <v>0</v>
      </c>
      <c r="DK41" t="e">
        <f>AND('Planilla_General_07-12-2012_8_3'!A610,"AAAAAHd/3HI=")</f>
        <v>#VALUE!</v>
      </c>
      <c r="DL41" t="e">
        <f>AND('Planilla_General_07-12-2012_8_3'!B610,"AAAAAHd/3HM=")</f>
        <v>#VALUE!</v>
      </c>
      <c r="DM41" t="e">
        <f>AND('Planilla_General_07-12-2012_8_3'!C610,"AAAAAHd/3HQ=")</f>
        <v>#VALUE!</v>
      </c>
      <c r="DN41" t="e">
        <f>AND('Planilla_General_07-12-2012_8_3'!D610,"AAAAAHd/3HU=")</f>
        <v>#VALUE!</v>
      </c>
      <c r="DO41" t="e">
        <f>AND('Planilla_General_07-12-2012_8_3'!E610,"AAAAAHd/3HY=")</f>
        <v>#VALUE!</v>
      </c>
      <c r="DP41" t="e">
        <f>AND('Planilla_General_07-12-2012_8_3'!F610,"AAAAAHd/3Hc=")</f>
        <v>#VALUE!</v>
      </c>
      <c r="DQ41" t="e">
        <f>AND('Planilla_General_07-12-2012_8_3'!G610,"AAAAAHd/3Hg=")</f>
        <v>#VALUE!</v>
      </c>
      <c r="DR41" t="e">
        <f>AND('Planilla_General_07-12-2012_8_3'!H610,"AAAAAHd/3Hk=")</f>
        <v>#VALUE!</v>
      </c>
      <c r="DS41" t="e">
        <f>AND('Planilla_General_07-12-2012_8_3'!I610,"AAAAAHd/3Ho=")</f>
        <v>#VALUE!</v>
      </c>
      <c r="DT41" t="e">
        <f>AND('Planilla_General_07-12-2012_8_3'!J610,"AAAAAHd/3Hs=")</f>
        <v>#VALUE!</v>
      </c>
      <c r="DU41" t="e">
        <f>AND('Planilla_General_07-12-2012_8_3'!K610,"AAAAAHd/3Hw=")</f>
        <v>#VALUE!</v>
      </c>
      <c r="DV41" t="e">
        <f>AND('Planilla_General_07-12-2012_8_3'!L610,"AAAAAHd/3H0=")</f>
        <v>#VALUE!</v>
      </c>
      <c r="DW41" t="e">
        <f>AND('Planilla_General_07-12-2012_8_3'!M610,"AAAAAHd/3H4=")</f>
        <v>#VALUE!</v>
      </c>
      <c r="DX41" t="e">
        <f>AND('Planilla_General_07-12-2012_8_3'!N610,"AAAAAHd/3H8=")</f>
        <v>#VALUE!</v>
      </c>
      <c r="DY41" t="e">
        <f>AND('Planilla_General_07-12-2012_8_3'!O610,"AAAAAHd/3IA=")</f>
        <v>#VALUE!</v>
      </c>
      <c r="DZ41" t="e">
        <f>AND('Planilla_General_07-12-2012_8_3'!P610,"AAAAAHd/3IE=")</f>
        <v>#VALUE!</v>
      </c>
      <c r="EA41">
        <f>IF('Planilla_General_07-12-2012_8_3'!611:611,"AAAAAHd/3II=",0)</f>
        <v>0</v>
      </c>
      <c r="EB41" t="e">
        <f>AND('Planilla_General_07-12-2012_8_3'!A611,"AAAAAHd/3IM=")</f>
        <v>#VALUE!</v>
      </c>
      <c r="EC41" t="e">
        <f>AND('Planilla_General_07-12-2012_8_3'!B611,"AAAAAHd/3IQ=")</f>
        <v>#VALUE!</v>
      </c>
      <c r="ED41" t="e">
        <f>AND('Planilla_General_07-12-2012_8_3'!C611,"AAAAAHd/3IU=")</f>
        <v>#VALUE!</v>
      </c>
      <c r="EE41" t="e">
        <f>AND('Planilla_General_07-12-2012_8_3'!D611,"AAAAAHd/3IY=")</f>
        <v>#VALUE!</v>
      </c>
      <c r="EF41" t="e">
        <f>AND('Planilla_General_07-12-2012_8_3'!E611,"AAAAAHd/3Ic=")</f>
        <v>#VALUE!</v>
      </c>
      <c r="EG41" t="e">
        <f>AND('Planilla_General_07-12-2012_8_3'!F611,"AAAAAHd/3Ig=")</f>
        <v>#VALUE!</v>
      </c>
      <c r="EH41" t="e">
        <f>AND('Planilla_General_07-12-2012_8_3'!G611,"AAAAAHd/3Ik=")</f>
        <v>#VALUE!</v>
      </c>
      <c r="EI41" t="e">
        <f>AND('Planilla_General_07-12-2012_8_3'!H611,"AAAAAHd/3Io=")</f>
        <v>#VALUE!</v>
      </c>
      <c r="EJ41" t="e">
        <f>AND('Planilla_General_07-12-2012_8_3'!I611,"AAAAAHd/3Is=")</f>
        <v>#VALUE!</v>
      </c>
      <c r="EK41" t="e">
        <f>AND('Planilla_General_07-12-2012_8_3'!J611,"AAAAAHd/3Iw=")</f>
        <v>#VALUE!</v>
      </c>
      <c r="EL41" t="e">
        <f>AND('Planilla_General_07-12-2012_8_3'!K611,"AAAAAHd/3I0=")</f>
        <v>#VALUE!</v>
      </c>
      <c r="EM41" t="e">
        <f>AND('Planilla_General_07-12-2012_8_3'!L611,"AAAAAHd/3I4=")</f>
        <v>#VALUE!</v>
      </c>
      <c r="EN41" t="e">
        <f>AND('Planilla_General_07-12-2012_8_3'!M611,"AAAAAHd/3I8=")</f>
        <v>#VALUE!</v>
      </c>
      <c r="EO41" t="e">
        <f>AND('Planilla_General_07-12-2012_8_3'!N611,"AAAAAHd/3JA=")</f>
        <v>#VALUE!</v>
      </c>
      <c r="EP41" t="e">
        <f>AND('Planilla_General_07-12-2012_8_3'!O611,"AAAAAHd/3JE=")</f>
        <v>#VALUE!</v>
      </c>
      <c r="EQ41" t="e">
        <f>AND('Planilla_General_07-12-2012_8_3'!P611,"AAAAAHd/3JI=")</f>
        <v>#VALUE!</v>
      </c>
      <c r="ER41">
        <f>IF('Planilla_General_07-12-2012_8_3'!612:612,"AAAAAHd/3JM=",0)</f>
        <v>0</v>
      </c>
      <c r="ES41" t="e">
        <f>AND('Planilla_General_07-12-2012_8_3'!A612,"AAAAAHd/3JQ=")</f>
        <v>#VALUE!</v>
      </c>
      <c r="ET41" t="e">
        <f>AND('Planilla_General_07-12-2012_8_3'!B612,"AAAAAHd/3JU=")</f>
        <v>#VALUE!</v>
      </c>
      <c r="EU41" t="e">
        <f>AND('Planilla_General_07-12-2012_8_3'!C612,"AAAAAHd/3JY=")</f>
        <v>#VALUE!</v>
      </c>
      <c r="EV41" t="e">
        <f>AND('Planilla_General_07-12-2012_8_3'!D612,"AAAAAHd/3Jc=")</f>
        <v>#VALUE!</v>
      </c>
      <c r="EW41" t="e">
        <f>AND('Planilla_General_07-12-2012_8_3'!E612,"AAAAAHd/3Jg=")</f>
        <v>#VALUE!</v>
      </c>
      <c r="EX41" t="e">
        <f>AND('Planilla_General_07-12-2012_8_3'!F612,"AAAAAHd/3Jk=")</f>
        <v>#VALUE!</v>
      </c>
      <c r="EY41" t="e">
        <f>AND('Planilla_General_07-12-2012_8_3'!G612,"AAAAAHd/3Jo=")</f>
        <v>#VALUE!</v>
      </c>
      <c r="EZ41" t="e">
        <f>AND('Planilla_General_07-12-2012_8_3'!H612,"AAAAAHd/3Js=")</f>
        <v>#VALUE!</v>
      </c>
      <c r="FA41" t="e">
        <f>AND('Planilla_General_07-12-2012_8_3'!I612,"AAAAAHd/3Jw=")</f>
        <v>#VALUE!</v>
      </c>
      <c r="FB41" t="e">
        <f>AND('Planilla_General_07-12-2012_8_3'!J612,"AAAAAHd/3J0=")</f>
        <v>#VALUE!</v>
      </c>
      <c r="FC41" t="e">
        <f>AND('Planilla_General_07-12-2012_8_3'!K612,"AAAAAHd/3J4=")</f>
        <v>#VALUE!</v>
      </c>
      <c r="FD41" t="e">
        <f>AND('Planilla_General_07-12-2012_8_3'!L612,"AAAAAHd/3J8=")</f>
        <v>#VALUE!</v>
      </c>
      <c r="FE41" t="e">
        <f>AND('Planilla_General_07-12-2012_8_3'!M612,"AAAAAHd/3KA=")</f>
        <v>#VALUE!</v>
      </c>
      <c r="FF41" t="e">
        <f>AND('Planilla_General_07-12-2012_8_3'!N612,"AAAAAHd/3KE=")</f>
        <v>#VALUE!</v>
      </c>
      <c r="FG41" t="e">
        <f>AND('Planilla_General_07-12-2012_8_3'!O612,"AAAAAHd/3KI=")</f>
        <v>#VALUE!</v>
      </c>
      <c r="FH41" t="e">
        <f>AND('Planilla_General_07-12-2012_8_3'!P612,"AAAAAHd/3KM=")</f>
        <v>#VALUE!</v>
      </c>
      <c r="FI41">
        <f>IF('Planilla_General_07-12-2012_8_3'!613:613,"AAAAAHd/3KQ=",0)</f>
        <v>0</v>
      </c>
      <c r="FJ41" t="e">
        <f>AND('Planilla_General_07-12-2012_8_3'!A613,"AAAAAHd/3KU=")</f>
        <v>#VALUE!</v>
      </c>
      <c r="FK41" t="e">
        <f>AND('Planilla_General_07-12-2012_8_3'!B613,"AAAAAHd/3KY=")</f>
        <v>#VALUE!</v>
      </c>
      <c r="FL41" t="e">
        <f>AND('Planilla_General_07-12-2012_8_3'!C613,"AAAAAHd/3Kc=")</f>
        <v>#VALUE!</v>
      </c>
      <c r="FM41" t="e">
        <f>AND('Planilla_General_07-12-2012_8_3'!D613,"AAAAAHd/3Kg=")</f>
        <v>#VALUE!</v>
      </c>
      <c r="FN41" t="e">
        <f>AND('Planilla_General_07-12-2012_8_3'!E613,"AAAAAHd/3Kk=")</f>
        <v>#VALUE!</v>
      </c>
      <c r="FO41" t="e">
        <f>AND('Planilla_General_07-12-2012_8_3'!F613,"AAAAAHd/3Ko=")</f>
        <v>#VALUE!</v>
      </c>
      <c r="FP41" t="e">
        <f>AND('Planilla_General_07-12-2012_8_3'!G613,"AAAAAHd/3Ks=")</f>
        <v>#VALUE!</v>
      </c>
      <c r="FQ41" t="e">
        <f>AND('Planilla_General_07-12-2012_8_3'!H613,"AAAAAHd/3Kw=")</f>
        <v>#VALUE!</v>
      </c>
      <c r="FR41" t="e">
        <f>AND('Planilla_General_07-12-2012_8_3'!I613,"AAAAAHd/3K0=")</f>
        <v>#VALUE!</v>
      </c>
      <c r="FS41" t="e">
        <f>AND('Planilla_General_07-12-2012_8_3'!J613,"AAAAAHd/3K4=")</f>
        <v>#VALUE!</v>
      </c>
      <c r="FT41" t="e">
        <f>AND('Planilla_General_07-12-2012_8_3'!K613,"AAAAAHd/3K8=")</f>
        <v>#VALUE!</v>
      </c>
      <c r="FU41" t="e">
        <f>AND('Planilla_General_07-12-2012_8_3'!L613,"AAAAAHd/3LA=")</f>
        <v>#VALUE!</v>
      </c>
      <c r="FV41" t="e">
        <f>AND('Planilla_General_07-12-2012_8_3'!M613,"AAAAAHd/3LE=")</f>
        <v>#VALUE!</v>
      </c>
      <c r="FW41" t="e">
        <f>AND('Planilla_General_07-12-2012_8_3'!N613,"AAAAAHd/3LI=")</f>
        <v>#VALUE!</v>
      </c>
      <c r="FX41" t="e">
        <f>AND('Planilla_General_07-12-2012_8_3'!O613,"AAAAAHd/3LM=")</f>
        <v>#VALUE!</v>
      </c>
      <c r="FY41" t="e">
        <f>AND('Planilla_General_07-12-2012_8_3'!P613,"AAAAAHd/3LQ=")</f>
        <v>#VALUE!</v>
      </c>
      <c r="FZ41">
        <f>IF('Planilla_General_07-12-2012_8_3'!614:614,"AAAAAHd/3LU=",0)</f>
        <v>0</v>
      </c>
      <c r="GA41" t="e">
        <f>AND('Planilla_General_07-12-2012_8_3'!A614,"AAAAAHd/3LY=")</f>
        <v>#VALUE!</v>
      </c>
      <c r="GB41" t="e">
        <f>AND('Planilla_General_07-12-2012_8_3'!B614,"AAAAAHd/3Lc=")</f>
        <v>#VALUE!</v>
      </c>
      <c r="GC41" t="e">
        <f>AND('Planilla_General_07-12-2012_8_3'!C614,"AAAAAHd/3Lg=")</f>
        <v>#VALUE!</v>
      </c>
      <c r="GD41" t="e">
        <f>AND('Planilla_General_07-12-2012_8_3'!D614,"AAAAAHd/3Lk=")</f>
        <v>#VALUE!</v>
      </c>
      <c r="GE41" t="e">
        <f>AND('Planilla_General_07-12-2012_8_3'!E614,"AAAAAHd/3Lo=")</f>
        <v>#VALUE!</v>
      </c>
      <c r="GF41" t="e">
        <f>AND('Planilla_General_07-12-2012_8_3'!F614,"AAAAAHd/3Ls=")</f>
        <v>#VALUE!</v>
      </c>
      <c r="GG41" t="e">
        <f>AND('Planilla_General_07-12-2012_8_3'!G614,"AAAAAHd/3Lw=")</f>
        <v>#VALUE!</v>
      </c>
      <c r="GH41" t="e">
        <f>AND('Planilla_General_07-12-2012_8_3'!H614,"AAAAAHd/3L0=")</f>
        <v>#VALUE!</v>
      </c>
      <c r="GI41" t="e">
        <f>AND('Planilla_General_07-12-2012_8_3'!I614,"AAAAAHd/3L4=")</f>
        <v>#VALUE!</v>
      </c>
      <c r="GJ41" t="e">
        <f>AND('Planilla_General_07-12-2012_8_3'!J614,"AAAAAHd/3L8=")</f>
        <v>#VALUE!</v>
      </c>
      <c r="GK41" t="e">
        <f>AND('Planilla_General_07-12-2012_8_3'!K614,"AAAAAHd/3MA=")</f>
        <v>#VALUE!</v>
      </c>
      <c r="GL41" t="e">
        <f>AND('Planilla_General_07-12-2012_8_3'!L614,"AAAAAHd/3ME=")</f>
        <v>#VALUE!</v>
      </c>
      <c r="GM41" t="e">
        <f>AND('Planilla_General_07-12-2012_8_3'!M614,"AAAAAHd/3MI=")</f>
        <v>#VALUE!</v>
      </c>
      <c r="GN41" t="e">
        <f>AND('Planilla_General_07-12-2012_8_3'!N614,"AAAAAHd/3MM=")</f>
        <v>#VALUE!</v>
      </c>
      <c r="GO41" t="e">
        <f>AND('Planilla_General_07-12-2012_8_3'!O614,"AAAAAHd/3MQ=")</f>
        <v>#VALUE!</v>
      </c>
      <c r="GP41" t="e">
        <f>AND('Planilla_General_07-12-2012_8_3'!P614,"AAAAAHd/3MU=")</f>
        <v>#VALUE!</v>
      </c>
      <c r="GQ41">
        <f>IF('Planilla_General_07-12-2012_8_3'!615:615,"AAAAAHd/3MY=",0)</f>
        <v>0</v>
      </c>
      <c r="GR41" t="e">
        <f>AND('Planilla_General_07-12-2012_8_3'!A615,"AAAAAHd/3Mc=")</f>
        <v>#VALUE!</v>
      </c>
      <c r="GS41" t="e">
        <f>AND('Planilla_General_07-12-2012_8_3'!B615,"AAAAAHd/3Mg=")</f>
        <v>#VALUE!</v>
      </c>
      <c r="GT41" t="e">
        <f>AND('Planilla_General_07-12-2012_8_3'!C615,"AAAAAHd/3Mk=")</f>
        <v>#VALUE!</v>
      </c>
      <c r="GU41" t="e">
        <f>AND('Planilla_General_07-12-2012_8_3'!D615,"AAAAAHd/3Mo=")</f>
        <v>#VALUE!</v>
      </c>
      <c r="GV41" t="e">
        <f>AND('Planilla_General_07-12-2012_8_3'!E615,"AAAAAHd/3Ms=")</f>
        <v>#VALUE!</v>
      </c>
      <c r="GW41" t="e">
        <f>AND('Planilla_General_07-12-2012_8_3'!F615,"AAAAAHd/3Mw=")</f>
        <v>#VALUE!</v>
      </c>
      <c r="GX41" t="e">
        <f>AND('Planilla_General_07-12-2012_8_3'!G615,"AAAAAHd/3M0=")</f>
        <v>#VALUE!</v>
      </c>
      <c r="GY41" t="e">
        <f>AND('Planilla_General_07-12-2012_8_3'!H615,"AAAAAHd/3M4=")</f>
        <v>#VALUE!</v>
      </c>
      <c r="GZ41" t="e">
        <f>AND('Planilla_General_07-12-2012_8_3'!I615,"AAAAAHd/3M8=")</f>
        <v>#VALUE!</v>
      </c>
      <c r="HA41" t="e">
        <f>AND('Planilla_General_07-12-2012_8_3'!J615,"AAAAAHd/3NA=")</f>
        <v>#VALUE!</v>
      </c>
      <c r="HB41" t="e">
        <f>AND('Planilla_General_07-12-2012_8_3'!K615,"AAAAAHd/3NE=")</f>
        <v>#VALUE!</v>
      </c>
      <c r="HC41" t="e">
        <f>AND('Planilla_General_07-12-2012_8_3'!L615,"AAAAAHd/3NI=")</f>
        <v>#VALUE!</v>
      </c>
      <c r="HD41" t="e">
        <f>AND('Planilla_General_07-12-2012_8_3'!M615,"AAAAAHd/3NM=")</f>
        <v>#VALUE!</v>
      </c>
      <c r="HE41" t="e">
        <f>AND('Planilla_General_07-12-2012_8_3'!N615,"AAAAAHd/3NQ=")</f>
        <v>#VALUE!</v>
      </c>
      <c r="HF41" t="e">
        <f>AND('Planilla_General_07-12-2012_8_3'!O615,"AAAAAHd/3NU=")</f>
        <v>#VALUE!</v>
      </c>
      <c r="HG41" t="e">
        <f>AND('Planilla_General_07-12-2012_8_3'!P615,"AAAAAHd/3NY=")</f>
        <v>#VALUE!</v>
      </c>
      <c r="HH41">
        <f>IF('Planilla_General_07-12-2012_8_3'!616:616,"AAAAAHd/3Nc=",0)</f>
        <v>0</v>
      </c>
      <c r="HI41" t="e">
        <f>AND('Planilla_General_07-12-2012_8_3'!A616,"AAAAAHd/3Ng=")</f>
        <v>#VALUE!</v>
      </c>
      <c r="HJ41" t="e">
        <f>AND('Planilla_General_07-12-2012_8_3'!B616,"AAAAAHd/3Nk=")</f>
        <v>#VALUE!</v>
      </c>
      <c r="HK41" t="e">
        <f>AND('Planilla_General_07-12-2012_8_3'!C616,"AAAAAHd/3No=")</f>
        <v>#VALUE!</v>
      </c>
      <c r="HL41" t="e">
        <f>AND('Planilla_General_07-12-2012_8_3'!D616,"AAAAAHd/3Ns=")</f>
        <v>#VALUE!</v>
      </c>
      <c r="HM41" t="e">
        <f>AND('Planilla_General_07-12-2012_8_3'!E616,"AAAAAHd/3Nw=")</f>
        <v>#VALUE!</v>
      </c>
      <c r="HN41" t="e">
        <f>AND('Planilla_General_07-12-2012_8_3'!F616,"AAAAAHd/3N0=")</f>
        <v>#VALUE!</v>
      </c>
      <c r="HO41" t="e">
        <f>AND('Planilla_General_07-12-2012_8_3'!G616,"AAAAAHd/3N4=")</f>
        <v>#VALUE!</v>
      </c>
      <c r="HP41" t="e">
        <f>AND('Planilla_General_07-12-2012_8_3'!H616,"AAAAAHd/3N8=")</f>
        <v>#VALUE!</v>
      </c>
      <c r="HQ41" t="e">
        <f>AND('Planilla_General_07-12-2012_8_3'!I616,"AAAAAHd/3OA=")</f>
        <v>#VALUE!</v>
      </c>
      <c r="HR41" t="e">
        <f>AND('Planilla_General_07-12-2012_8_3'!J616,"AAAAAHd/3OE=")</f>
        <v>#VALUE!</v>
      </c>
      <c r="HS41" t="e">
        <f>AND('Planilla_General_07-12-2012_8_3'!K616,"AAAAAHd/3OI=")</f>
        <v>#VALUE!</v>
      </c>
      <c r="HT41" t="e">
        <f>AND('Planilla_General_07-12-2012_8_3'!L616,"AAAAAHd/3OM=")</f>
        <v>#VALUE!</v>
      </c>
      <c r="HU41" t="e">
        <f>AND('Planilla_General_07-12-2012_8_3'!M616,"AAAAAHd/3OQ=")</f>
        <v>#VALUE!</v>
      </c>
      <c r="HV41" t="e">
        <f>AND('Planilla_General_07-12-2012_8_3'!N616,"AAAAAHd/3OU=")</f>
        <v>#VALUE!</v>
      </c>
      <c r="HW41" t="e">
        <f>AND('Planilla_General_07-12-2012_8_3'!O616,"AAAAAHd/3OY=")</f>
        <v>#VALUE!</v>
      </c>
      <c r="HX41" t="e">
        <f>AND('Planilla_General_07-12-2012_8_3'!P616,"AAAAAHd/3Oc=")</f>
        <v>#VALUE!</v>
      </c>
      <c r="HY41">
        <f>IF('Planilla_General_07-12-2012_8_3'!617:617,"AAAAAHd/3Og=",0)</f>
        <v>0</v>
      </c>
      <c r="HZ41" t="e">
        <f>AND('Planilla_General_07-12-2012_8_3'!A617,"AAAAAHd/3Ok=")</f>
        <v>#VALUE!</v>
      </c>
      <c r="IA41" t="e">
        <f>AND('Planilla_General_07-12-2012_8_3'!B617,"AAAAAHd/3Oo=")</f>
        <v>#VALUE!</v>
      </c>
      <c r="IB41" t="e">
        <f>AND('Planilla_General_07-12-2012_8_3'!C617,"AAAAAHd/3Os=")</f>
        <v>#VALUE!</v>
      </c>
      <c r="IC41" t="e">
        <f>AND('Planilla_General_07-12-2012_8_3'!D617,"AAAAAHd/3Ow=")</f>
        <v>#VALUE!</v>
      </c>
      <c r="ID41" t="e">
        <f>AND('Planilla_General_07-12-2012_8_3'!E617,"AAAAAHd/3O0=")</f>
        <v>#VALUE!</v>
      </c>
      <c r="IE41" t="e">
        <f>AND('Planilla_General_07-12-2012_8_3'!F617,"AAAAAHd/3O4=")</f>
        <v>#VALUE!</v>
      </c>
      <c r="IF41" t="e">
        <f>AND('Planilla_General_07-12-2012_8_3'!G617,"AAAAAHd/3O8=")</f>
        <v>#VALUE!</v>
      </c>
      <c r="IG41" t="e">
        <f>AND('Planilla_General_07-12-2012_8_3'!H617,"AAAAAHd/3PA=")</f>
        <v>#VALUE!</v>
      </c>
      <c r="IH41" t="e">
        <f>AND('Planilla_General_07-12-2012_8_3'!I617,"AAAAAHd/3PE=")</f>
        <v>#VALUE!</v>
      </c>
      <c r="II41" t="e">
        <f>AND('Planilla_General_07-12-2012_8_3'!J617,"AAAAAHd/3PI=")</f>
        <v>#VALUE!</v>
      </c>
      <c r="IJ41" t="e">
        <f>AND('Planilla_General_07-12-2012_8_3'!K617,"AAAAAHd/3PM=")</f>
        <v>#VALUE!</v>
      </c>
      <c r="IK41" t="e">
        <f>AND('Planilla_General_07-12-2012_8_3'!L617,"AAAAAHd/3PQ=")</f>
        <v>#VALUE!</v>
      </c>
      <c r="IL41" t="e">
        <f>AND('Planilla_General_07-12-2012_8_3'!M617,"AAAAAHd/3PU=")</f>
        <v>#VALUE!</v>
      </c>
      <c r="IM41" t="e">
        <f>AND('Planilla_General_07-12-2012_8_3'!N617,"AAAAAHd/3PY=")</f>
        <v>#VALUE!</v>
      </c>
      <c r="IN41" t="e">
        <f>AND('Planilla_General_07-12-2012_8_3'!O617,"AAAAAHd/3Pc=")</f>
        <v>#VALUE!</v>
      </c>
      <c r="IO41" t="e">
        <f>AND('Planilla_General_07-12-2012_8_3'!P617,"AAAAAHd/3Pg=")</f>
        <v>#VALUE!</v>
      </c>
      <c r="IP41">
        <f>IF('Planilla_General_07-12-2012_8_3'!618:618,"AAAAAHd/3Pk=",0)</f>
        <v>0</v>
      </c>
      <c r="IQ41" t="e">
        <f>AND('Planilla_General_07-12-2012_8_3'!A618,"AAAAAHd/3Po=")</f>
        <v>#VALUE!</v>
      </c>
      <c r="IR41" t="e">
        <f>AND('Planilla_General_07-12-2012_8_3'!B618,"AAAAAHd/3Ps=")</f>
        <v>#VALUE!</v>
      </c>
      <c r="IS41" t="e">
        <f>AND('Planilla_General_07-12-2012_8_3'!C618,"AAAAAHd/3Pw=")</f>
        <v>#VALUE!</v>
      </c>
      <c r="IT41" t="e">
        <f>AND('Planilla_General_07-12-2012_8_3'!D618,"AAAAAHd/3P0=")</f>
        <v>#VALUE!</v>
      </c>
      <c r="IU41" t="e">
        <f>AND('Planilla_General_07-12-2012_8_3'!E618,"AAAAAHd/3P4=")</f>
        <v>#VALUE!</v>
      </c>
      <c r="IV41" t="e">
        <f>AND('Planilla_General_07-12-2012_8_3'!F618,"AAAAAHd/3P8=")</f>
        <v>#VALUE!</v>
      </c>
    </row>
    <row r="42" spans="1:256" x14ac:dyDescent="0.25">
      <c r="A42" t="e">
        <f>AND('Planilla_General_07-12-2012_8_3'!G618,"AAAAAH393wA=")</f>
        <v>#VALUE!</v>
      </c>
      <c r="B42" t="e">
        <f>AND('Planilla_General_07-12-2012_8_3'!H618,"AAAAAH393wE=")</f>
        <v>#VALUE!</v>
      </c>
      <c r="C42" t="e">
        <f>AND('Planilla_General_07-12-2012_8_3'!I618,"AAAAAH393wI=")</f>
        <v>#VALUE!</v>
      </c>
      <c r="D42" t="e">
        <f>AND('Planilla_General_07-12-2012_8_3'!J618,"AAAAAH393wM=")</f>
        <v>#VALUE!</v>
      </c>
      <c r="E42" t="e">
        <f>AND('Planilla_General_07-12-2012_8_3'!K618,"AAAAAH393wQ=")</f>
        <v>#VALUE!</v>
      </c>
      <c r="F42" t="e">
        <f>AND('Planilla_General_07-12-2012_8_3'!L618,"AAAAAH393wU=")</f>
        <v>#VALUE!</v>
      </c>
      <c r="G42" t="e">
        <f>AND('Planilla_General_07-12-2012_8_3'!M618,"AAAAAH393wY=")</f>
        <v>#VALUE!</v>
      </c>
      <c r="H42" t="e">
        <f>AND('Planilla_General_07-12-2012_8_3'!N618,"AAAAAH393wc=")</f>
        <v>#VALUE!</v>
      </c>
      <c r="I42" t="e">
        <f>AND('Planilla_General_07-12-2012_8_3'!O618,"AAAAAH393wg=")</f>
        <v>#VALUE!</v>
      </c>
      <c r="J42" t="e">
        <f>AND('Planilla_General_07-12-2012_8_3'!P618,"AAAAAH393wk=")</f>
        <v>#VALUE!</v>
      </c>
      <c r="K42" t="str">
        <f>IF('Planilla_General_07-12-2012_8_3'!619:619,"AAAAAH393wo=",0)</f>
        <v>AAAAAH393wo=</v>
      </c>
      <c r="L42" t="e">
        <f>AND('Planilla_General_07-12-2012_8_3'!A619,"AAAAAH393ws=")</f>
        <v>#VALUE!</v>
      </c>
      <c r="M42" t="e">
        <f>AND('Planilla_General_07-12-2012_8_3'!B619,"AAAAAH393ww=")</f>
        <v>#VALUE!</v>
      </c>
      <c r="N42" t="e">
        <f>AND('Planilla_General_07-12-2012_8_3'!C619,"AAAAAH393w0=")</f>
        <v>#VALUE!</v>
      </c>
      <c r="O42" t="e">
        <f>AND('Planilla_General_07-12-2012_8_3'!D619,"AAAAAH393w4=")</f>
        <v>#VALUE!</v>
      </c>
      <c r="P42" t="e">
        <f>AND('Planilla_General_07-12-2012_8_3'!E619,"AAAAAH393w8=")</f>
        <v>#VALUE!</v>
      </c>
      <c r="Q42" t="e">
        <f>AND('Planilla_General_07-12-2012_8_3'!F619,"AAAAAH393xA=")</f>
        <v>#VALUE!</v>
      </c>
      <c r="R42" t="e">
        <f>AND('Planilla_General_07-12-2012_8_3'!G619,"AAAAAH393xE=")</f>
        <v>#VALUE!</v>
      </c>
      <c r="S42" t="e">
        <f>AND('Planilla_General_07-12-2012_8_3'!H619,"AAAAAH393xI=")</f>
        <v>#VALUE!</v>
      </c>
      <c r="T42" t="e">
        <f>AND('Planilla_General_07-12-2012_8_3'!I619,"AAAAAH393xM=")</f>
        <v>#VALUE!</v>
      </c>
      <c r="U42" t="e">
        <f>AND('Planilla_General_07-12-2012_8_3'!J619,"AAAAAH393xQ=")</f>
        <v>#VALUE!</v>
      </c>
      <c r="V42" t="e">
        <f>AND('Planilla_General_07-12-2012_8_3'!K619,"AAAAAH393xU=")</f>
        <v>#VALUE!</v>
      </c>
      <c r="W42" t="e">
        <f>AND('Planilla_General_07-12-2012_8_3'!L619,"AAAAAH393xY=")</f>
        <v>#VALUE!</v>
      </c>
      <c r="X42" t="e">
        <f>AND('Planilla_General_07-12-2012_8_3'!M619,"AAAAAH393xc=")</f>
        <v>#VALUE!</v>
      </c>
      <c r="Y42" t="e">
        <f>AND('Planilla_General_07-12-2012_8_3'!N619,"AAAAAH393xg=")</f>
        <v>#VALUE!</v>
      </c>
      <c r="Z42" t="e">
        <f>AND('Planilla_General_07-12-2012_8_3'!O619,"AAAAAH393xk=")</f>
        <v>#VALUE!</v>
      </c>
      <c r="AA42" t="e">
        <f>AND('Planilla_General_07-12-2012_8_3'!P619,"AAAAAH393xo=")</f>
        <v>#VALUE!</v>
      </c>
      <c r="AB42">
        <f>IF('Planilla_General_07-12-2012_8_3'!620:620,"AAAAAH393xs=",0)</f>
        <v>0</v>
      </c>
      <c r="AC42" t="e">
        <f>AND('Planilla_General_07-12-2012_8_3'!A620,"AAAAAH393xw=")</f>
        <v>#VALUE!</v>
      </c>
      <c r="AD42" t="e">
        <f>AND('Planilla_General_07-12-2012_8_3'!B620,"AAAAAH393x0=")</f>
        <v>#VALUE!</v>
      </c>
      <c r="AE42" t="e">
        <f>AND('Planilla_General_07-12-2012_8_3'!C620,"AAAAAH393x4=")</f>
        <v>#VALUE!</v>
      </c>
      <c r="AF42" t="e">
        <f>AND('Planilla_General_07-12-2012_8_3'!D620,"AAAAAH393x8=")</f>
        <v>#VALUE!</v>
      </c>
      <c r="AG42" t="e">
        <f>AND('Planilla_General_07-12-2012_8_3'!E620,"AAAAAH393yA=")</f>
        <v>#VALUE!</v>
      </c>
      <c r="AH42" t="e">
        <f>AND('Planilla_General_07-12-2012_8_3'!F620,"AAAAAH393yE=")</f>
        <v>#VALUE!</v>
      </c>
      <c r="AI42" t="e">
        <f>AND('Planilla_General_07-12-2012_8_3'!G620,"AAAAAH393yI=")</f>
        <v>#VALUE!</v>
      </c>
      <c r="AJ42" t="e">
        <f>AND('Planilla_General_07-12-2012_8_3'!H620,"AAAAAH393yM=")</f>
        <v>#VALUE!</v>
      </c>
      <c r="AK42" t="e">
        <f>AND('Planilla_General_07-12-2012_8_3'!I620,"AAAAAH393yQ=")</f>
        <v>#VALUE!</v>
      </c>
      <c r="AL42" t="e">
        <f>AND('Planilla_General_07-12-2012_8_3'!J620,"AAAAAH393yU=")</f>
        <v>#VALUE!</v>
      </c>
      <c r="AM42" t="e">
        <f>AND('Planilla_General_07-12-2012_8_3'!K620,"AAAAAH393yY=")</f>
        <v>#VALUE!</v>
      </c>
      <c r="AN42" t="e">
        <f>AND('Planilla_General_07-12-2012_8_3'!L620,"AAAAAH393yc=")</f>
        <v>#VALUE!</v>
      </c>
      <c r="AO42" t="e">
        <f>AND('Planilla_General_07-12-2012_8_3'!M620,"AAAAAH393yg=")</f>
        <v>#VALUE!</v>
      </c>
      <c r="AP42" t="e">
        <f>AND('Planilla_General_07-12-2012_8_3'!N620,"AAAAAH393yk=")</f>
        <v>#VALUE!</v>
      </c>
      <c r="AQ42" t="e">
        <f>AND('Planilla_General_07-12-2012_8_3'!O620,"AAAAAH393yo=")</f>
        <v>#VALUE!</v>
      </c>
      <c r="AR42" t="e">
        <f>AND('Planilla_General_07-12-2012_8_3'!P620,"AAAAAH393ys=")</f>
        <v>#VALUE!</v>
      </c>
      <c r="AS42">
        <f>IF('Planilla_General_07-12-2012_8_3'!621:621,"AAAAAH393yw=",0)</f>
        <v>0</v>
      </c>
      <c r="AT42" t="e">
        <f>AND('Planilla_General_07-12-2012_8_3'!A621,"AAAAAH393y0=")</f>
        <v>#VALUE!</v>
      </c>
      <c r="AU42" t="e">
        <f>AND('Planilla_General_07-12-2012_8_3'!B621,"AAAAAH393y4=")</f>
        <v>#VALUE!</v>
      </c>
      <c r="AV42" t="e">
        <f>AND('Planilla_General_07-12-2012_8_3'!C621,"AAAAAH393y8=")</f>
        <v>#VALUE!</v>
      </c>
      <c r="AW42" t="e">
        <f>AND('Planilla_General_07-12-2012_8_3'!D621,"AAAAAH393zA=")</f>
        <v>#VALUE!</v>
      </c>
      <c r="AX42" t="e">
        <f>AND('Planilla_General_07-12-2012_8_3'!E621,"AAAAAH393zE=")</f>
        <v>#VALUE!</v>
      </c>
      <c r="AY42" t="e">
        <f>AND('Planilla_General_07-12-2012_8_3'!F621,"AAAAAH393zI=")</f>
        <v>#VALUE!</v>
      </c>
      <c r="AZ42" t="e">
        <f>AND('Planilla_General_07-12-2012_8_3'!G621,"AAAAAH393zM=")</f>
        <v>#VALUE!</v>
      </c>
      <c r="BA42" t="e">
        <f>AND('Planilla_General_07-12-2012_8_3'!H621,"AAAAAH393zQ=")</f>
        <v>#VALUE!</v>
      </c>
      <c r="BB42" t="e">
        <f>AND('Planilla_General_07-12-2012_8_3'!I621,"AAAAAH393zU=")</f>
        <v>#VALUE!</v>
      </c>
      <c r="BC42" t="e">
        <f>AND('Planilla_General_07-12-2012_8_3'!J621,"AAAAAH393zY=")</f>
        <v>#VALUE!</v>
      </c>
      <c r="BD42" t="e">
        <f>AND('Planilla_General_07-12-2012_8_3'!K621,"AAAAAH393zc=")</f>
        <v>#VALUE!</v>
      </c>
      <c r="BE42" t="e">
        <f>AND('Planilla_General_07-12-2012_8_3'!L621,"AAAAAH393zg=")</f>
        <v>#VALUE!</v>
      </c>
      <c r="BF42" t="e">
        <f>AND('Planilla_General_07-12-2012_8_3'!M621,"AAAAAH393zk=")</f>
        <v>#VALUE!</v>
      </c>
      <c r="BG42" t="e">
        <f>AND('Planilla_General_07-12-2012_8_3'!N621,"AAAAAH393zo=")</f>
        <v>#VALUE!</v>
      </c>
      <c r="BH42" t="e">
        <f>AND('Planilla_General_07-12-2012_8_3'!O621,"AAAAAH393zs=")</f>
        <v>#VALUE!</v>
      </c>
      <c r="BI42" t="e">
        <f>AND('Planilla_General_07-12-2012_8_3'!P621,"AAAAAH393zw=")</f>
        <v>#VALUE!</v>
      </c>
      <c r="BJ42">
        <f>IF('Planilla_General_07-12-2012_8_3'!622:622,"AAAAAH393z0=",0)</f>
        <v>0</v>
      </c>
      <c r="BK42" t="e">
        <f>AND('Planilla_General_07-12-2012_8_3'!A622,"AAAAAH393z4=")</f>
        <v>#VALUE!</v>
      </c>
      <c r="BL42" t="e">
        <f>AND('Planilla_General_07-12-2012_8_3'!B622,"AAAAAH393z8=")</f>
        <v>#VALUE!</v>
      </c>
      <c r="BM42" t="e">
        <f>AND('Planilla_General_07-12-2012_8_3'!C622,"AAAAAH3930A=")</f>
        <v>#VALUE!</v>
      </c>
      <c r="BN42" t="e">
        <f>AND('Planilla_General_07-12-2012_8_3'!D622,"AAAAAH3930E=")</f>
        <v>#VALUE!</v>
      </c>
      <c r="BO42" t="e">
        <f>AND('Planilla_General_07-12-2012_8_3'!E622,"AAAAAH3930I=")</f>
        <v>#VALUE!</v>
      </c>
      <c r="BP42" t="e">
        <f>AND('Planilla_General_07-12-2012_8_3'!F622,"AAAAAH3930M=")</f>
        <v>#VALUE!</v>
      </c>
      <c r="BQ42" t="e">
        <f>AND('Planilla_General_07-12-2012_8_3'!G622,"AAAAAH3930Q=")</f>
        <v>#VALUE!</v>
      </c>
      <c r="BR42" t="e">
        <f>AND('Planilla_General_07-12-2012_8_3'!H622,"AAAAAH3930U=")</f>
        <v>#VALUE!</v>
      </c>
      <c r="BS42" t="e">
        <f>AND('Planilla_General_07-12-2012_8_3'!I622,"AAAAAH3930Y=")</f>
        <v>#VALUE!</v>
      </c>
      <c r="BT42" t="e">
        <f>AND('Planilla_General_07-12-2012_8_3'!J622,"AAAAAH3930c=")</f>
        <v>#VALUE!</v>
      </c>
      <c r="BU42" t="e">
        <f>AND('Planilla_General_07-12-2012_8_3'!K622,"AAAAAH3930g=")</f>
        <v>#VALUE!</v>
      </c>
      <c r="BV42" t="e">
        <f>AND('Planilla_General_07-12-2012_8_3'!L622,"AAAAAH3930k=")</f>
        <v>#VALUE!</v>
      </c>
      <c r="BW42" t="e">
        <f>AND('Planilla_General_07-12-2012_8_3'!M622,"AAAAAH3930o=")</f>
        <v>#VALUE!</v>
      </c>
      <c r="BX42" t="e">
        <f>AND('Planilla_General_07-12-2012_8_3'!N622,"AAAAAH3930s=")</f>
        <v>#VALUE!</v>
      </c>
      <c r="BY42" t="e">
        <f>AND('Planilla_General_07-12-2012_8_3'!O622,"AAAAAH3930w=")</f>
        <v>#VALUE!</v>
      </c>
      <c r="BZ42" t="e">
        <f>AND('Planilla_General_07-12-2012_8_3'!P622,"AAAAAH39300=")</f>
        <v>#VALUE!</v>
      </c>
      <c r="CA42">
        <f>IF('Planilla_General_07-12-2012_8_3'!623:623,"AAAAAH39304=",0)</f>
        <v>0</v>
      </c>
      <c r="CB42" t="e">
        <f>AND('Planilla_General_07-12-2012_8_3'!A623,"AAAAAH39308=")</f>
        <v>#VALUE!</v>
      </c>
      <c r="CC42" t="e">
        <f>AND('Planilla_General_07-12-2012_8_3'!B623,"AAAAAH3931A=")</f>
        <v>#VALUE!</v>
      </c>
      <c r="CD42" t="e">
        <f>AND('Planilla_General_07-12-2012_8_3'!C623,"AAAAAH3931E=")</f>
        <v>#VALUE!</v>
      </c>
      <c r="CE42" t="e">
        <f>AND('Planilla_General_07-12-2012_8_3'!D623,"AAAAAH3931I=")</f>
        <v>#VALUE!</v>
      </c>
      <c r="CF42" t="e">
        <f>AND('Planilla_General_07-12-2012_8_3'!E623,"AAAAAH3931M=")</f>
        <v>#VALUE!</v>
      </c>
      <c r="CG42" t="e">
        <f>AND('Planilla_General_07-12-2012_8_3'!F623,"AAAAAH3931Q=")</f>
        <v>#VALUE!</v>
      </c>
      <c r="CH42" t="e">
        <f>AND('Planilla_General_07-12-2012_8_3'!G623,"AAAAAH3931U=")</f>
        <v>#VALUE!</v>
      </c>
      <c r="CI42" t="e">
        <f>AND('Planilla_General_07-12-2012_8_3'!H623,"AAAAAH3931Y=")</f>
        <v>#VALUE!</v>
      </c>
      <c r="CJ42" t="e">
        <f>AND('Planilla_General_07-12-2012_8_3'!I623,"AAAAAH3931c=")</f>
        <v>#VALUE!</v>
      </c>
      <c r="CK42" t="e">
        <f>AND('Planilla_General_07-12-2012_8_3'!J623,"AAAAAH3931g=")</f>
        <v>#VALUE!</v>
      </c>
      <c r="CL42" t="e">
        <f>AND('Planilla_General_07-12-2012_8_3'!K623,"AAAAAH3931k=")</f>
        <v>#VALUE!</v>
      </c>
      <c r="CM42" t="e">
        <f>AND('Planilla_General_07-12-2012_8_3'!L623,"AAAAAH3931o=")</f>
        <v>#VALUE!</v>
      </c>
      <c r="CN42" t="e">
        <f>AND('Planilla_General_07-12-2012_8_3'!M623,"AAAAAH3931s=")</f>
        <v>#VALUE!</v>
      </c>
      <c r="CO42" t="e">
        <f>AND('Planilla_General_07-12-2012_8_3'!N623,"AAAAAH3931w=")</f>
        <v>#VALUE!</v>
      </c>
      <c r="CP42" t="e">
        <f>AND('Planilla_General_07-12-2012_8_3'!O623,"AAAAAH39310=")</f>
        <v>#VALUE!</v>
      </c>
      <c r="CQ42" t="e">
        <f>AND('Planilla_General_07-12-2012_8_3'!P623,"AAAAAH39314=")</f>
        <v>#VALUE!</v>
      </c>
      <c r="CR42">
        <f>IF('Planilla_General_07-12-2012_8_3'!624:624,"AAAAAH39318=",0)</f>
        <v>0</v>
      </c>
      <c r="CS42" t="e">
        <f>AND('Planilla_General_07-12-2012_8_3'!A624,"AAAAAH3932A=")</f>
        <v>#VALUE!</v>
      </c>
      <c r="CT42" t="e">
        <f>AND('Planilla_General_07-12-2012_8_3'!B624,"AAAAAH3932E=")</f>
        <v>#VALUE!</v>
      </c>
      <c r="CU42" t="e">
        <f>AND('Planilla_General_07-12-2012_8_3'!C624,"AAAAAH3932I=")</f>
        <v>#VALUE!</v>
      </c>
      <c r="CV42" t="e">
        <f>AND('Planilla_General_07-12-2012_8_3'!D624,"AAAAAH3932M=")</f>
        <v>#VALUE!</v>
      </c>
      <c r="CW42" t="e">
        <f>AND('Planilla_General_07-12-2012_8_3'!E624,"AAAAAH3932Q=")</f>
        <v>#VALUE!</v>
      </c>
      <c r="CX42" t="e">
        <f>AND('Planilla_General_07-12-2012_8_3'!F624,"AAAAAH3932U=")</f>
        <v>#VALUE!</v>
      </c>
      <c r="CY42" t="e">
        <f>AND('Planilla_General_07-12-2012_8_3'!G624,"AAAAAH3932Y=")</f>
        <v>#VALUE!</v>
      </c>
      <c r="CZ42" t="e">
        <f>AND('Planilla_General_07-12-2012_8_3'!H624,"AAAAAH3932c=")</f>
        <v>#VALUE!</v>
      </c>
      <c r="DA42" t="e">
        <f>AND('Planilla_General_07-12-2012_8_3'!I624,"AAAAAH3932g=")</f>
        <v>#VALUE!</v>
      </c>
      <c r="DB42" t="e">
        <f>AND('Planilla_General_07-12-2012_8_3'!J624,"AAAAAH3932k=")</f>
        <v>#VALUE!</v>
      </c>
      <c r="DC42" t="e">
        <f>AND('Planilla_General_07-12-2012_8_3'!K624,"AAAAAH3932o=")</f>
        <v>#VALUE!</v>
      </c>
      <c r="DD42" t="e">
        <f>AND('Planilla_General_07-12-2012_8_3'!L624,"AAAAAH3932s=")</f>
        <v>#VALUE!</v>
      </c>
      <c r="DE42" t="e">
        <f>AND('Planilla_General_07-12-2012_8_3'!M624,"AAAAAH3932w=")</f>
        <v>#VALUE!</v>
      </c>
      <c r="DF42" t="e">
        <f>AND('Planilla_General_07-12-2012_8_3'!N624,"AAAAAH39320=")</f>
        <v>#VALUE!</v>
      </c>
      <c r="DG42" t="e">
        <f>AND('Planilla_General_07-12-2012_8_3'!O624,"AAAAAH39324=")</f>
        <v>#VALUE!</v>
      </c>
      <c r="DH42" t="e">
        <f>AND('Planilla_General_07-12-2012_8_3'!P624,"AAAAAH39328=")</f>
        <v>#VALUE!</v>
      </c>
      <c r="DI42">
        <f>IF('Planilla_General_07-12-2012_8_3'!625:625,"AAAAAH3933A=",0)</f>
        <v>0</v>
      </c>
      <c r="DJ42" t="e">
        <f>AND('Planilla_General_07-12-2012_8_3'!A625,"AAAAAH3933E=")</f>
        <v>#VALUE!</v>
      </c>
      <c r="DK42" t="e">
        <f>AND('Planilla_General_07-12-2012_8_3'!B625,"AAAAAH3933I=")</f>
        <v>#VALUE!</v>
      </c>
      <c r="DL42" t="e">
        <f>AND('Planilla_General_07-12-2012_8_3'!C625,"AAAAAH3933M=")</f>
        <v>#VALUE!</v>
      </c>
      <c r="DM42" t="e">
        <f>AND('Planilla_General_07-12-2012_8_3'!D625,"AAAAAH3933Q=")</f>
        <v>#VALUE!</v>
      </c>
      <c r="DN42" t="e">
        <f>AND('Planilla_General_07-12-2012_8_3'!E625,"AAAAAH3933U=")</f>
        <v>#VALUE!</v>
      </c>
      <c r="DO42" t="e">
        <f>AND('Planilla_General_07-12-2012_8_3'!F625,"AAAAAH3933Y=")</f>
        <v>#VALUE!</v>
      </c>
      <c r="DP42" t="e">
        <f>AND('Planilla_General_07-12-2012_8_3'!G625,"AAAAAH3933c=")</f>
        <v>#VALUE!</v>
      </c>
      <c r="DQ42" t="e">
        <f>AND('Planilla_General_07-12-2012_8_3'!H625,"AAAAAH3933g=")</f>
        <v>#VALUE!</v>
      </c>
      <c r="DR42" t="e">
        <f>AND('Planilla_General_07-12-2012_8_3'!I625,"AAAAAH3933k=")</f>
        <v>#VALUE!</v>
      </c>
      <c r="DS42" t="e">
        <f>AND('Planilla_General_07-12-2012_8_3'!J625,"AAAAAH3933o=")</f>
        <v>#VALUE!</v>
      </c>
      <c r="DT42" t="e">
        <f>AND('Planilla_General_07-12-2012_8_3'!K625,"AAAAAH3933s=")</f>
        <v>#VALUE!</v>
      </c>
      <c r="DU42" t="e">
        <f>AND('Planilla_General_07-12-2012_8_3'!L625,"AAAAAH3933w=")</f>
        <v>#VALUE!</v>
      </c>
      <c r="DV42" t="e">
        <f>AND('Planilla_General_07-12-2012_8_3'!M625,"AAAAAH39330=")</f>
        <v>#VALUE!</v>
      </c>
      <c r="DW42" t="e">
        <f>AND('Planilla_General_07-12-2012_8_3'!N625,"AAAAAH39334=")</f>
        <v>#VALUE!</v>
      </c>
      <c r="DX42" t="e">
        <f>AND('Planilla_General_07-12-2012_8_3'!O625,"AAAAAH39338=")</f>
        <v>#VALUE!</v>
      </c>
      <c r="DY42" t="e">
        <f>AND('Planilla_General_07-12-2012_8_3'!P625,"AAAAAH3934A=")</f>
        <v>#VALUE!</v>
      </c>
      <c r="DZ42">
        <f>IF('Planilla_General_07-12-2012_8_3'!626:626,"AAAAAH3934E=",0)</f>
        <v>0</v>
      </c>
      <c r="EA42" t="e">
        <f>AND('Planilla_General_07-12-2012_8_3'!A626,"AAAAAH3934I=")</f>
        <v>#VALUE!</v>
      </c>
      <c r="EB42" t="e">
        <f>AND('Planilla_General_07-12-2012_8_3'!B626,"AAAAAH3934M=")</f>
        <v>#VALUE!</v>
      </c>
      <c r="EC42" t="e">
        <f>AND('Planilla_General_07-12-2012_8_3'!C626,"AAAAAH3934Q=")</f>
        <v>#VALUE!</v>
      </c>
      <c r="ED42" t="e">
        <f>AND('Planilla_General_07-12-2012_8_3'!D626,"AAAAAH3934U=")</f>
        <v>#VALUE!</v>
      </c>
      <c r="EE42" t="e">
        <f>AND('Planilla_General_07-12-2012_8_3'!E626,"AAAAAH3934Y=")</f>
        <v>#VALUE!</v>
      </c>
      <c r="EF42" t="e">
        <f>AND('Planilla_General_07-12-2012_8_3'!F626,"AAAAAH3934c=")</f>
        <v>#VALUE!</v>
      </c>
      <c r="EG42" t="e">
        <f>AND('Planilla_General_07-12-2012_8_3'!G626,"AAAAAH3934g=")</f>
        <v>#VALUE!</v>
      </c>
      <c r="EH42" t="e">
        <f>AND('Planilla_General_07-12-2012_8_3'!H626,"AAAAAH3934k=")</f>
        <v>#VALUE!</v>
      </c>
      <c r="EI42" t="e">
        <f>AND('Planilla_General_07-12-2012_8_3'!I626,"AAAAAH3934o=")</f>
        <v>#VALUE!</v>
      </c>
      <c r="EJ42" t="e">
        <f>AND('Planilla_General_07-12-2012_8_3'!J626,"AAAAAH3934s=")</f>
        <v>#VALUE!</v>
      </c>
      <c r="EK42" t="e">
        <f>AND('Planilla_General_07-12-2012_8_3'!K626,"AAAAAH3934w=")</f>
        <v>#VALUE!</v>
      </c>
      <c r="EL42" t="e">
        <f>AND('Planilla_General_07-12-2012_8_3'!L626,"AAAAAH39340=")</f>
        <v>#VALUE!</v>
      </c>
      <c r="EM42" t="e">
        <f>AND('Planilla_General_07-12-2012_8_3'!M626,"AAAAAH39344=")</f>
        <v>#VALUE!</v>
      </c>
      <c r="EN42" t="e">
        <f>AND('Planilla_General_07-12-2012_8_3'!N626,"AAAAAH39348=")</f>
        <v>#VALUE!</v>
      </c>
      <c r="EO42" t="e">
        <f>AND('Planilla_General_07-12-2012_8_3'!O626,"AAAAAH3935A=")</f>
        <v>#VALUE!</v>
      </c>
      <c r="EP42" t="e">
        <f>AND('Planilla_General_07-12-2012_8_3'!P626,"AAAAAH3935E=")</f>
        <v>#VALUE!</v>
      </c>
      <c r="EQ42">
        <f>IF('Planilla_General_07-12-2012_8_3'!627:627,"AAAAAH3935I=",0)</f>
        <v>0</v>
      </c>
      <c r="ER42" t="e">
        <f>AND('Planilla_General_07-12-2012_8_3'!A627,"AAAAAH3935M=")</f>
        <v>#VALUE!</v>
      </c>
      <c r="ES42" t="e">
        <f>AND('Planilla_General_07-12-2012_8_3'!B627,"AAAAAH3935Q=")</f>
        <v>#VALUE!</v>
      </c>
      <c r="ET42" t="e">
        <f>AND('Planilla_General_07-12-2012_8_3'!C627,"AAAAAH3935U=")</f>
        <v>#VALUE!</v>
      </c>
      <c r="EU42" t="e">
        <f>AND('Planilla_General_07-12-2012_8_3'!D627,"AAAAAH3935Y=")</f>
        <v>#VALUE!</v>
      </c>
      <c r="EV42" t="e">
        <f>AND('Planilla_General_07-12-2012_8_3'!E627,"AAAAAH3935c=")</f>
        <v>#VALUE!</v>
      </c>
      <c r="EW42" t="e">
        <f>AND('Planilla_General_07-12-2012_8_3'!F627,"AAAAAH3935g=")</f>
        <v>#VALUE!</v>
      </c>
      <c r="EX42" t="e">
        <f>AND('Planilla_General_07-12-2012_8_3'!G627,"AAAAAH3935k=")</f>
        <v>#VALUE!</v>
      </c>
      <c r="EY42" t="e">
        <f>AND('Planilla_General_07-12-2012_8_3'!H627,"AAAAAH3935o=")</f>
        <v>#VALUE!</v>
      </c>
      <c r="EZ42" t="e">
        <f>AND('Planilla_General_07-12-2012_8_3'!I627,"AAAAAH3935s=")</f>
        <v>#VALUE!</v>
      </c>
      <c r="FA42" t="e">
        <f>AND('Planilla_General_07-12-2012_8_3'!J627,"AAAAAH3935w=")</f>
        <v>#VALUE!</v>
      </c>
      <c r="FB42" t="e">
        <f>AND('Planilla_General_07-12-2012_8_3'!K627,"AAAAAH39350=")</f>
        <v>#VALUE!</v>
      </c>
      <c r="FC42" t="e">
        <f>AND('Planilla_General_07-12-2012_8_3'!L627,"AAAAAH39354=")</f>
        <v>#VALUE!</v>
      </c>
      <c r="FD42" t="e">
        <f>AND('Planilla_General_07-12-2012_8_3'!M627,"AAAAAH39358=")</f>
        <v>#VALUE!</v>
      </c>
      <c r="FE42" t="e">
        <f>AND('Planilla_General_07-12-2012_8_3'!N627,"AAAAAH3936A=")</f>
        <v>#VALUE!</v>
      </c>
      <c r="FF42" t="e">
        <f>AND('Planilla_General_07-12-2012_8_3'!O627,"AAAAAH3936E=")</f>
        <v>#VALUE!</v>
      </c>
      <c r="FG42" t="e">
        <f>AND('Planilla_General_07-12-2012_8_3'!P627,"AAAAAH3936I=")</f>
        <v>#VALUE!</v>
      </c>
      <c r="FH42">
        <f>IF('Planilla_General_07-12-2012_8_3'!628:628,"AAAAAH3936M=",0)</f>
        <v>0</v>
      </c>
      <c r="FI42" t="e">
        <f>AND('Planilla_General_07-12-2012_8_3'!A628,"AAAAAH3936Q=")</f>
        <v>#VALUE!</v>
      </c>
      <c r="FJ42" t="e">
        <f>AND('Planilla_General_07-12-2012_8_3'!B628,"AAAAAH3936U=")</f>
        <v>#VALUE!</v>
      </c>
      <c r="FK42" t="e">
        <f>AND('Planilla_General_07-12-2012_8_3'!C628,"AAAAAH3936Y=")</f>
        <v>#VALUE!</v>
      </c>
      <c r="FL42" t="e">
        <f>AND('Planilla_General_07-12-2012_8_3'!D628,"AAAAAH3936c=")</f>
        <v>#VALUE!</v>
      </c>
      <c r="FM42" t="e">
        <f>AND('Planilla_General_07-12-2012_8_3'!E628,"AAAAAH3936g=")</f>
        <v>#VALUE!</v>
      </c>
      <c r="FN42" t="e">
        <f>AND('Planilla_General_07-12-2012_8_3'!F628,"AAAAAH3936k=")</f>
        <v>#VALUE!</v>
      </c>
      <c r="FO42" t="e">
        <f>AND('Planilla_General_07-12-2012_8_3'!G628,"AAAAAH3936o=")</f>
        <v>#VALUE!</v>
      </c>
      <c r="FP42" t="e">
        <f>AND('Planilla_General_07-12-2012_8_3'!H628,"AAAAAH3936s=")</f>
        <v>#VALUE!</v>
      </c>
      <c r="FQ42" t="e">
        <f>AND('Planilla_General_07-12-2012_8_3'!I628,"AAAAAH3936w=")</f>
        <v>#VALUE!</v>
      </c>
      <c r="FR42" t="e">
        <f>AND('Planilla_General_07-12-2012_8_3'!J628,"AAAAAH39360=")</f>
        <v>#VALUE!</v>
      </c>
      <c r="FS42" t="e">
        <f>AND('Planilla_General_07-12-2012_8_3'!K628,"AAAAAH39364=")</f>
        <v>#VALUE!</v>
      </c>
      <c r="FT42" t="e">
        <f>AND('Planilla_General_07-12-2012_8_3'!L628,"AAAAAH39368=")</f>
        <v>#VALUE!</v>
      </c>
      <c r="FU42" t="e">
        <f>AND('Planilla_General_07-12-2012_8_3'!M628,"AAAAAH3937A=")</f>
        <v>#VALUE!</v>
      </c>
      <c r="FV42" t="e">
        <f>AND('Planilla_General_07-12-2012_8_3'!N628,"AAAAAH3937E=")</f>
        <v>#VALUE!</v>
      </c>
      <c r="FW42" t="e">
        <f>AND('Planilla_General_07-12-2012_8_3'!O628,"AAAAAH3937I=")</f>
        <v>#VALUE!</v>
      </c>
      <c r="FX42" t="e">
        <f>AND('Planilla_General_07-12-2012_8_3'!P628,"AAAAAH3937M=")</f>
        <v>#VALUE!</v>
      </c>
      <c r="FY42">
        <f>IF('Planilla_General_07-12-2012_8_3'!629:629,"AAAAAH3937Q=",0)</f>
        <v>0</v>
      </c>
      <c r="FZ42" t="e">
        <f>AND('Planilla_General_07-12-2012_8_3'!A629,"AAAAAH3937U=")</f>
        <v>#VALUE!</v>
      </c>
      <c r="GA42" t="e">
        <f>AND('Planilla_General_07-12-2012_8_3'!B629,"AAAAAH3937Y=")</f>
        <v>#VALUE!</v>
      </c>
      <c r="GB42" t="e">
        <f>AND('Planilla_General_07-12-2012_8_3'!C629,"AAAAAH3937c=")</f>
        <v>#VALUE!</v>
      </c>
      <c r="GC42" t="e">
        <f>AND('Planilla_General_07-12-2012_8_3'!D629,"AAAAAH3937g=")</f>
        <v>#VALUE!</v>
      </c>
      <c r="GD42" t="e">
        <f>AND('Planilla_General_07-12-2012_8_3'!E629,"AAAAAH3937k=")</f>
        <v>#VALUE!</v>
      </c>
      <c r="GE42" t="e">
        <f>AND('Planilla_General_07-12-2012_8_3'!F629,"AAAAAH3937o=")</f>
        <v>#VALUE!</v>
      </c>
      <c r="GF42" t="e">
        <f>AND('Planilla_General_07-12-2012_8_3'!G629,"AAAAAH3937s=")</f>
        <v>#VALUE!</v>
      </c>
      <c r="GG42" t="e">
        <f>AND('Planilla_General_07-12-2012_8_3'!H629,"AAAAAH3937w=")</f>
        <v>#VALUE!</v>
      </c>
      <c r="GH42" t="e">
        <f>AND('Planilla_General_07-12-2012_8_3'!I629,"AAAAAH39370=")</f>
        <v>#VALUE!</v>
      </c>
      <c r="GI42" t="e">
        <f>AND('Planilla_General_07-12-2012_8_3'!J629,"AAAAAH39374=")</f>
        <v>#VALUE!</v>
      </c>
      <c r="GJ42" t="e">
        <f>AND('Planilla_General_07-12-2012_8_3'!K629,"AAAAAH39378=")</f>
        <v>#VALUE!</v>
      </c>
      <c r="GK42" t="e">
        <f>AND('Planilla_General_07-12-2012_8_3'!L629,"AAAAAH3938A=")</f>
        <v>#VALUE!</v>
      </c>
      <c r="GL42" t="e">
        <f>AND('Planilla_General_07-12-2012_8_3'!M629,"AAAAAH3938E=")</f>
        <v>#VALUE!</v>
      </c>
      <c r="GM42" t="e">
        <f>AND('Planilla_General_07-12-2012_8_3'!N629,"AAAAAH3938I=")</f>
        <v>#VALUE!</v>
      </c>
      <c r="GN42" t="e">
        <f>AND('Planilla_General_07-12-2012_8_3'!O629,"AAAAAH3938M=")</f>
        <v>#VALUE!</v>
      </c>
      <c r="GO42" t="e">
        <f>AND('Planilla_General_07-12-2012_8_3'!P629,"AAAAAH3938Q=")</f>
        <v>#VALUE!</v>
      </c>
      <c r="GP42">
        <f>IF('Planilla_General_07-12-2012_8_3'!630:630,"AAAAAH3938U=",0)</f>
        <v>0</v>
      </c>
      <c r="GQ42" t="e">
        <f>AND('Planilla_General_07-12-2012_8_3'!A630,"AAAAAH3938Y=")</f>
        <v>#VALUE!</v>
      </c>
      <c r="GR42" t="e">
        <f>AND('Planilla_General_07-12-2012_8_3'!B630,"AAAAAH3938c=")</f>
        <v>#VALUE!</v>
      </c>
      <c r="GS42" t="e">
        <f>AND('Planilla_General_07-12-2012_8_3'!C630,"AAAAAH3938g=")</f>
        <v>#VALUE!</v>
      </c>
      <c r="GT42" t="e">
        <f>AND('Planilla_General_07-12-2012_8_3'!D630,"AAAAAH3938k=")</f>
        <v>#VALUE!</v>
      </c>
      <c r="GU42" t="e">
        <f>AND('Planilla_General_07-12-2012_8_3'!E630,"AAAAAH3938o=")</f>
        <v>#VALUE!</v>
      </c>
      <c r="GV42" t="e">
        <f>AND('Planilla_General_07-12-2012_8_3'!F630,"AAAAAH3938s=")</f>
        <v>#VALUE!</v>
      </c>
      <c r="GW42" t="e">
        <f>AND('Planilla_General_07-12-2012_8_3'!G630,"AAAAAH3938w=")</f>
        <v>#VALUE!</v>
      </c>
      <c r="GX42" t="e">
        <f>AND('Planilla_General_07-12-2012_8_3'!H630,"AAAAAH39380=")</f>
        <v>#VALUE!</v>
      </c>
      <c r="GY42" t="e">
        <f>AND('Planilla_General_07-12-2012_8_3'!I630,"AAAAAH39384=")</f>
        <v>#VALUE!</v>
      </c>
      <c r="GZ42" t="e">
        <f>AND('Planilla_General_07-12-2012_8_3'!J630,"AAAAAH39388=")</f>
        <v>#VALUE!</v>
      </c>
      <c r="HA42" t="e">
        <f>AND('Planilla_General_07-12-2012_8_3'!K630,"AAAAAH3939A=")</f>
        <v>#VALUE!</v>
      </c>
      <c r="HB42" t="e">
        <f>AND('Planilla_General_07-12-2012_8_3'!L630,"AAAAAH3939E=")</f>
        <v>#VALUE!</v>
      </c>
      <c r="HC42" t="e">
        <f>AND('Planilla_General_07-12-2012_8_3'!M630,"AAAAAH3939I=")</f>
        <v>#VALUE!</v>
      </c>
      <c r="HD42" t="e">
        <f>AND('Planilla_General_07-12-2012_8_3'!N630,"AAAAAH3939M=")</f>
        <v>#VALUE!</v>
      </c>
      <c r="HE42" t="e">
        <f>AND('Planilla_General_07-12-2012_8_3'!O630,"AAAAAH3939Q=")</f>
        <v>#VALUE!</v>
      </c>
      <c r="HF42" t="e">
        <f>AND('Planilla_General_07-12-2012_8_3'!P630,"AAAAAH3939U=")</f>
        <v>#VALUE!</v>
      </c>
      <c r="HG42">
        <f>IF('Planilla_General_07-12-2012_8_3'!631:631,"AAAAAH3939Y=",0)</f>
        <v>0</v>
      </c>
      <c r="HH42" t="e">
        <f>AND('Planilla_General_07-12-2012_8_3'!A631,"AAAAAH3939c=")</f>
        <v>#VALUE!</v>
      </c>
      <c r="HI42" t="e">
        <f>AND('Planilla_General_07-12-2012_8_3'!B631,"AAAAAH3939g=")</f>
        <v>#VALUE!</v>
      </c>
      <c r="HJ42" t="e">
        <f>AND('Planilla_General_07-12-2012_8_3'!C631,"AAAAAH3939k=")</f>
        <v>#VALUE!</v>
      </c>
      <c r="HK42" t="e">
        <f>AND('Planilla_General_07-12-2012_8_3'!D631,"AAAAAH3939o=")</f>
        <v>#VALUE!</v>
      </c>
      <c r="HL42" t="e">
        <f>AND('Planilla_General_07-12-2012_8_3'!E631,"AAAAAH3939s=")</f>
        <v>#VALUE!</v>
      </c>
      <c r="HM42" t="e">
        <f>AND('Planilla_General_07-12-2012_8_3'!F631,"AAAAAH3939w=")</f>
        <v>#VALUE!</v>
      </c>
      <c r="HN42" t="e">
        <f>AND('Planilla_General_07-12-2012_8_3'!G631,"AAAAAH39390=")</f>
        <v>#VALUE!</v>
      </c>
      <c r="HO42" t="e">
        <f>AND('Planilla_General_07-12-2012_8_3'!H631,"AAAAAH39394=")</f>
        <v>#VALUE!</v>
      </c>
      <c r="HP42" t="e">
        <f>AND('Planilla_General_07-12-2012_8_3'!I631,"AAAAAH39398=")</f>
        <v>#VALUE!</v>
      </c>
      <c r="HQ42" t="e">
        <f>AND('Planilla_General_07-12-2012_8_3'!J631,"AAAAAH393+A=")</f>
        <v>#VALUE!</v>
      </c>
      <c r="HR42" t="e">
        <f>AND('Planilla_General_07-12-2012_8_3'!K631,"AAAAAH393+E=")</f>
        <v>#VALUE!</v>
      </c>
      <c r="HS42" t="e">
        <f>AND('Planilla_General_07-12-2012_8_3'!L631,"AAAAAH393+I=")</f>
        <v>#VALUE!</v>
      </c>
      <c r="HT42" t="e">
        <f>AND('Planilla_General_07-12-2012_8_3'!M631,"AAAAAH393+M=")</f>
        <v>#VALUE!</v>
      </c>
      <c r="HU42" t="e">
        <f>AND('Planilla_General_07-12-2012_8_3'!N631,"AAAAAH393+Q=")</f>
        <v>#VALUE!</v>
      </c>
      <c r="HV42" t="e">
        <f>AND('Planilla_General_07-12-2012_8_3'!O631,"AAAAAH393+U=")</f>
        <v>#VALUE!</v>
      </c>
      <c r="HW42" t="e">
        <f>AND('Planilla_General_07-12-2012_8_3'!P631,"AAAAAH393+Y=")</f>
        <v>#VALUE!</v>
      </c>
      <c r="HX42">
        <f>IF('Planilla_General_07-12-2012_8_3'!632:632,"AAAAAH393+c=",0)</f>
        <v>0</v>
      </c>
      <c r="HY42" t="e">
        <f>AND('Planilla_General_07-12-2012_8_3'!A632,"AAAAAH393+g=")</f>
        <v>#VALUE!</v>
      </c>
      <c r="HZ42" t="e">
        <f>AND('Planilla_General_07-12-2012_8_3'!B632,"AAAAAH393+k=")</f>
        <v>#VALUE!</v>
      </c>
      <c r="IA42" t="e">
        <f>AND('Planilla_General_07-12-2012_8_3'!C632,"AAAAAH393+o=")</f>
        <v>#VALUE!</v>
      </c>
      <c r="IB42" t="e">
        <f>AND('Planilla_General_07-12-2012_8_3'!D632,"AAAAAH393+s=")</f>
        <v>#VALUE!</v>
      </c>
      <c r="IC42" t="e">
        <f>AND('Planilla_General_07-12-2012_8_3'!E632,"AAAAAH393+w=")</f>
        <v>#VALUE!</v>
      </c>
      <c r="ID42" t="e">
        <f>AND('Planilla_General_07-12-2012_8_3'!F632,"AAAAAH393+0=")</f>
        <v>#VALUE!</v>
      </c>
      <c r="IE42" t="e">
        <f>AND('Planilla_General_07-12-2012_8_3'!G632,"AAAAAH393+4=")</f>
        <v>#VALUE!</v>
      </c>
      <c r="IF42" t="e">
        <f>AND('Planilla_General_07-12-2012_8_3'!H632,"AAAAAH393+8=")</f>
        <v>#VALUE!</v>
      </c>
      <c r="IG42" t="e">
        <f>AND('Planilla_General_07-12-2012_8_3'!I632,"AAAAAH393/A=")</f>
        <v>#VALUE!</v>
      </c>
      <c r="IH42" t="e">
        <f>AND('Planilla_General_07-12-2012_8_3'!J632,"AAAAAH393/E=")</f>
        <v>#VALUE!</v>
      </c>
      <c r="II42" t="e">
        <f>AND('Planilla_General_07-12-2012_8_3'!K632,"AAAAAH393/I=")</f>
        <v>#VALUE!</v>
      </c>
      <c r="IJ42" t="e">
        <f>AND('Planilla_General_07-12-2012_8_3'!L632,"AAAAAH393/M=")</f>
        <v>#VALUE!</v>
      </c>
      <c r="IK42" t="e">
        <f>AND('Planilla_General_07-12-2012_8_3'!M632,"AAAAAH393/Q=")</f>
        <v>#VALUE!</v>
      </c>
      <c r="IL42" t="e">
        <f>AND('Planilla_General_07-12-2012_8_3'!N632,"AAAAAH393/U=")</f>
        <v>#VALUE!</v>
      </c>
      <c r="IM42" t="e">
        <f>AND('Planilla_General_07-12-2012_8_3'!O632,"AAAAAH393/Y=")</f>
        <v>#VALUE!</v>
      </c>
      <c r="IN42" t="e">
        <f>AND('Planilla_General_07-12-2012_8_3'!P632,"AAAAAH393/c=")</f>
        <v>#VALUE!</v>
      </c>
      <c r="IO42">
        <f>IF('Planilla_General_07-12-2012_8_3'!633:633,"AAAAAH393/g=",0)</f>
        <v>0</v>
      </c>
      <c r="IP42" t="e">
        <f>AND('Planilla_General_07-12-2012_8_3'!A633,"AAAAAH393/k=")</f>
        <v>#VALUE!</v>
      </c>
      <c r="IQ42" t="e">
        <f>AND('Planilla_General_07-12-2012_8_3'!B633,"AAAAAH393/o=")</f>
        <v>#VALUE!</v>
      </c>
      <c r="IR42" t="e">
        <f>AND('Planilla_General_07-12-2012_8_3'!C633,"AAAAAH393/s=")</f>
        <v>#VALUE!</v>
      </c>
      <c r="IS42" t="e">
        <f>AND('Planilla_General_07-12-2012_8_3'!D633,"AAAAAH393/w=")</f>
        <v>#VALUE!</v>
      </c>
      <c r="IT42" t="e">
        <f>AND('Planilla_General_07-12-2012_8_3'!E633,"AAAAAH393/0=")</f>
        <v>#VALUE!</v>
      </c>
      <c r="IU42" t="e">
        <f>AND('Planilla_General_07-12-2012_8_3'!F633,"AAAAAH393/4=")</f>
        <v>#VALUE!</v>
      </c>
      <c r="IV42" t="e">
        <f>AND('Planilla_General_07-12-2012_8_3'!G633,"AAAAAH393/8=")</f>
        <v>#VALUE!</v>
      </c>
    </row>
    <row r="43" spans="1:256" x14ac:dyDescent="0.25">
      <c r="A43" t="e">
        <f>AND('Planilla_General_07-12-2012_8_3'!H633,"AAAAAF/HtwA=")</f>
        <v>#VALUE!</v>
      </c>
      <c r="B43" t="e">
        <f>AND('Planilla_General_07-12-2012_8_3'!I633,"AAAAAF/HtwE=")</f>
        <v>#VALUE!</v>
      </c>
      <c r="C43" t="e">
        <f>AND('Planilla_General_07-12-2012_8_3'!J633,"AAAAAF/HtwI=")</f>
        <v>#VALUE!</v>
      </c>
      <c r="D43" t="e">
        <f>AND('Planilla_General_07-12-2012_8_3'!K633,"AAAAAF/HtwM=")</f>
        <v>#VALUE!</v>
      </c>
      <c r="E43" t="e">
        <f>AND('Planilla_General_07-12-2012_8_3'!L633,"AAAAAF/HtwQ=")</f>
        <v>#VALUE!</v>
      </c>
      <c r="F43" t="e">
        <f>AND('Planilla_General_07-12-2012_8_3'!M633,"AAAAAF/HtwU=")</f>
        <v>#VALUE!</v>
      </c>
      <c r="G43" t="e">
        <f>AND('Planilla_General_07-12-2012_8_3'!N633,"AAAAAF/HtwY=")</f>
        <v>#VALUE!</v>
      </c>
      <c r="H43" t="e">
        <f>AND('Planilla_General_07-12-2012_8_3'!O633,"AAAAAF/Htwc=")</f>
        <v>#VALUE!</v>
      </c>
      <c r="I43" t="e">
        <f>AND('Planilla_General_07-12-2012_8_3'!P633,"AAAAAF/Htwg=")</f>
        <v>#VALUE!</v>
      </c>
      <c r="J43" t="e">
        <f>IF('Planilla_General_07-12-2012_8_3'!634:634,"AAAAAF/Htwk=",0)</f>
        <v>#VALUE!</v>
      </c>
      <c r="K43" t="e">
        <f>AND('Planilla_General_07-12-2012_8_3'!A634,"AAAAAF/Htwo=")</f>
        <v>#VALUE!</v>
      </c>
      <c r="L43" t="e">
        <f>AND('Planilla_General_07-12-2012_8_3'!B634,"AAAAAF/Htws=")</f>
        <v>#VALUE!</v>
      </c>
      <c r="M43" t="e">
        <f>AND('Planilla_General_07-12-2012_8_3'!C634,"AAAAAF/Htww=")</f>
        <v>#VALUE!</v>
      </c>
      <c r="N43" t="e">
        <f>AND('Planilla_General_07-12-2012_8_3'!D634,"AAAAAF/Htw0=")</f>
        <v>#VALUE!</v>
      </c>
      <c r="O43" t="e">
        <f>AND('Planilla_General_07-12-2012_8_3'!E634,"AAAAAF/Htw4=")</f>
        <v>#VALUE!</v>
      </c>
      <c r="P43" t="e">
        <f>AND('Planilla_General_07-12-2012_8_3'!F634,"AAAAAF/Htw8=")</f>
        <v>#VALUE!</v>
      </c>
      <c r="Q43" t="e">
        <f>AND('Planilla_General_07-12-2012_8_3'!G634,"AAAAAF/HtxA=")</f>
        <v>#VALUE!</v>
      </c>
      <c r="R43" t="e">
        <f>AND('Planilla_General_07-12-2012_8_3'!H634,"AAAAAF/HtxE=")</f>
        <v>#VALUE!</v>
      </c>
      <c r="S43" t="e">
        <f>AND('Planilla_General_07-12-2012_8_3'!I634,"AAAAAF/HtxI=")</f>
        <v>#VALUE!</v>
      </c>
      <c r="T43" t="e">
        <f>AND('Planilla_General_07-12-2012_8_3'!J634,"AAAAAF/HtxM=")</f>
        <v>#VALUE!</v>
      </c>
      <c r="U43" t="e">
        <f>AND('Planilla_General_07-12-2012_8_3'!K634,"AAAAAF/HtxQ=")</f>
        <v>#VALUE!</v>
      </c>
      <c r="V43" t="e">
        <f>AND('Planilla_General_07-12-2012_8_3'!L634,"AAAAAF/HtxU=")</f>
        <v>#VALUE!</v>
      </c>
      <c r="W43" t="e">
        <f>AND('Planilla_General_07-12-2012_8_3'!M634,"AAAAAF/HtxY=")</f>
        <v>#VALUE!</v>
      </c>
      <c r="X43" t="e">
        <f>AND('Planilla_General_07-12-2012_8_3'!N634,"AAAAAF/Htxc=")</f>
        <v>#VALUE!</v>
      </c>
      <c r="Y43" t="e">
        <f>AND('Planilla_General_07-12-2012_8_3'!O634,"AAAAAF/Htxg=")</f>
        <v>#VALUE!</v>
      </c>
      <c r="Z43" t="e">
        <f>AND('Planilla_General_07-12-2012_8_3'!P634,"AAAAAF/Htxk=")</f>
        <v>#VALUE!</v>
      </c>
      <c r="AA43">
        <f>IF('Planilla_General_07-12-2012_8_3'!635:635,"AAAAAF/Htxo=",0)</f>
        <v>0</v>
      </c>
      <c r="AB43" t="e">
        <f>AND('Planilla_General_07-12-2012_8_3'!A635,"AAAAAF/Htxs=")</f>
        <v>#VALUE!</v>
      </c>
      <c r="AC43" t="e">
        <f>AND('Planilla_General_07-12-2012_8_3'!B635,"AAAAAF/Htxw=")</f>
        <v>#VALUE!</v>
      </c>
      <c r="AD43" t="e">
        <f>AND('Planilla_General_07-12-2012_8_3'!C635,"AAAAAF/Htx0=")</f>
        <v>#VALUE!</v>
      </c>
      <c r="AE43" t="e">
        <f>AND('Planilla_General_07-12-2012_8_3'!D635,"AAAAAF/Htx4=")</f>
        <v>#VALUE!</v>
      </c>
      <c r="AF43" t="e">
        <f>AND('Planilla_General_07-12-2012_8_3'!E635,"AAAAAF/Htx8=")</f>
        <v>#VALUE!</v>
      </c>
      <c r="AG43" t="e">
        <f>AND('Planilla_General_07-12-2012_8_3'!F635,"AAAAAF/HtyA=")</f>
        <v>#VALUE!</v>
      </c>
      <c r="AH43" t="e">
        <f>AND('Planilla_General_07-12-2012_8_3'!G635,"AAAAAF/HtyE=")</f>
        <v>#VALUE!</v>
      </c>
      <c r="AI43" t="e">
        <f>AND('Planilla_General_07-12-2012_8_3'!H635,"AAAAAF/HtyI=")</f>
        <v>#VALUE!</v>
      </c>
      <c r="AJ43" t="e">
        <f>AND('Planilla_General_07-12-2012_8_3'!I635,"AAAAAF/HtyM=")</f>
        <v>#VALUE!</v>
      </c>
      <c r="AK43" t="e">
        <f>AND('Planilla_General_07-12-2012_8_3'!J635,"AAAAAF/HtyQ=")</f>
        <v>#VALUE!</v>
      </c>
      <c r="AL43" t="e">
        <f>AND('Planilla_General_07-12-2012_8_3'!K635,"AAAAAF/HtyU=")</f>
        <v>#VALUE!</v>
      </c>
      <c r="AM43" t="e">
        <f>AND('Planilla_General_07-12-2012_8_3'!L635,"AAAAAF/HtyY=")</f>
        <v>#VALUE!</v>
      </c>
      <c r="AN43" t="e">
        <f>AND('Planilla_General_07-12-2012_8_3'!M635,"AAAAAF/Htyc=")</f>
        <v>#VALUE!</v>
      </c>
      <c r="AO43" t="e">
        <f>AND('Planilla_General_07-12-2012_8_3'!N635,"AAAAAF/Htyg=")</f>
        <v>#VALUE!</v>
      </c>
      <c r="AP43" t="e">
        <f>AND('Planilla_General_07-12-2012_8_3'!O635,"AAAAAF/Htyk=")</f>
        <v>#VALUE!</v>
      </c>
      <c r="AQ43" t="e">
        <f>AND('Planilla_General_07-12-2012_8_3'!P635,"AAAAAF/Htyo=")</f>
        <v>#VALUE!</v>
      </c>
      <c r="AR43">
        <f>IF('Planilla_General_07-12-2012_8_3'!636:636,"AAAAAF/Htys=",0)</f>
        <v>0</v>
      </c>
      <c r="AS43" t="e">
        <f>AND('Planilla_General_07-12-2012_8_3'!A636,"AAAAAF/Htyw=")</f>
        <v>#VALUE!</v>
      </c>
      <c r="AT43" t="e">
        <f>AND('Planilla_General_07-12-2012_8_3'!B636,"AAAAAF/Hty0=")</f>
        <v>#VALUE!</v>
      </c>
      <c r="AU43" t="e">
        <f>AND('Planilla_General_07-12-2012_8_3'!C636,"AAAAAF/Hty4=")</f>
        <v>#VALUE!</v>
      </c>
      <c r="AV43" t="e">
        <f>AND('Planilla_General_07-12-2012_8_3'!D636,"AAAAAF/Hty8=")</f>
        <v>#VALUE!</v>
      </c>
      <c r="AW43" t="e">
        <f>AND('Planilla_General_07-12-2012_8_3'!E636,"AAAAAF/HtzA=")</f>
        <v>#VALUE!</v>
      </c>
      <c r="AX43" t="e">
        <f>AND('Planilla_General_07-12-2012_8_3'!F636,"AAAAAF/HtzE=")</f>
        <v>#VALUE!</v>
      </c>
      <c r="AY43" t="e">
        <f>AND('Planilla_General_07-12-2012_8_3'!G636,"AAAAAF/HtzI=")</f>
        <v>#VALUE!</v>
      </c>
      <c r="AZ43" t="e">
        <f>AND('Planilla_General_07-12-2012_8_3'!H636,"AAAAAF/HtzM=")</f>
        <v>#VALUE!</v>
      </c>
      <c r="BA43" t="e">
        <f>AND('Planilla_General_07-12-2012_8_3'!I636,"AAAAAF/HtzQ=")</f>
        <v>#VALUE!</v>
      </c>
      <c r="BB43" t="e">
        <f>AND('Planilla_General_07-12-2012_8_3'!J636,"AAAAAF/HtzU=")</f>
        <v>#VALUE!</v>
      </c>
      <c r="BC43" t="e">
        <f>AND('Planilla_General_07-12-2012_8_3'!K636,"AAAAAF/HtzY=")</f>
        <v>#VALUE!</v>
      </c>
      <c r="BD43" t="e">
        <f>AND('Planilla_General_07-12-2012_8_3'!L636,"AAAAAF/Htzc=")</f>
        <v>#VALUE!</v>
      </c>
      <c r="BE43" t="e">
        <f>AND('Planilla_General_07-12-2012_8_3'!M636,"AAAAAF/Htzg=")</f>
        <v>#VALUE!</v>
      </c>
      <c r="BF43" t="e">
        <f>AND('Planilla_General_07-12-2012_8_3'!N636,"AAAAAF/Htzk=")</f>
        <v>#VALUE!</v>
      </c>
      <c r="BG43" t="e">
        <f>AND('Planilla_General_07-12-2012_8_3'!O636,"AAAAAF/Htzo=")</f>
        <v>#VALUE!</v>
      </c>
      <c r="BH43" t="e">
        <f>AND('Planilla_General_07-12-2012_8_3'!P636,"AAAAAF/Htzs=")</f>
        <v>#VALUE!</v>
      </c>
      <c r="BI43">
        <f>IF('Planilla_General_07-12-2012_8_3'!637:637,"AAAAAF/Htzw=",0)</f>
        <v>0</v>
      </c>
      <c r="BJ43" t="e">
        <f>AND('Planilla_General_07-12-2012_8_3'!A637,"AAAAAF/Htz0=")</f>
        <v>#VALUE!</v>
      </c>
      <c r="BK43" t="e">
        <f>AND('Planilla_General_07-12-2012_8_3'!B637,"AAAAAF/Htz4=")</f>
        <v>#VALUE!</v>
      </c>
      <c r="BL43" t="e">
        <f>AND('Planilla_General_07-12-2012_8_3'!C637,"AAAAAF/Htz8=")</f>
        <v>#VALUE!</v>
      </c>
      <c r="BM43" t="e">
        <f>AND('Planilla_General_07-12-2012_8_3'!D637,"AAAAAF/Ht0A=")</f>
        <v>#VALUE!</v>
      </c>
      <c r="BN43" t="e">
        <f>AND('Planilla_General_07-12-2012_8_3'!E637,"AAAAAF/Ht0E=")</f>
        <v>#VALUE!</v>
      </c>
      <c r="BO43" t="e">
        <f>AND('Planilla_General_07-12-2012_8_3'!F637,"AAAAAF/Ht0I=")</f>
        <v>#VALUE!</v>
      </c>
      <c r="BP43" t="e">
        <f>AND('Planilla_General_07-12-2012_8_3'!G637,"AAAAAF/Ht0M=")</f>
        <v>#VALUE!</v>
      </c>
      <c r="BQ43" t="e">
        <f>AND('Planilla_General_07-12-2012_8_3'!H637,"AAAAAF/Ht0Q=")</f>
        <v>#VALUE!</v>
      </c>
      <c r="BR43" t="e">
        <f>AND('Planilla_General_07-12-2012_8_3'!I637,"AAAAAF/Ht0U=")</f>
        <v>#VALUE!</v>
      </c>
      <c r="BS43" t="e">
        <f>AND('Planilla_General_07-12-2012_8_3'!J637,"AAAAAF/Ht0Y=")</f>
        <v>#VALUE!</v>
      </c>
      <c r="BT43" t="e">
        <f>AND('Planilla_General_07-12-2012_8_3'!K637,"AAAAAF/Ht0c=")</f>
        <v>#VALUE!</v>
      </c>
      <c r="BU43" t="e">
        <f>AND('Planilla_General_07-12-2012_8_3'!L637,"AAAAAF/Ht0g=")</f>
        <v>#VALUE!</v>
      </c>
      <c r="BV43" t="e">
        <f>AND('Planilla_General_07-12-2012_8_3'!M637,"AAAAAF/Ht0k=")</f>
        <v>#VALUE!</v>
      </c>
      <c r="BW43" t="e">
        <f>AND('Planilla_General_07-12-2012_8_3'!N637,"AAAAAF/Ht0o=")</f>
        <v>#VALUE!</v>
      </c>
      <c r="BX43" t="e">
        <f>AND('Planilla_General_07-12-2012_8_3'!O637,"AAAAAF/Ht0s=")</f>
        <v>#VALUE!</v>
      </c>
      <c r="BY43" t="e">
        <f>AND('Planilla_General_07-12-2012_8_3'!P637,"AAAAAF/Ht0w=")</f>
        <v>#VALUE!</v>
      </c>
      <c r="BZ43">
        <f>IF('Planilla_General_07-12-2012_8_3'!638:638,"AAAAAF/Ht00=",0)</f>
        <v>0</v>
      </c>
      <c r="CA43" t="e">
        <f>AND('Planilla_General_07-12-2012_8_3'!A638,"AAAAAF/Ht04=")</f>
        <v>#VALUE!</v>
      </c>
      <c r="CB43" t="e">
        <f>AND('Planilla_General_07-12-2012_8_3'!B638,"AAAAAF/Ht08=")</f>
        <v>#VALUE!</v>
      </c>
      <c r="CC43" t="e">
        <f>AND('Planilla_General_07-12-2012_8_3'!C638,"AAAAAF/Ht1A=")</f>
        <v>#VALUE!</v>
      </c>
      <c r="CD43" t="e">
        <f>AND('Planilla_General_07-12-2012_8_3'!D638,"AAAAAF/Ht1E=")</f>
        <v>#VALUE!</v>
      </c>
      <c r="CE43" t="e">
        <f>AND('Planilla_General_07-12-2012_8_3'!E638,"AAAAAF/Ht1I=")</f>
        <v>#VALUE!</v>
      </c>
      <c r="CF43" t="e">
        <f>AND('Planilla_General_07-12-2012_8_3'!F638,"AAAAAF/Ht1M=")</f>
        <v>#VALUE!</v>
      </c>
      <c r="CG43" t="e">
        <f>AND('Planilla_General_07-12-2012_8_3'!G638,"AAAAAF/Ht1Q=")</f>
        <v>#VALUE!</v>
      </c>
      <c r="CH43" t="e">
        <f>AND('Planilla_General_07-12-2012_8_3'!H638,"AAAAAF/Ht1U=")</f>
        <v>#VALUE!</v>
      </c>
      <c r="CI43" t="e">
        <f>AND('Planilla_General_07-12-2012_8_3'!I638,"AAAAAF/Ht1Y=")</f>
        <v>#VALUE!</v>
      </c>
      <c r="CJ43" t="e">
        <f>AND('Planilla_General_07-12-2012_8_3'!J638,"AAAAAF/Ht1c=")</f>
        <v>#VALUE!</v>
      </c>
      <c r="CK43" t="e">
        <f>AND('Planilla_General_07-12-2012_8_3'!K638,"AAAAAF/Ht1g=")</f>
        <v>#VALUE!</v>
      </c>
      <c r="CL43" t="e">
        <f>AND('Planilla_General_07-12-2012_8_3'!L638,"AAAAAF/Ht1k=")</f>
        <v>#VALUE!</v>
      </c>
      <c r="CM43" t="e">
        <f>AND('Planilla_General_07-12-2012_8_3'!M638,"AAAAAF/Ht1o=")</f>
        <v>#VALUE!</v>
      </c>
      <c r="CN43" t="e">
        <f>AND('Planilla_General_07-12-2012_8_3'!N638,"AAAAAF/Ht1s=")</f>
        <v>#VALUE!</v>
      </c>
      <c r="CO43" t="e">
        <f>AND('Planilla_General_07-12-2012_8_3'!O638,"AAAAAF/Ht1w=")</f>
        <v>#VALUE!</v>
      </c>
      <c r="CP43" t="e">
        <f>AND('Planilla_General_07-12-2012_8_3'!P638,"AAAAAF/Ht10=")</f>
        <v>#VALUE!</v>
      </c>
      <c r="CQ43">
        <f>IF('Planilla_General_07-12-2012_8_3'!639:639,"AAAAAF/Ht14=",0)</f>
        <v>0</v>
      </c>
      <c r="CR43" t="e">
        <f>AND('Planilla_General_07-12-2012_8_3'!A639,"AAAAAF/Ht18=")</f>
        <v>#VALUE!</v>
      </c>
      <c r="CS43" t="e">
        <f>AND('Planilla_General_07-12-2012_8_3'!B639,"AAAAAF/Ht2A=")</f>
        <v>#VALUE!</v>
      </c>
      <c r="CT43" t="e">
        <f>AND('Planilla_General_07-12-2012_8_3'!C639,"AAAAAF/Ht2E=")</f>
        <v>#VALUE!</v>
      </c>
      <c r="CU43" t="e">
        <f>AND('Planilla_General_07-12-2012_8_3'!D639,"AAAAAF/Ht2I=")</f>
        <v>#VALUE!</v>
      </c>
      <c r="CV43" t="e">
        <f>AND('Planilla_General_07-12-2012_8_3'!E639,"AAAAAF/Ht2M=")</f>
        <v>#VALUE!</v>
      </c>
      <c r="CW43" t="e">
        <f>AND('Planilla_General_07-12-2012_8_3'!F639,"AAAAAF/Ht2Q=")</f>
        <v>#VALUE!</v>
      </c>
      <c r="CX43" t="e">
        <f>AND('Planilla_General_07-12-2012_8_3'!G639,"AAAAAF/Ht2U=")</f>
        <v>#VALUE!</v>
      </c>
      <c r="CY43" t="e">
        <f>AND('Planilla_General_07-12-2012_8_3'!H639,"AAAAAF/Ht2Y=")</f>
        <v>#VALUE!</v>
      </c>
      <c r="CZ43" t="e">
        <f>AND('Planilla_General_07-12-2012_8_3'!I639,"AAAAAF/Ht2c=")</f>
        <v>#VALUE!</v>
      </c>
      <c r="DA43" t="e">
        <f>AND('Planilla_General_07-12-2012_8_3'!J639,"AAAAAF/Ht2g=")</f>
        <v>#VALUE!</v>
      </c>
      <c r="DB43" t="e">
        <f>AND('Planilla_General_07-12-2012_8_3'!K639,"AAAAAF/Ht2k=")</f>
        <v>#VALUE!</v>
      </c>
      <c r="DC43" t="e">
        <f>AND('Planilla_General_07-12-2012_8_3'!L639,"AAAAAF/Ht2o=")</f>
        <v>#VALUE!</v>
      </c>
      <c r="DD43" t="e">
        <f>AND('Planilla_General_07-12-2012_8_3'!M639,"AAAAAF/Ht2s=")</f>
        <v>#VALUE!</v>
      </c>
      <c r="DE43" t="e">
        <f>AND('Planilla_General_07-12-2012_8_3'!N639,"AAAAAF/Ht2w=")</f>
        <v>#VALUE!</v>
      </c>
      <c r="DF43" t="e">
        <f>AND('Planilla_General_07-12-2012_8_3'!O639,"AAAAAF/Ht20=")</f>
        <v>#VALUE!</v>
      </c>
      <c r="DG43" t="e">
        <f>AND('Planilla_General_07-12-2012_8_3'!P639,"AAAAAF/Ht24=")</f>
        <v>#VALUE!</v>
      </c>
      <c r="DH43">
        <f>IF('Planilla_General_07-12-2012_8_3'!640:640,"AAAAAF/Ht28=",0)</f>
        <v>0</v>
      </c>
      <c r="DI43" t="e">
        <f>AND('Planilla_General_07-12-2012_8_3'!A640,"AAAAAF/Ht3A=")</f>
        <v>#VALUE!</v>
      </c>
      <c r="DJ43" t="e">
        <f>AND('Planilla_General_07-12-2012_8_3'!B640,"AAAAAF/Ht3E=")</f>
        <v>#VALUE!</v>
      </c>
      <c r="DK43" t="e">
        <f>AND('Planilla_General_07-12-2012_8_3'!C640,"AAAAAF/Ht3I=")</f>
        <v>#VALUE!</v>
      </c>
      <c r="DL43" t="e">
        <f>AND('Planilla_General_07-12-2012_8_3'!D640,"AAAAAF/Ht3M=")</f>
        <v>#VALUE!</v>
      </c>
      <c r="DM43" t="e">
        <f>AND('Planilla_General_07-12-2012_8_3'!E640,"AAAAAF/Ht3Q=")</f>
        <v>#VALUE!</v>
      </c>
      <c r="DN43" t="e">
        <f>AND('Planilla_General_07-12-2012_8_3'!F640,"AAAAAF/Ht3U=")</f>
        <v>#VALUE!</v>
      </c>
      <c r="DO43" t="e">
        <f>AND('Planilla_General_07-12-2012_8_3'!G640,"AAAAAF/Ht3Y=")</f>
        <v>#VALUE!</v>
      </c>
      <c r="DP43" t="e">
        <f>AND('Planilla_General_07-12-2012_8_3'!H640,"AAAAAF/Ht3c=")</f>
        <v>#VALUE!</v>
      </c>
      <c r="DQ43" t="e">
        <f>AND('Planilla_General_07-12-2012_8_3'!I640,"AAAAAF/Ht3g=")</f>
        <v>#VALUE!</v>
      </c>
      <c r="DR43" t="e">
        <f>AND('Planilla_General_07-12-2012_8_3'!J640,"AAAAAF/Ht3k=")</f>
        <v>#VALUE!</v>
      </c>
      <c r="DS43" t="e">
        <f>AND('Planilla_General_07-12-2012_8_3'!K640,"AAAAAF/Ht3o=")</f>
        <v>#VALUE!</v>
      </c>
      <c r="DT43" t="e">
        <f>AND('Planilla_General_07-12-2012_8_3'!L640,"AAAAAF/Ht3s=")</f>
        <v>#VALUE!</v>
      </c>
      <c r="DU43" t="e">
        <f>AND('Planilla_General_07-12-2012_8_3'!M640,"AAAAAF/Ht3w=")</f>
        <v>#VALUE!</v>
      </c>
      <c r="DV43" t="e">
        <f>AND('Planilla_General_07-12-2012_8_3'!N640,"AAAAAF/Ht30=")</f>
        <v>#VALUE!</v>
      </c>
      <c r="DW43" t="e">
        <f>AND('Planilla_General_07-12-2012_8_3'!O640,"AAAAAF/Ht34=")</f>
        <v>#VALUE!</v>
      </c>
      <c r="DX43" t="e">
        <f>AND('Planilla_General_07-12-2012_8_3'!P640,"AAAAAF/Ht38=")</f>
        <v>#VALUE!</v>
      </c>
      <c r="DY43">
        <f>IF('Planilla_General_07-12-2012_8_3'!641:641,"AAAAAF/Ht4A=",0)</f>
        <v>0</v>
      </c>
      <c r="DZ43" t="e">
        <f>AND('Planilla_General_07-12-2012_8_3'!A641,"AAAAAF/Ht4E=")</f>
        <v>#VALUE!</v>
      </c>
      <c r="EA43" t="e">
        <f>AND('Planilla_General_07-12-2012_8_3'!B641,"AAAAAF/Ht4I=")</f>
        <v>#VALUE!</v>
      </c>
      <c r="EB43" t="e">
        <f>AND('Planilla_General_07-12-2012_8_3'!C641,"AAAAAF/Ht4M=")</f>
        <v>#VALUE!</v>
      </c>
      <c r="EC43" t="e">
        <f>AND('Planilla_General_07-12-2012_8_3'!D641,"AAAAAF/Ht4Q=")</f>
        <v>#VALUE!</v>
      </c>
      <c r="ED43" t="e">
        <f>AND('Planilla_General_07-12-2012_8_3'!E641,"AAAAAF/Ht4U=")</f>
        <v>#VALUE!</v>
      </c>
      <c r="EE43" t="e">
        <f>AND('Planilla_General_07-12-2012_8_3'!F641,"AAAAAF/Ht4Y=")</f>
        <v>#VALUE!</v>
      </c>
      <c r="EF43" t="e">
        <f>AND('Planilla_General_07-12-2012_8_3'!G641,"AAAAAF/Ht4c=")</f>
        <v>#VALUE!</v>
      </c>
      <c r="EG43" t="e">
        <f>AND('Planilla_General_07-12-2012_8_3'!H641,"AAAAAF/Ht4g=")</f>
        <v>#VALUE!</v>
      </c>
      <c r="EH43" t="e">
        <f>AND('Planilla_General_07-12-2012_8_3'!I641,"AAAAAF/Ht4k=")</f>
        <v>#VALUE!</v>
      </c>
      <c r="EI43" t="e">
        <f>AND('Planilla_General_07-12-2012_8_3'!J641,"AAAAAF/Ht4o=")</f>
        <v>#VALUE!</v>
      </c>
      <c r="EJ43" t="e">
        <f>AND('Planilla_General_07-12-2012_8_3'!K641,"AAAAAF/Ht4s=")</f>
        <v>#VALUE!</v>
      </c>
      <c r="EK43" t="e">
        <f>AND('Planilla_General_07-12-2012_8_3'!L641,"AAAAAF/Ht4w=")</f>
        <v>#VALUE!</v>
      </c>
      <c r="EL43" t="e">
        <f>AND('Planilla_General_07-12-2012_8_3'!M641,"AAAAAF/Ht40=")</f>
        <v>#VALUE!</v>
      </c>
      <c r="EM43" t="e">
        <f>AND('Planilla_General_07-12-2012_8_3'!N641,"AAAAAF/Ht44=")</f>
        <v>#VALUE!</v>
      </c>
      <c r="EN43" t="e">
        <f>AND('Planilla_General_07-12-2012_8_3'!O641,"AAAAAF/Ht48=")</f>
        <v>#VALUE!</v>
      </c>
      <c r="EO43" t="e">
        <f>AND('Planilla_General_07-12-2012_8_3'!P641,"AAAAAF/Ht5A=")</f>
        <v>#VALUE!</v>
      </c>
      <c r="EP43">
        <f>IF('Planilla_General_07-12-2012_8_3'!642:642,"AAAAAF/Ht5E=",0)</f>
        <v>0</v>
      </c>
      <c r="EQ43" t="e">
        <f>AND('Planilla_General_07-12-2012_8_3'!A642,"AAAAAF/Ht5I=")</f>
        <v>#VALUE!</v>
      </c>
      <c r="ER43" t="e">
        <f>AND('Planilla_General_07-12-2012_8_3'!B642,"AAAAAF/Ht5M=")</f>
        <v>#VALUE!</v>
      </c>
      <c r="ES43" t="e">
        <f>AND('Planilla_General_07-12-2012_8_3'!C642,"AAAAAF/Ht5Q=")</f>
        <v>#VALUE!</v>
      </c>
      <c r="ET43" t="e">
        <f>AND('Planilla_General_07-12-2012_8_3'!D642,"AAAAAF/Ht5U=")</f>
        <v>#VALUE!</v>
      </c>
      <c r="EU43" t="e">
        <f>AND('Planilla_General_07-12-2012_8_3'!E642,"AAAAAF/Ht5Y=")</f>
        <v>#VALUE!</v>
      </c>
      <c r="EV43" t="e">
        <f>AND('Planilla_General_07-12-2012_8_3'!F642,"AAAAAF/Ht5c=")</f>
        <v>#VALUE!</v>
      </c>
      <c r="EW43" t="e">
        <f>AND('Planilla_General_07-12-2012_8_3'!G642,"AAAAAF/Ht5g=")</f>
        <v>#VALUE!</v>
      </c>
      <c r="EX43" t="e">
        <f>AND('Planilla_General_07-12-2012_8_3'!H642,"AAAAAF/Ht5k=")</f>
        <v>#VALUE!</v>
      </c>
      <c r="EY43" t="e">
        <f>AND('Planilla_General_07-12-2012_8_3'!I642,"AAAAAF/Ht5o=")</f>
        <v>#VALUE!</v>
      </c>
      <c r="EZ43" t="e">
        <f>AND('Planilla_General_07-12-2012_8_3'!J642,"AAAAAF/Ht5s=")</f>
        <v>#VALUE!</v>
      </c>
      <c r="FA43" t="e">
        <f>AND('Planilla_General_07-12-2012_8_3'!K642,"AAAAAF/Ht5w=")</f>
        <v>#VALUE!</v>
      </c>
      <c r="FB43" t="e">
        <f>AND('Planilla_General_07-12-2012_8_3'!L642,"AAAAAF/Ht50=")</f>
        <v>#VALUE!</v>
      </c>
      <c r="FC43" t="e">
        <f>AND('Planilla_General_07-12-2012_8_3'!M642,"AAAAAF/Ht54=")</f>
        <v>#VALUE!</v>
      </c>
      <c r="FD43" t="e">
        <f>AND('Planilla_General_07-12-2012_8_3'!N642,"AAAAAF/Ht58=")</f>
        <v>#VALUE!</v>
      </c>
      <c r="FE43" t="e">
        <f>AND('Planilla_General_07-12-2012_8_3'!O642,"AAAAAF/Ht6A=")</f>
        <v>#VALUE!</v>
      </c>
      <c r="FF43" t="e">
        <f>AND('Planilla_General_07-12-2012_8_3'!P642,"AAAAAF/Ht6E=")</f>
        <v>#VALUE!</v>
      </c>
      <c r="FG43">
        <f>IF('Planilla_General_07-12-2012_8_3'!643:643,"AAAAAF/Ht6I=",0)</f>
        <v>0</v>
      </c>
      <c r="FH43" t="e">
        <f>AND('Planilla_General_07-12-2012_8_3'!A643,"AAAAAF/Ht6M=")</f>
        <v>#VALUE!</v>
      </c>
      <c r="FI43" t="e">
        <f>AND('Planilla_General_07-12-2012_8_3'!B643,"AAAAAF/Ht6Q=")</f>
        <v>#VALUE!</v>
      </c>
      <c r="FJ43" t="e">
        <f>AND('Planilla_General_07-12-2012_8_3'!C643,"AAAAAF/Ht6U=")</f>
        <v>#VALUE!</v>
      </c>
      <c r="FK43" t="e">
        <f>AND('Planilla_General_07-12-2012_8_3'!D643,"AAAAAF/Ht6Y=")</f>
        <v>#VALUE!</v>
      </c>
      <c r="FL43" t="e">
        <f>AND('Planilla_General_07-12-2012_8_3'!E643,"AAAAAF/Ht6c=")</f>
        <v>#VALUE!</v>
      </c>
      <c r="FM43" t="e">
        <f>AND('Planilla_General_07-12-2012_8_3'!F643,"AAAAAF/Ht6g=")</f>
        <v>#VALUE!</v>
      </c>
      <c r="FN43" t="e">
        <f>AND('Planilla_General_07-12-2012_8_3'!G643,"AAAAAF/Ht6k=")</f>
        <v>#VALUE!</v>
      </c>
      <c r="FO43" t="e">
        <f>AND('Planilla_General_07-12-2012_8_3'!H643,"AAAAAF/Ht6o=")</f>
        <v>#VALUE!</v>
      </c>
      <c r="FP43" t="e">
        <f>AND('Planilla_General_07-12-2012_8_3'!I643,"AAAAAF/Ht6s=")</f>
        <v>#VALUE!</v>
      </c>
      <c r="FQ43" t="e">
        <f>AND('Planilla_General_07-12-2012_8_3'!J643,"AAAAAF/Ht6w=")</f>
        <v>#VALUE!</v>
      </c>
      <c r="FR43" t="e">
        <f>AND('Planilla_General_07-12-2012_8_3'!K643,"AAAAAF/Ht60=")</f>
        <v>#VALUE!</v>
      </c>
      <c r="FS43" t="e">
        <f>AND('Planilla_General_07-12-2012_8_3'!L643,"AAAAAF/Ht64=")</f>
        <v>#VALUE!</v>
      </c>
      <c r="FT43" t="e">
        <f>AND('Planilla_General_07-12-2012_8_3'!M643,"AAAAAF/Ht68=")</f>
        <v>#VALUE!</v>
      </c>
      <c r="FU43" t="e">
        <f>AND('Planilla_General_07-12-2012_8_3'!N643,"AAAAAF/Ht7A=")</f>
        <v>#VALUE!</v>
      </c>
      <c r="FV43" t="e">
        <f>AND('Planilla_General_07-12-2012_8_3'!O643,"AAAAAF/Ht7E=")</f>
        <v>#VALUE!</v>
      </c>
      <c r="FW43" t="e">
        <f>AND('Planilla_General_07-12-2012_8_3'!P643,"AAAAAF/Ht7I=")</f>
        <v>#VALUE!</v>
      </c>
      <c r="FX43">
        <f>IF('Planilla_General_07-12-2012_8_3'!644:644,"AAAAAF/Ht7M=",0)</f>
        <v>0</v>
      </c>
      <c r="FY43" t="e">
        <f>AND('Planilla_General_07-12-2012_8_3'!A644,"AAAAAF/Ht7Q=")</f>
        <v>#VALUE!</v>
      </c>
      <c r="FZ43" t="e">
        <f>AND('Planilla_General_07-12-2012_8_3'!B644,"AAAAAF/Ht7U=")</f>
        <v>#VALUE!</v>
      </c>
      <c r="GA43" t="e">
        <f>AND('Planilla_General_07-12-2012_8_3'!C644,"AAAAAF/Ht7Y=")</f>
        <v>#VALUE!</v>
      </c>
      <c r="GB43" t="e">
        <f>AND('Planilla_General_07-12-2012_8_3'!D644,"AAAAAF/Ht7c=")</f>
        <v>#VALUE!</v>
      </c>
      <c r="GC43" t="e">
        <f>AND('Planilla_General_07-12-2012_8_3'!E644,"AAAAAF/Ht7g=")</f>
        <v>#VALUE!</v>
      </c>
      <c r="GD43" t="e">
        <f>AND('Planilla_General_07-12-2012_8_3'!F644,"AAAAAF/Ht7k=")</f>
        <v>#VALUE!</v>
      </c>
      <c r="GE43" t="e">
        <f>AND('Planilla_General_07-12-2012_8_3'!G644,"AAAAAF/Ht7o=")</f>
        <v>#VALUE!</v>
      </c>
      <c r="GF43" t="e">
        <f>AND('Planilla_General_07-12-2012_8_3'!H644,"AAAAAF/Ht7s=")</f>
        <v>#VALUE!</v>
      </c>
      <c r="GG43" t="e">
        <f>AND('Planilla_General_07-12-2012_8_3'!I644,"AAAAAF/Ht7w=")</f>
        <v>#VALUE!</v>
      </c>
      <c r="GH43" t="e">
        <f>AND('Planilla_General_07-12-2012_8_3'!J644,"AAAAAF/Ht70=")</f>
        <v>#VALUE!</v>
      </c>
      <c r="GI43" t="e">
        <f>AND('Planilla_General_07-12-2012_8_3'!K644,"AAAAAF/Ht74=")</f>
        <v>#VALUE!</v>
      </c>
      <c r="GJ43" t="e">
        <f>AND('Planilla_General_07-12-2012_8_3'!L644,"AAAAAF/Ht78=")</f>
        <v>#VALUE!</v>
      </c>
      <c r="GK43" t="e">
        <f>AND('Planilla_General_07-12-2012_8_3'!M644,"AAAAAF/Ht8A=")</f>
        <v>#VALUE!</v>
      </c>
      <c r="GL43" t="e">
        <f>AND('Planilla_General_07-12-2012_8_3'!N644,"AAAAAF/Ht8E=")</f>
        <v>#VALUE!</v>
      </c>
      <c r="GM43" t="e">
        <f>AND('Planilla_General_07-12-2012_8_3'!O644,"AAAAAF/Ht8I=")</f>
        <v>#VALUE!</v>
      </c>
      <c r="GN43" t="e">
        <f>AND('Planilla_General_07-12-2012_8_3'!P644,"AAAAAF/Ht8M=")</f>
        <v>#VALUE!</v>
      </c>
      <c r="GO43">
        <f>IF('Planilla_General_07-12-2012_8_3'!645:645,"AAAAAF/Ht8Q=",0)</f>
        <v>0</v>
      </c>
      <c r="GP43" t="e">
        <f>AND('Planilla_General_07-12-2012_8_3'!A645,"AAAAAF/Ht8U=")</f>
        <v>#VALUE!</v>
      </c>
      <c r="GQ43" t="e">
        <f>AND('Planilla_General_07-12-2012_8_3'!B645,"AAAAAF/Ht8Y=")</f>
        <v>#VALUE!</v>
      </c>
      <c r="GR43" t="e">
        <f>AND('Planilla_General_07-12-2012_8_3'!C645,"AAAAAF/Ht8c=")</f>
        <v>#VALUE!</v>
      </c>
      <c r="GS43" t="e">
        <f>AND('Planilla_General_07-12-2012_8_3'!D645,"AAAAAF/Ht8g=")</f>
        <v>#VALUE!</v>
      </c>
      <c r="GT43" t="e">
        <f>AND('Planilla_General_07-12-2012_8_3'!E645,"AAAAAF/Ht8k=")</f>
        <v>#VALUE!</v>
      </c>
      <c r="GU43" t="e">
        <f>AND('Planilla_General_07-12-2012_8_3'!F645,"AAAAAF/Ht8o=")</f>
        <v>#VALUE!</v>
      </c>
      <c r="GV43" t="e">
        <f>AND('Planilla_General_07-12-2012_8_3'!G645,"AAAAAF/Ht8s=")</f>
        <v>#VALUE!</v>
      </c>
      <c r="GW43" t="e">
        <f>AND('Planilla_General_07-12-2012_8_3'!H645,"AAAAAF/Ht8w=")</f>
        <v>#VALUE!</v>
      </c>
      <c r="GX43" t="e">
        <f>AND('Planilla_General_07-12-2012_8_3'!I645,"AAAAAF/Ht80=")</f>
        <v>#VALUE!</v>
      </c>
      <c r="GY43" t="e">
        <f>AND('Planilla_General_07-12-2012_8_3'!J645,"AAAAAF/Ht84=")</f>
        <v>#VALUE!</v>
      </c>
      <c r="GZ43" t="e">
        <f>AND('Planilla_General_07-12-2012_8_3'!K645,"AAAAAF/Ht88=")</f>
        <v>#VALUE!</v>
      </c>
      <c r="HA43" t="e">
        <f>AND('Planilla_General_07-12-2012_8_3'!L645,"AAAAAF/Ht9A=")</f>
        <v>#VALUE!</v>
      </c>
      <c r="HB43" t="e">
        <f>AND('Planilla_General_07-12-2012_8_3'!M645,"AAAAAF/Ht9E=")</f>
        <v>#VALUE!</v>
      </c>
      <c r="HC43" t="e">
        <f>AND('Planilla_General_07-12-2012_8_3'!N645,"AAAAAF/Ht9I=")</f>
        <v>#VALUE!</v>
      </c>
      <c r="HD43" t="e">
        <f>AND('Planilla_General_07-12-2012_8_3'!O645,"AAAAAF/Ht9M=")</f>
        <v>#VALUE!</v>
      </c>
      <c r="HE43" t="e">
        <f>AND('Planilla_General_07-12-2012_8_3'!P645,"AAAAAF/Ht9Q=")</f>
        <v>#VALUE!</v>
      </c>
      <c r="HF43">
        <f>IF('Planilla_General_07-12-2012_8_3'!646:646,"AAAAAF/Ht9U=",0)</f>
        <v>0</v>
      </c>
      <c r="HG43" t="e">
        <f>AND('Planilla_General_07-12-2012_8_3'!A646,"AAAAAF/Ht9Y=")</f>
        <v>#VALUE!</v>
      </c>
      <c r="HH43" t="e">
        <f>AND('Planilla_General_07-12-2012_8_3'!B646,"AAAAAF/Ht9c=")</f>
        <v>#VALUE!</v>
      </c>
      <c r="HI43" t="e">
        <f>AND('Planilla_General_07-12-2012_8_3'!C646,"AAAAAF/Ht9g=")</f>
        <v>#VALUE!</v>
      </c>
      <c r="HJ43" t="e">
        <f>AND('Planilla_General_07-12-2012_8_3'!D646,"AAAAAF/Ht9k=")</f>
        <v>#VALUE!</v>
      </c>
      <c r="HK43" t="e">
        <f>AND('Planilla_General_07-12-2012_8_3'!E646,"AAAAAF/Ht9o=")</f>
        <v>#VALUE!</v>
      </c>
      <c r="HL43" t="e">
        <f>AND('Planilla_General_07-12-2012_8_3'!F646,"AAAAAF/Ht9s=")</f>
        <v>#VALUE!</v>
      </c>
      <c r="HM43" t="e">
        <f>AND('Planilla_General_07-12-2012_8_3'!G646,"AAAAAF/Ht9w=")</f>
        <v>#VALUE!</v>
      </c>
      <c r="HN43" t="e">
        <f>AND('Planilla_General_07-12-2012_8_3'!H646,"AAAAAF/Ht90=")</f>
        <v>#VALUE!</v>
      </c>
      <c r="HO43" t="e">
        <f>AND('Planilla_General_07-12-2012_8_3'!I646,"AAAAAF/Ht94=")</f>
        <v>#VALUE!</v>
      </c>
      <c r="HP43" t="e">
        <f>AND('Planilla_General_07-12-2012_8_3'!J646,"AAAAAF/Ht98=")</f>
        <v>#VALUE!</v>
      </c>
      <c r="HQ43" t="e">
        <f>AND('Planilla_General_07-12-2012_8_3'!K646,"AAAAAF/Ht+A=")</f>
        <v>#VALUE!</v>
      </c>
      <c r="HR43" t="e">
        <f>AND('Planilla_General_07-12-2012_8_3'!L646,"AAAAAF/Ht+E=")</f>
        <v>#VALUE!</v>
      </c>
      <c r="HS43" t="e">
        <f>AND('Planilla_General_07-12-2012_8_3'!M646,"AAAAAF/Ht+I=")</f>
        <v>#VALUE!</v>
      </c>
      <c r="HT43" t="e">
        <f>AND('Planilla_General_07-12-2012_8_3'!N646,"AAAAAF/Ht+M=")</f>
        <v>#VALUE!</v>
      </c>
      <c r="HU43" t="e">
        <f>AND('Planilla_General_07-12-2012_8_3'!O646,"AAAAAF/Ht+Q=")</f>
        <v>#VALUE!</v>
      </c>
      <c r="HV43" t="e">
        <f>AND('Planilla_General_07-12-2012_8_3'!P646,"AAAAAF/Ht+U=")</f>
        <v>#VALUE!</v>
      </c>
      <c r="HW43">
        <f>IF('Planilla_General_07-12-2012_8_3'!647:647,"AAAAAF/Ht+Y=",0)</f>
        <v>0</v>
      </c>
      <c r="HX43" t="e">
        <f>AND('Planilla_General_07-12-2012_8_3'!A647,"AAAAAF/Ht+c=")</f>
        <v>#VALUE!</v>
      </c>
      <c r="HY43" t="e">
        <f>AND('Planilla_General_07-12-2012_8_3'!B647,"AAAAAF/Ht+g=")</f>
        <v>#VALUE!</v>
      </c>
      <c r="HZ43" t="e">
        <f>AND('Planilla_General_07-12-2012_8_3'!C647,"AAAAAF/Ht+k=")</f>
        <v>#VALUE!</v>
      </c>
      <c r="IA43" t="e">
        <f>AND('Planilla_General_07-12-2012_8_3'!D647,"AAAAAF/Ht+o=")</f>
        <v>#VALUE!</v>
      </c>
      <c r="IB43" t="e">
        <f>AND('Planilla_General_07-12-2012_8_3'!E647,"AAAAAF/Ht+s=")</f>
        <v>#VALUE!</v>
      </c>
      <c r="IC43" t="e">
        <f>AND('Planilla_General_07-12-2012_8_3'!F647,"AAAAAF/Ht+w=")</f>
        <v>#VALUE!</v>
      </c>
      <c r="ID43" t="e">
        <f>AND('Planilla_General_07-12-2012_8_3'!G647,"AAAAAF/Ht+0=")</f>
        <v>#VALUE!</v>
      </c>
      <c r="IE43" t="e">
        <f>AND('Planilla_General_07-12-2012_8_3'!H647,"AAAAAF/Ht+4=")</f>
        <v>#VALUE!</v>
      </c>
      <c r="IF43" t="e">
        <f>AND('Planilla_General_07-12-2012_8_3'!I647,"AAAAAF/Ht+8=")</f>
        <v>#VALUE!</v>
      </c>
      <c r="IG43" t="e">
        <f>AND('Planilla_General_07-12-2012_8_3'!J647,"AAAAAF/Ht/A=")</f>
        <v>#VALUE!</v>
      </c>
      <c r="IH43" t="e">
        <f>AND('Planilla_General_07-12-2012_8_3'!K647,"AAAAAF/Ht/E=")</f>
        <v>#VALUE!</v>
      </c>
      <c r="II43" t="e">
        <f>AND('Planilla_General_07-12-2012_8_3'!L647,"AAAAAF/Ht/I=")</f>
        <v>#VALUE!</v>
      </c>
      <c r="IJ43" t="e">
        <f>AND('Planilla_General_07-12-2012_8_3'!M647,"AAAAAF/Ht/M=")</f>
        <v>#VALUE!</v>
      </c>
      <c r="IK43" t="e">
        <f>AND('Planilla_General_07-12-2012_8_3'!N647,"AAAAAF/Ht/Q=")</f>
        <v>#VALUE!</v>
      </c>
      <c r="IL43" t="e">
        <f>AND('Planilla_General_07-12-2012_8_3'!O647,"AAAAAF/Ht/U=")</f>
        <v>#VALUE!</v>
      </c>
      <c r="IM43" t="e">
        <f>AND('Planilla_General_07-12-2012_8_3'!P647,"AAAAAF/Ht/Y=")</f>
        <v>#VALUE!</v>
      </c>
      <c r="IN43">
        <f>IF('Planilla_General_07-12-2012_8_3'!648:648,"AAAAAF/Ht/c=",0)</f>
        <v>0</v>
      </c>
      <c r="IO43" t="e">
        <f>AND('Planilla_General_07-12-2012_8_3'!A648,"AAAAAF/Ht/g=")</f>
        <v>#VALUE!</v>
      </c>
      <c r="IP43" t="e">
        <f>AND('Planilla_General_07-12-2012_8_3'!B648,"AAAAAF/Ht/k=")</f>
        <v>#VALUE!</v>
      </c>
      <c r="IQ43" t="e">
        <f>AND('Planilla_General_07-12-2012_8_3'!C648,"AAAAAF/Ht/o=")</f>
        <v>#VALUE!</v>
      </c>
      <c r="IR43" t="e">
        <f>AND('Planilla_General_07-12-2012_8_3'!D648,"AAAAAF/Ht/s=")</f>
        <v>#VALUE!</v>
      </c>
      <c r="IS43" t="e">
        <f>AND('Planilla_General_07-12-2012_8_3'!E648,"AAAAAF/Ht/w=")</f>
        <v>#VALUE!</v>
      </c>
      <c r="IT43" t="e">
        <f>AND('Planilla_General_07-12-2012_8_3'!F648,"AAAAAF/Ht/0=")</f>
        <v>#VALUE!</v>
      </c>
      <c r="IU43" t="e">
        <f>AND('Planilla_General_07-12-2012_8_3'!G648,"AAAAAF/Ht/4=")</f>
        <v>#VALUE!</v>
      </c>
      <c r="IV43" t="e">
        <f>AND('Planilla_General_07-12-2012_8_3'!H648,"AAAAAF/Ht/8=")</f>
        <v>#VALUE!</v>
      </c>
    </row>
    <row r="44" spans="1:256" x14ac:dyDescent="0.25">
      <c r="A44" t="e">
        <f>AND('Planilla_General_07-12-2012_8_3'!I648,"AAAAAF/vbQA=")</f>
        <v>#VALUE!</v>
      </c>
      <c r="B44" t="e">
        <f>AND('Planilla_General_07-12-2012_8_3'!J648,"AAAAAF/vbQE=")</f>
        <v>#VALUE!</v>
      </c>
      <c r="C44" t="e">
        <f>AND('Planilla_General_07-12-2012_8_3'!K648,"AAAAAF/vbQI=")</f>
        <v>#VALUE!</v>
      </c>
      <c r="D44" t="e">
        <f>AND('Planilla_General_07-12-2012_8_3'!L648,"AAAAAF/vbQM=")</f>
        <v>#VALUE!</v>
      </c>
      <c r="E44" t="e">
        <f>AND('Planilla_General_07-12-2012_8_3'!M648,"AAAAAF/vbQQ=")</f>
        <v>#VALUE!</v>
      </c>
      <c r="F44" t="e">
        <f>AND('Planilla_General_07-12-2012_8_3'!N648,"AAAAAF/vbQU=")</f>
        <v>#VALUE!</v>
      </c>
      <c r="G44" t="e">
        <f>AND('Planilla_General_07-12-2012_8_3'!O648,"AAAAAF/vbQY=")</f>
        <v>#VALUE!</v>
      </c>
      <c r="H44" t="e">
        <f>AND('Planilla_General_07-12-2012_8_3'!P648,"AAAAAF/vbQc=")</f>
        <v>#VALUE!</v>
      </c>
      <c r="I44" t="e">
        <f>IF('Planilla_General_07-12-2012_8_3'!649:649,"AAAAAF/vbQg=",0)</f>
        <v>#VALUE!</v>
      </c>
      <c r="J44" t="e">
        <f>AND('Planilla_General_07-12-2012_8_3'!A649,"AAAAAF/vbQk=")</f>
        <v>#VALUE!</v>
      </c>
      <c r="K44" t="e">
        <f>AND('Planilla_General_07-12-2012_8_3'!B649,"AAAAAF/vbQo=")</f>
        <v>#VALUE!</v>
      </c>
      <c r="L44" t="e">
        <f>AND('Planilla_General_07-12-2012_8_3'!C649,"AAAAAF/vbQs=")</f>
        <v>#VALUE!</v>
      </c>
      <c r="M44" t="e">
        <f>AND('Planilla_General_07-12-2012_8_3'!D649,"AAAAAF/vbQw=")</f>
        <v>#VALUE!</v>
      </c>
      <c r="N44" t="e">
        <f>AND('Planilla_General_07-12-2012_8_3'!E649,"AAAAAF/vbQ0=")</f>
        <v>#VALUE!</v>
      </c>
      <c r="O44" t="e">
        <f>AND('Planilla_General_07-12-2012_8_3'!F649,"AAAAAF/vbQ4=")</f>
        <v>#VALUE!</v>
      </c>
      <c r="P44" t="e">
        <f>AND('Planilla_General_07-12-2012_8_3'!G649,"AAAAAF/vbQ8=")</f>
        <v>#VALUE!</v>
      </c>
      <c r="Q44" t="e">
        <f>AND('Planilla_General_07-12-2012_8_3'!H649,"AAAAAF/vbRA=")</f>
        <v>#VALUE!</v>
      </c>
      <c r="R44" t="e">
        <f>AND('Planilla_General_07-12-2012_8_3'!I649,"AAAAAF/vbRE=")</f>
        <v>#VALUE!</v>
      </c>
      <c r="S44" t="e">
        <f>AND('Planilla_General_07-12-2012_8_3'!J649,"AAAAAF/vbRI=")</f>
        <v>#VALUE!</v>
      </c>
      <c r="T44" t="e">
        <f>AND('Planilla_General_07-12-2012_8_3'!K649,"AAAAAF/vbRM=")</f>
        <v>#VALUE!</v>
      </c>
      <c r="U44" t="e">
        <f>AND('Planilla_General_07-12-2012_8_3'!L649,"AAAAAF/vbRQ=")</f>
        <v>#VALUE!</v>
      </c>
      <c r="V44" t="e">
        <f>AND('Planilla_General_07-12-2012_8_3'!M649,"AAAAAF/vbRU=")</f>
        <v>#VALUE!</v>
      </c>
      <c r="W44" t="e">
        <f>AND('Planilla_General_07-12-2012_8_3'!N649,"AAAAAF/vbRY=")</f>
        <v>#VALUE!</v>
      </c>
      <c r="X44" t="e">
        <f>AND('Planilla_General_07-12-2012_8_3'!O649,"AAAAAF/vbRc=")</f>
        <v>#VALUE!</v>
      </c>
      <c r="Y44" t="e">
        <f>AND('Planilla_General_07-12-2012_8_3'!P649,"AAAAAF/vbRg=")</f>
        <v>#VALUE!</v>
      </c>
      <c r="Z44">
        <f>IF('Planilla_General_07-12-2012_8_3'!650:650,"AAAAAF/vbRk=",0)</f>
        <v>0</v>
      </c>
      <c r="AA44" t="e">
        <f>AND('Planilla_General_07-12-2012_8_3'!A650,"AAAAAF/vbRo=")</f>
        <v>#VALUE!</v>
      </c>
      <c r="AB44" t="e">
        <f>AND('Planilla_General_07-12-2012_8_3'!B650,"AAAAAF/vbRs=")</f>
        <v>#VALUE!</v>
      </c>
      <c r="AC44" t="e">
        <f>AND('Planilla_General_07-12-2012_8_3'!C650,"AAAAAF/vbRw=")</f>
        <v>#VALUE!</v>
      </c>
      <c r="AD44" t="e">
        <f>AND('Planilla_General_07-12-2012_8_3'!D650,"AAAAAF/vbR0=")</f>
        <v>#VALUE!</v>
      </c>
      <c r="AE44" t="e">
        <f>AND('Planilla_General_07-12-2012_8_3'!E650,"AAAAAF/vbR4=")</f>
        <v>#VALUE!</v>
      </c>
      <c r="AF44" t="e">
        <f>AND('Planilla_General_07-12-2012_8_3'!F650,"AAAAAF/vbR8=")</f>
        <v>#VALUE!</v>
      </c>
      <c r="AG44" t="e">
        <f>AND('Planilla_General_07-12-2012_8_3'!G650,"AAAAAF/vbSA=")</f>
        <v>#VALUE!</v>
      </c>
      <c r="AH44" t="e">
        <f>AND('Planilla_General_07-12-2012_8_3'!H650,"AAAAAF/vbSE=")</f>
        <v>#VALUE!</v>
      </c>
      <c r="AI44" t="e">
        <f>AND('Planilla_General_07-12-2012_8_3'!I650,"AAAAAF/vbSI=")</f>
        <v>#VALUE!</v>
      </c>
      <c r="AJ44" t="e">
        <f>AND('Planilla_General_07-12-2012_8_3'!J650,"AAAAAF/vbSM=")</f>
        <v>#VALUE!</v>
      </c>
      <c r="AK44" t="e">
        <f>AND('Planilla_General_07-12-2012_8_3'!K650,"AAAAAF/vbSQ=")</f>
        <v>#VALUE!</v>
      </c>
      <c r="AL44" t="e">
        <f>AND('Planilla_General_07-12-2012_8_3'!L650,"AAAAAF/vbSU=")</f>
        <v>#VALUE!</v>
      </c>
      <c r="AM44" t="e">
        <f>AND('Planilla_General_07-12-2012_8_3'!M650,"AAAAAF/vbSY=")</f>
        <v>#VALUE!</v>
      </c>
      <c r="AN44" t="e">
        <f>AND('Planilla_General_07-12-2012_8_3'!N650,"AAAAAF/vbSc=")</f>
        <v>#VALUE!</v>
      </c>
      <c r="AO44" t="e">
        <f>AND('Planilla_General_07-12-2012_8_3'!O650,"AAAAAF/vbSg=")</f>
        <v>#VALUE!</v>
      </c>
      <c r="AP44" t="e">
        <f>AND('Planilla_General_07-12-2012_8_3'!P650,"AAAAAF/vbSk=")</f>
        <v>#VALUE!</v>
      </c>
      <c r="AQ44">
        <f>IF('Planilla_General_07-12-2012_8_3'!651:651,"AAAAAF/vbSo=",0)</f>
        <v>0</v>
      </c>
      <c r="AR44" t="e">
        <f>AND('Planilla_General_07-12-2012_8_3'!A651,"AAAAAF/vbSs=")</f>
        <v>#VALUE!</v>
      </c>
      <c r="AS44" t="e">
        <f>AND('Planilla_General_07-12-2012_8_3'!B651,"AAAAAF/vbSw=")</f>
        <v>#VALUE!</v>
      </c>
      <c r="AT44" t="e">
        <f>AND('Planilla_General_07-12-2012_8_3'!C651,"AAAAAF/vbS0=")</f>
        <v>#VALUE!</v>
      </c>
      <c r="AU44" t="e">
        <f>AND('Planilla_General_07-12-2012_8_3'!D651,"AAAAAF/vbS4=")</f>
        <v>#VALUE!</v>
      </c>
      <c r="AV44" t="e">
        <f>AND('Planilla_General_07-12-2012_8_3'!E651,"AAAAAF/vbS8=")</f>
        <v>#VALUE!</v>
      </c>
      <c r="AW44" t="e">
        <f>AND('Planilla_General_07-12-2012_8_3'!F651,"AAAAAF/vbTA=")</f>
        <v>#VALUE!</v>
      </c>
      <c r="AX44" t="e">
        <f>AND('Planilla_General_07-12-2012_8_3'!G651,"AAAAAF/vbTE=")</f>
        <v>#VALUE!</v>
      </c>
      <c r="AY44" t="e">
        <f>AND('Planilla_General_07-12-2012_8_3'!H651,"AAAAAF/vbTI=")</f>
        <v>#VALUE!</v>
      </c>
      <c r="AZ44" t="e">
        <f>AND('Planilla_General_07-12-2012_8_3'!I651,"AAAAAF/vbTM=")</f>
        <v>#VALUE!</v>
      </c>
      <c r="BA44" t="e">
        <f>AND('Planilla_General_07-12-2012_8_3'!J651,"AAAAAF/vbTQ=")</f>
        <v>#VALUE!</v>
      </c>
      <c r="BB44" t="e">
        <f>AND('Planilla_General_07-12-2012_8_3'!K651,"AAAAAF/vbTU=")</f>
        <v>#VALUE!</v>
      </c>
      <c r="BC44" t="e">
        <f>AND('Planilla_General_07-12-2012_8_3'!L651,"AAAAAF/vbTY=")</f>
        <v>#VALUE!</v>
      </c>
      <c r="BD44" t="e">
        <f>AND('Planilla_General_07-12-2012_8_3'!M651,"AAAAAF/vbTc=")</f>
        <v>#VALUE!</v>
      </c>
      <c r="BE44" t="e">
        <f>AND('Planilla_General_07-12-2012_8_3'!N651,"AAAAAF/vbTg=")</f>
        <v>#VALUE!</v>
      </c>
      <c r="BF44" t="e">
        <f>AND('Planilla_General_07-12-2012_8_3'!O651,"AAAAAF/vbTk=")</f>
        <v>#VALUE!</v>
      </c>
      <c r="BG44" t="e">
        <f>AND('Planilla_General_07-12-2012_8_3'!P651,"AAAAAF/vbTo=")</f>
        <v>#VALUE!</v>
      </c>
      <c r="BH44">
        <f>IF('Planilla_General_07-12-2012_8_3'!652:652,"AAAAAF/vbTs=",0)</f>
        <v>0</v>
      </c>
      <c r="BI44" t="e">
        <f>AND('Planilla_General_07-12-2012_8_3'!A652,"AAAAAF/vbTw=")</f>
        <v>#VALUE!</v>
      </c>
      <c r="BJ44" t="e">
        <f>AND('Planilla_General_07-12-2012_8_3'!B652,"AAAAAF/vbT0=")</f>
        <v>#VALUE!</v>
      </c>
      <c r="BK44" t="e">
        <f>AND('Planilla_General_07-12-2012_8_3'!C652,"AAAAAF/vbT4=")</f>
        <v>#VALUE!</v>
      </c>
      <c r="BL44" t="e">
        <f>AND('Planilla_General_07-12-2012_8_3'!D652,"AAAAAF/vbT8=")</f>
        <v>#VALUE!</v>
      </c>
      <c r="BM44" t="e">
        <f>AND('Planilla_General_07-12-2012_8_3'!E652,"AAAAAF/vbUA=")</f>
        <v>#VALUE!</v>
      </c>
      <c r="BN44" t="e">
        <f>AND('Planilla_General_07-12-2012_8_3'!F652,"AAAAAF/vbUE=")</f>
        <v>#VALUE!</v>
      </c>
      <c r="BO44" t="e">
        <f>AND('Planilla_General_07-12-2012_8_3'!G652,"AAAAAF/vbUI=")</f>
        <v>#VALUE!</v>
      </c>
      <c r="BP44" t="e">
        <f>AND('Planilla_General_07-12-2012_8_3'!H652,"AAAAAF/vbUM=")</f>
        <v>#VALUE!</v>
      </c>
      <c r="BQ44" t="e">
        <f>AND('Planilla_General_07-12-2012_8_3'!I652,"AAAAAF/vbUQ=")</f>
        <v>#VALUE!</v>
      </c>
      <c r="BR44" t="e">
        <f>AND('Planilla_General_07-12-2012_8_3'!J652,"AAAAAF/vbUU=")</f>
        <v>#VALUE!</v>
      </c>
      <c r="BS44" t="e">
        <f>AND('Planilla_General_07-12-2012_8_3'!K652,"AAAAAF/vbUY=")</f>
        <v>#VALUE!</v>
      </c>
      <c r="BT44" t="e">
        <f>AND('Planilla_General_07-12-2012_8_3'!L652,"AAAAAF/vbUc=")</f>
        <v>#VALUE!</v>
      </c>
      <c r="BU44" t="e">
        <f>AND('Planilla_General_07-12-2012_8_3'!M652,"AAAAAF/vbUg=")</f>
        <v>#VALUE!</v>
      </c>
      <c r="BV44" t="e">
        <f>AND('Planilla_General_07-12-2012_8_3'!N652,"AAAAAF/vbUk=")</f>
        <v>#VALUE!</v>
      </c>
      <c r="BW44" t="e">
        <f>AND('Planilla_General_07-12-2012_8_3'!O652,"AAAAAF/vbUo=")</f>
        <v>#VALUE!</v>
      </c>
      <c r="BX44" t="e">
        <f>AND('Planilla_General_07-12-2012_8_3'!P652,"AAAAAF/vbUs=")</f>
        <v>#VALUE!</v>
      </c>
      <c r="BY44">
        <f>IF('Planilla_General_07-12-2012_8_3'!653:653,"AAAAAF/vbUw=",0)</f>
        <v>0</v>
      </c>
      <c r="BZ44" t="e">
        <f>AND('Planilla_General_07-12-2012_8_3'!A653,"AAAAAF/vbU0=")</f>
        <v>#VALUE!</v>
      </c>
      <c r="CA44" t="e">
        <f>AND('Planilla_General_07-12-2012_8_3'!B653,"AAAAAF/vbU4=")</f>
        <v>#VALUE!</v>
      </c>
      <c r="CB44" t="e">
        <f>AND('Planilla_General_07-12-2012_8_3'!C653,"AAAAAF/vbU8=")</f>
        <v>#VALUE!</v>
      </c>
      <c r="CC44" t="e">
        <f>AND('Planilla_General_07-12-2012_8_3'!D653,"AAAAAF/vbVA=")</f>
        <v>#VALUE!</v>
      </c>
      <c r="CD44" t="e">
        <f>AND('Planilla_General_07-12-2012_8_3'!E653,"AAAAAF/vbVE=")</f>
        <v>#VALUE!</v>
      </c>
      <c r="CE44" t="e">
        <f>AND('Planilla_General_07-12-2012_8_3'!F653,"AAAAAF/vbVI=")</f>
        <v>#VALUE!</v>
      </c>
      <c r="CF44" t="e">
        <f>AND('Planilla_General_07-12-2012_8_3'!G653,"AAAAAF/vbVM=")</f>
        <v>#VALUE!</v>
      </c>
      <c r="CG44" t="e">
        <f>AND('Planilla_General_07-12-2012_8_3'!H653,"AAAAAF/vbVQ=")</f>
        <v>#VALUE!</v>
      </c>
      <c r="CH44" t="e">
        <f>AND('Planilla_General_07-12-2012_8_3'!I653,"AAAAAF/vbVU=")</f>
        <v>#VALUE!</v>
      </c>
      <c r="CI44" t="e">
        <f>AND('Planilla_General_07-12-2012_8_3'!J653,"AAAAAF/vbVY=")</f>
        <v>#VALUE!</v>
      </c>
      <c r="CJ44" t="e">
        <f>AND('Planilla_General_07-12-2012_8_3'!K653,"AAAAAF/vbVc=")</f>
        <v>#VALUE!</v>
      </c>
      <c r="CK44" t="e">
        <f>AND('Planilla_General_07-12-2012_8_3'!L653,"AAAAAF/vbVg=")</f>
        <v>#VALUE!</v>
      </c>
      <c r="CL44" t="e">
        <f>AND('Planilla_General_07-12-2012_8_3'!M653,"AAAAAF/vbVk=")</f>
        <v>#VALUE!</v>
      </c>
      <c r="CM44" t="e">
        <f>AND('Planilla_General_07-12-2012_8_3'!N653,"AAAAAF/vbVo=")</f>
        <v>#VALUE!</v>
      </c>
      <c r="CN44" t="e">
        <f>AND('Planilla_General_07-12-2012_8_3'!O653,"AAAAAF/vbVs=")</f>
        <v>#VALUE!</v>
      </c>
      <c r="CO44" t="e">
        <f>AND('Planilla_General_07-12-2012_8_3'!P653,"AAAAAF/vbVw=")</f>
        <v>#VALUE!</v>
      </c>
      <c r="CP44">
        <f>IF('Planilla_General_07-12-2012_8_3'!654:654,"AAAAAF/vbV0=",0)</f>
        <v>0</v>
      </c>
      <c r="CQ44" t="e">
        <f>AND('Planilla_General_07-12-2012_8_3'!A654,"AAAAAF/vbV4=")</f>
        <v>#VALUE!</v>
      </c>
      <c r="CR44" t="e">
        <f>AND('Planilla_General_07-12-2012_8_3'!B654,"AAAAAF/vbV8=")</f>
        <v>#VALUE!</v>
      </c>
      <c r="CS44" t="e">
        <f>AND('Planilla_General_07-12-2012_8_3'!C654,"AAAAAF/vbWA=")</f>
        <v>#VALUE!</v>
      </c>
      <c r="CT44" t="e">
        <f>AND('Planilla_General_07-12-2012_8_3'!D654,"AAAAAF/vbWE=")</f>
        <v>#VALUE!</v>
      </c>
      <c r="CU44" t="e">
        <f>AND('Planilla_General_07-12-2012_8_3'!E654,"AAAAAF/vbWI=")</f>
        <v>#VALUE!</v>
      </c>
      <c r="CV44" t="e">
        <f>AND('Planilla_General_07-12-2012_8_3'!F654,"AAAAAF/vbWM=")</f>
        <v>#VALUE!</v>
      </c>
      <c r="CW44" t="e">
        <f>AND('Planilla_General_07-12-2012_8_3'!G654,"AAAAAF/vbWQ=")</f>
        <v>#VALUE!</v>
      </c>
      <c r="CX44" t="e">
        <f>AND('Planilla_General_07-12-2012_8_3'!H654,"AAAAAF/vbWU=")</f>
        <v>#VALUE!</v>
      </c>
      <c r="CY44" t="e">
        <f>AND('Planilla_General_07-12-2012_8_3'!I654,"AAAAAF/vbWY=")</f>
        <v>#VALUE!</v>
      </c>
      <c r="CZ44" t="e">
        <f>AND('Planilla_General_07-12-2012_8_3'!J654,"AAAAAF/vbWc=")</f>
        <v>#VALUE!</v>
      </c>
      <c r="DA44" t="e">
        <f>AND('Planilla_General_07-12-2012_8_3'!K654,"AAAAAF/vbWg=")</f>
        <v>#VALUE!</v>
      </c>
      <c r="DB44" t="e">
        <f>AND('Planilla_General_07-12-2012_8_3'!L654,"AAAAAF/vbWk=")</f>
        <v>#VALUE!</v>
      </c>
      <c r="DC44" t="e">
        <f>AND('Planilla_General_07-12-2012_8_3'!M654,"AAAAAF/vbWo=")</f>
        <v>#VALUE!</v>
      </c>
      <c r="DD44" t="e">
        <f>AND('Planilla_General_07-12-2012_8_3'!N654,"AAAAAF/vbWs=")</f>
        <v>#VALUE!</v>
      </c>
      <c r="DE44" t="e">
        <f>AND('Planilla_General_07-12-2012_8_3'!O654,"AAAAAF/vbWw=")</f>
        <v>#VALUE!</v>
      </c>
      <c r="DF44" t="e">
        <f>AND('Planilla_General_07-12-2012_8_3'!P654,"AAAAAF/vbW0=")</f>
        <v>#VALUE!</v>
      </c>
      <c r="DG44">
        <f>IF('Planilla_General_07-12-2012_8_3'!655:655,"AAAAAF/vbW4=",0)</f>
        <v>0</v>
      </c>
      <c r="DH44" t="e">
        <f>AND('Planilla_General_07-12-2012_8_3'!A655,"AAAAAF/vbW8=")</f>
        <v>#VALUE!</v>
      </c>
      <c r="DI44" t="e">
        <f>AND('Planilla_General_07-12-2012_8_3'!B655,"AAAAAF/vbXA=")</f>
        <v>#VALUE!</v>
      </c>
      <c r="DJ44" t="e">
        <f>AND('Planilla_General_07-12-2012_8_3'!C655,"AAAAAF/vbXE=")</f>
        <v>#VALUE!</v>
      </c>
      <c r="DK44" t="e">
        <f>AND('Planilla_General_07-12-2012_8_3'!D655,"AAAAAF/vbXI=")</f>
        <v>#VALUE!</v>
      </c>
      <c r="DL44" t="e">
        <f>AND('Planilla_General_07-12-2012_8_3'!E655,"AAAAAF/vbXM=")</f>
        <v>#VALUE!</v>
      </c>
      <c r="DM44" t="e">
        <f>AND('Planilla_General_07-12-2012_8_3'!F655,"AAAAAF/vbXQ=")</f>
        <v>#VALUE!</v>
      </c>
      <c r="DN44" t="e">
        <f>AND('Planilla_General_07-12-2012_8_3'!G655,"AAAAAF/vbXU=")</f>
        <v>#VALUE!</v>
      </c>
      <c r="DO44" t="e">
        <f>AND('Planilla_General_07-12-2012_8_3'!H655,"AAAAAF/vbXY=")</f>
        <v>#VALUE!</v>
      </c>
      <c r="DP44" t="e">
        <f>AND('Planilla_General_07-12-2012_8_3'!I655,"AAAAAF/vbXc=")</f>
        <v>#VALUE!</v>
      </c>
      <c r="DQ44" t="e">
        <f>AND('Planilla_General_07-12-2012_8_3'!J655,"AAAAAF/vbXg=")</f>
        <v>#VALUE!</v>
      </c>
      <c r="DR44" t="e">
        <f>AND('Planilla_General_07-12-2012_8_3'!K655,"AAAAAF/vbXk=")</f>
        <v>#VALUE!</v>
      </c>
      <c r="DS44" t="e">
        <f>AND('Planilla_General_07-12-2012_8_3'!L655,"AAAAAF/vbXo=")</f>
        <v>#VALUE!</v>
      </c>
      <c r="DT44" t="e">
        <f>AND('Planilla_General_07-12-2012_8_3'!M655,"AAAAAF/vbXs=")</f>
        <v>#VALUE!</v>
      </c>
      <c r="DU44" t="e">
        <f>AND('Planilla_General_07-12-2012_8_3'!N655,"AAAAAF/vbXw=")</f>
        <v>#VALUE!</v>
      </c>
      <c r="DV44" t="e">
        <f>AND('Planilla_General_07-12-2012_8_3'!O655,"AAAAAF/vbX0=")</f>
        <v>#VALUE!</v>
      </c>
      <c r="DW44" t="e">
        <f>AND('Planilla_General_07-12-2012_8_3'!P655,"AAAAAF/vbX4=")</f>
        <v>#VALUE!</v>
      </c>
      <c r="DX44">
        <f>IF('Planilla_General_07-12-2012_8_3'!656:656,"AAAAAF/vbX8=",0)</f>
        <v>0</v>
      </c>
      <c r="DY44" t="e">
        <f>AND('Planilla_General_07-12-2012_8_3'!A656,"AAAAAF/vbYA=")</f>
        <v>#VALUE!</v>
      </c>
      <c r="DZ44" t="e">
        <f>AND('Planilla_General_07-12-2012_8_3'!B656,"AAAAAF/vbYE=")</f>
        <v>#VALUE!</v>
      </c>
      <c r="EA44" t="e">
        <f>AND('Planilla_General_07-12-2012_8_3'!C656,"AAAAAF/vbYI=")</f>
        <v>#VALUE!</v>
      </c>
      <c r="EB44" t="e">
        <f>AND('Planilla_General_07-12-2012_8_3'!D656,"AAAAAF/vbYM=")</f>
        <v>#VALUE!</v>
      </c>
      <c r="EC44" t="e">
        <f>AND('Planilla_General_07-12-2012_8_3'!E656,"AAAAAF/vbYQ=")</f>
        <v>#VALUE!</v>
      </c>
      <c r="ED44" t="e">
        <f>AND('Planilla_General_07-12-2012_8_3'!F656,"AAAAAF/vbYU=")</f>
        <v>#VALUE!</v>
      </c>
      <c r="EE44" t="e">
        <f>AND('Planilla_General_07-12-2012_8_3'!G656,"AAAAAF/vbYY=")</f>
        <v>#VALUE!</v>
      </c>
      <c r="EF44" t="e">
        <f>AND('Planilla_General_07-12-2012_8_3'!H656,"AAAAAF/vbYc=")</f>
        <v>#VALUE!</v>
      </c>
      <c r="EG44" t="e">
        <f>AND('Planilla_General_07-12-2012_8_3'!I656,"AAAAAF/vbYg=")</f>
        <v>#VALUE!</v>
      </c>
      <c r="EH44" t="e">
        <f>AND('Planilla_General_07-12-2012_8_3'!J656,"AAAAAF/vbYk=")</f>
        <v>#VALUE!</v>
      </c>
      <c r="EI44" t="e">
        <f>AND('Planilla_General_07-12-2012_8_3'!K656,"AAAAAF/vbYo=")</f>
        <v>#VALUE!</v>
      </c>
      <c r="EJ44" t="e">
        <f>AND('Planilla_General_07-12-2012_8_3'!L656,"AAAAAF/vbYs=")</f>
        <v>#VALUE!</v>
      </c>
      <c r="EK44" t="e">
        <f>AND('Planilla_General_07-12-2012_8_3'!M656,"AAAAAF/vbYw=")</f>
        <v>#VALUE!</v>
      </c>
      <c r="EL44" t="e">
        <f>AND('Planilla_General_07-12-2012_8_3'!N656,"AAAAAF/vbY0=")</f>
        <v>#VALUE!</v>
      </c>
      <c r="EM44" t="e">
        <f>AND('Planilla_General_07-12-2012_8_3'!O656,"AAAAAF/vbY4=")</f>
        <v>#VALUE!</v>
      </c>
      <c r="EN44" t="e">
        <f>AND('Planilla_General_07-12-2012_8_3'!P656,"AAAAAF/vbY8=")</f>
        <v>#VALUE!</v>
      </c>
      <c r="EO44">
        <f>IF('Planilla_General_07-12-2012_8_3'!657:657,"AAAAAF/vbZA=",0)</f>
        <v>0</v>
      </c>
      <c r="EP44" t="e">
        <f>AND('Planilla_General_07-12-2012_8_3'!A657,"AAAAAF/vbZE=")</f>
        <v>#VALUE!</v>
      </c>
      <c r="EQ44" t="e">
        <f>AND('Planilla_General_07-12-2012_8_3'!B657,"AAAAAF/vbZI=")</f>
        <v>#VALUE!</v>
      </c>
      <c r="ER44" t="e">
        <f>AND('Planilla_General_07-12-2012_8_3'!C657,"AAAAAF/vbZM=")</f>
        <v>#VALUE!</v>
      </c>
      <c r="ES44" t="e">
        <f>AND('Planilla_General_07-12-2012_8_3'!D657,"AAAAAF/vbZQ=")</f>
        <v>#VALUE!</v>
      </c>
      <c r="ET44" t="e">
        <f>AND('Planilla_General_07-12-2012_8_3'!E657,"AAAAAF/vbZU=")</f>
        <v>#VALUE!</v>
      </c>
      <c r="EU44" t="e">
        <f>AND('Planilla_General_07-12-2012_8_3'!F657,"AAAAAF/vbZY=")</f>
        <v>#VALUE!</v>
      </c>
      <c r="EV44" t="e">
        <f>AND('Planilla_General_07-12-2012_8_3'!G657,"AAAAAF/vbZc=")</f>
        <v>#VALUE!</v>
      </c>
      <c r="EW44" t="e">
        <f>AND('Planilla_General_07-12-2012_8_3'!H657,"AAAAAF/vbZg=")</f>
        <v>#VALUE!</v>
      </c>
      <c r="EX44" t="e">
        <f>AND('Planilla_General_07-12-2012_8_3'!I657,"AAAAAF/vbZk=")</f>
        <v>#VALUE!</v>
      </c>
      <c r="EY44" t="e">
        <f>AND('Planilla_General_07-12-2012_8_3'!J657,"AAAAAF/vbZo=")</f>
        <v>#VALUE!</v>
      </c>
      <c r="EZ44" t="e">
        <f>AND('Planilla_General_07-12-2012_8_3'!K657,"AAAAAF/vbZs=")</f>
        <v>#VALUE!</v>
      </c>
      <c r="FA44" t="e">
        <f>AND('Planilla_General_07-12-2012_8_3'!L657,"AAAAAF/vbZw=")</f>
        <v>#VALUE!</v>
      </c>
      <c r="FB44" t="e">
        <f>AND('Planilla_General_07-12-2012_8_3'!M657,"AAAAAF/vbZ0=")</f>
        <v>#VALUE!</v>
      </c>
      <c r="FC44" t="e">
        <f>AND('Planilla_General_07-12-2012_8_3'!N657,"AAAAAF/vbZ4=")</f>
        <v>#VALUE!</v>
      </c>
      <c r="FD44" t="e">
        <f>AND('Planilla_General_07-12-2012_8_3'!O657,"AAAAAF/vbZ8=")</f>
        <v>#VALUE!</v>
      </c>
      <c r="FE44" t="e">
        <f>AND('Planilla_General_07-12-2012_8_3'!P657,"AAAAAF/vbaA=")</f>
        <v>#VALUE!</v>
      </c>
      <c r="FF44">
        <f>IF('Planilla_General_07-12-2012_8_3'!658:658,"AAAAAF/vbaE=",0)</f>
        <v>0</v>
      </c>
      <c r="FG44" t="e">
        <f>AND('Planilla_General_07-12-2012_8_3'!A658,"AAAAAF/vbaI=")</f>
        <v>#VALUE!</v>
      </c>
      <c r="FH44" t="e">
        <f>AND('Planilla_General_07-12-2012_8_3'!B658,"AAAAAF/vbaM=")</f>
        <v>#VALUE!</v>
      </c>
      <c r="FI44" t="e">
        <f>AND('Planilla_General_07-12-2012_8_3'!C658,"AAAAAF/vbaQ=")</f>
        <v>#VALUE!</v>
      </c>
      <c r="FJ44" t="e">
        <f>AND('Planilla_General_07-12-2012_8_3'!D658,"AAAAAF/vbaU=")</f>
        <v>#VALUE!</v>
      </c>
      <c r="FK44" t="e">
        <f>AND('Planilla_General_07-12-2012_8_3'!E658,"AAAAAF/vbaY=")</f>
        <v>#VALUE!</v>
      </c>
      <c r="FL44" t="e">
        <f>AND('Planilla_General_07-12-2012_8_3'!F658,"AAAAAF/vbac=")</f>
        <v>#VALUE!</v>
      </c>
      <c r="FM44" t="e">
        <f>AND('Planilla_General_07-12-2012_8_3'!G658,"AAAAAF/vbag=")</f>
        <v>#VALUE!</v>
      </c>
      <c r="FN44" t="e">
        <f>AND('Planilla_General_07-12-2012_8_3'!H658,"AAAAAF/vbak=")</f>
        <v>#VALUE!</v>
      </c>
      <c r="FO44" t="e">
        <f>AND('Planilla_General_07-12-2012_8_3'!I658,"AAAAAF/vbao=")</f>
        <v>#VALUE!</v>
      </c>
      <c r="FP44" t="e">
        <f>AND('Planilla_General_07-12-2012_8_3'!J658,"AAAAAF/vbas=")</f>
        <v>#VALUE!</v>
      </c>
      <c r="FQ44" t="e">
        <f>AND('Planilla_General_07-12-2012_8_3'!K658,"AAAAAF/vbaw=")</f>
        <v>#VALUE!</v>
      </c>
      <c r="FR44" t="e">
        <f>AND('Planilla_General_07-12-2012_8_3'!L658,"AAAAAF/vba0=")</f>
        <v>#VALUE!</v>
      </c>
      <c r="FS44" t="e">
        <f>AND('Planilla_General_07-12-2012_8_3'!M658,"AAAAAF/vba4=")</f>
        <v>#VALUE!</v>
      </c>
      <c r="FT44" t="e">
        <f>AND('Planilla_General_07-12-2012_8_3'!N658,"AAAAAF/vba8=")</f>
        <v>#VALUE!</v>
      </c>
      <c r="FU44" t="e">
        <f>AND('Planilla_General_07-12-2012_8_3'!O658,"AAAAAF/vbbA=")</f>
        <v>#VALUE!</v>
      </c>
      <c r="FV44" t="e">
        <f>AND('Planilla_General_07-12-2012_8_3'!P658,"AAAAAF/vbbE=")</f>
        <v>#VALUE!</v>
      </c>
      <c r="FW44">
        <f>IF('Planilla_General_07-12-2012_8_3'!659:659,"AAAAAF/vbbI=",0)</f>
        <v>0</v>
      </c>
      <c r="FX44" t="e">
        <f>AND('Planilla_General_07-12-2012_8_3'!A659,"AAAAAF/vbbM=")</f>
        <v>#VALUE!</v>
      </c>
      <c r="FY44" t="e">
        <f>AND('Planilla_General_07-12-2012_8_3'!B659,"AAAAAF/vbbQ=")</f>
        <v>#VALUE!</v>
      </c>
      <c r="FZ44" t="e">
        <f>AND('Planilla_General_07-12-2012_8_3'!C659,"AAAAAF/vbbU=")</f>
        <v>#VALUE!</v>
      </c>
      <c r="GA44" t="e">
        <f>AND('Planilla_General_07-12-2012_8_3'!D659,"AAAAAF/vbbY=")</f>
        <v>#VALUE!</v>
      </c>
      <c r="GB44" t="e">
        <f>AND('Planilla_General_07-12-2012_8_3'!E659,"AAAAAF/vbbc=")</f>
        <v>#VALUE!</v>
      </c>
      <c r="GC44" t="e">
        <f>AND('Planilla_General_07-12-2012_8_3'!F659,"AAAAAF/vbbg=")</f>
        <v>#VALUE!</v>
      </c>
      <c r="GD44" t="e">
        <f>AND('Planilla_General_07-12-2012_8_3'!G659,"AAAAAF/vbbk=")</f>
        <v>#VALUE!</v>
      </c>
      <c r="GE44" t="e">
        <f>AND('Planilla_General_07-12-2012_8_3'!H659,"AAAAAF/vbbo=")</f>
        <v>#VALUE!</v>
      </c>
      <c r="GF44" t="e">
        <f>AND('Planilla_General_07-12-2012_8_3'!I659,"AAAAAF/vbbs=")</f>
        <v>#VALUE!</v>
      </c>
      <c r="GG44" t="e">
        <f>AND('Planilla_General_07-12-2012_8_3'!J659,"AAAAAF/vbbw=")</f>
        <v>#VALUE!</v>
      </c>
      <c r="GH44" t="e">
        <f>AND('Planilla_General_07-12-2012_8_3'!K659,"AAAAAF/vbb0=")</f>
        <v>#VALUE!</v>
      </c>
      <c r="GI44" t="e">
        <f>AND('Planilla_General_07-12-2012_8_3'!L659,"AAAAAF/vbb4=")</f>
        <v>#VALUE!</v>
      </c>
      <c r="GJ44" t="e">
        <f>AND('Planilla_General_07-12-2012_8_3'!M659,"AAAAAF/vbb8=")</f>
        <v>#VALUE!</v>
      </c>
      <c r="GK44" t="e">
        <f>AND('Planilla_General_07-12-2012_8_3'!N659,"AAAAAF/vbcA=")</f>
        <v>#VALUE!</v>
      </c>
      <c r="GL44" t="e">
        <f>AND('Planilla_General_07-12-2012_8_3'!O659,"AAAAAF/vbcE=")</f>
        <v>#VALUE!</v>
      </c>
      <c r="GM44" t="e">
        <f>AND('Planilla_General_07-12-2012_8_3'!P659,"AAAAAF/vbcI=")</f>
        <v>#VALUE!</v>
      </c>
      <c r="GN44">
        <f>IF('Planilla_General_07-12-2012_8_3'!660:660,"AAAAAF/vbcM=",0)</f>
        <v>0</v>
      </c>
      <c r="GO44" t="e">
        <f>AND('Planilla_General_07-12-2012_8_3'!A660,"AAAAAF/vbcQ=")</f>
        <v>#VALUE!</v>
      </c>
      <c r="GP44" t="e">
        <f>AND('Planilla_General_07-12-2012_8_3'!B660,"AAAAAF/vbcU=")</f>
        <v>#VALUE!</v>
      </c>
      <c r="GQ44" t="e">
        <f>AND('Planilla_General_07-12-2012_8_3'!C660,"AAAAAF/vbcY=")</f>
        <v>#VALUE!</v>
      </c>
      <c r="GR44" t="e">
        <f>AND('Planilla_General_07-12-2012_8_3'!D660,"AAAAAF/vbcc=")</f>
        <v>#VALUE!</v>
      </c>
      <c r="GS44" t="e">
        <f>AND('Planilla_General_07-12-2012_8_3'!E660,"AAAAAF/vbcg=")</f>
        <v>#VALUE!</v>
      </c>
      <c r="GT44" t="e">
        <f>AND('Planilla_General_07-12-2012_8_3'!F660,"AAAAAF/vbck=")</f>
        <v>#VALUE!</v>
      </c>
      <c r="GU44" t="e">
        <f>AND('Planilla_General_07-12-2012_8_3'!G660,"AAAAAF/vbco=")</f>
        <v>#VALUE!</v>
      </c>
      <c r="GV44" t="e">
        <f>AND('Planilla_General_07-12-2012_8_3'!H660,"AAAAAF/vbcs=")</f>
        <v>#VALUE!</v>
      </c>
      <c r="GW44" t="e">
        <f>AND('Planilla_General_07-12-2012_8_3'!I660,"AAAAAF/vbcw=")</f>
        <v>#VALUE!</v>
      </c>
      <c r="GX44" t="e">
        <f>AND('Planilla_General_07-12-2012_8_3'!J660,"AAAAAF/vbc0=")</f>
        <v>#VALUE!</v>
      </c>
      <c r="GY44" t="e">
        <f>AND('Planilla_General_07-12-2012_8_3'!K660,"AAAAAF/vbc4=")</f>
        <v>#VALUE!</v>
      </c>
      <c r="GZ44" t="e">
        <f>AND('Planilla_General_07-12-2012_8_3'!L660,"AAAAAF/vbc8=")</f>
        <v>#VALUE!</v>
      </c>
      <c r="HA44" t="e">
        <f>AND('Planilla_General_07-12-2012_8_3'!M660,"AAAAAF/vbdA=")</f>
        <v>#VALUE!</v>
      </c>
      <c r="HB44" t="e">
        <f>AND('Planilla_General_07-12-2012_8_3'!N660,"AAAAAF/vbdE=")</f>
        <v>#VALUE!</v>
      </c>
      <c r="HC44" t="e">
        <f>AND('Planilla_General_07-12-2012_8_3'!O660,"AAAAAF/vbdI=")</f>
        <v>#VALUE!</v>
      </c>
      <c r="HD44" t="e">
        <f>AND('Planilla_General_07-12-2012_8_3'!P660,"AAAAAF/vbdM=")</f>
        <v>#VALUE!</v>
      </c>
      <c r="HE44">
        <f>IF('Planilla_General_07-12-2012_8_3'!661:661,"AAAAAF/vbdQ=",0)</f>
        <v>0</v>
      </c>
      <c r="HF44" t="e">
        <f>AND('Planilla_General_07-12-2012_8_3'!A661,"AAAAAF/vbdU=")</f>
        <v>#VALUE!</v>
      </c>
      <c r="HG44" t="e">
        <f>AND('Planilla_General_07-12-2012_8_3'!B661,"AAAAAF/vbdY=")</f>
        <v>#VALUE!</v>
      </c>
      <c r="HH44" t="e">
        <f>AND('Planilla_General_07-12-2012_8_3'!C661,"AAAAAF/vbdc=")</f>
        <v>#VALUE!</v>
      </c>
      <c r="HI44" t="e">
        <f>AND('Planilla_General_07-12-2012_8_3'!D661,"AAAAAF/vbdg=")</f>
        <v>#VALUE!</v>
      </c>
      <c r="HJ44" t="e">
        <f>AND('Planilla_General_07-12-2012_8_3'!E661,"AAAAAF/vbdk=")</f>
        <v>#VALUE!</v>
      </c>
      <c r="HK44" t="e">
        <f>AND('Planilla_General_07-12-2012_8_3'!F661,"AAAAAF/vbdo=")</f>
        <v>#VALUE!</v>
      </c>
      <c r="HL44" t="e">
        <f>AND('Planilla_General_07-12-2012_8_3'!G661,"AAAAAF/vbds=")</f>
        <v>#VALUE!</v>
      </c>
      <c r="HM44" t="e">
        <f>AND('Planilla_General_07-12-2012_8_3'!H661,"AAAAAF/vbdw=")</f>
        <v>#VALUE!</v>
      </c>
      <c r="HN44" t="e">
        <f>AND('Planilla_General_07-12-2012_8_3'!I661,"AAAAAF/vbd0=")</f>
        <v>#VALUE!</v>
      </c>
      <c r="HO44" t="e">
        <f>AND('Planilla_General_07-12-2012_8_3'!J661,"AAAAAF/vbd4=")</f>
        <v>#VALUE!</v>
      </c>
      <c r="HP44" t="e">
        <f>AND('Planilla_General_07-12-2012_8_3'!K661,"AAAAAF/vbd8=")</f>
        <v>#VALUE!</v>
      </c>
      <c r="HQ44" t="e">
        <f>AND('Planilla_General_07-12-2012_8_3'!L661,"AAAAAF/vbeA=")</f>
        <v>#VALUE!</v>
      </c>
      <c r="HR44" t="e">
        <f>AND('Planilla_General_07-12-2012_8_3'!M661,"AAAAAF/vbeE=")</f>
        <v>#VALUE!</v>
      </c>
      <c r="HS44" t="e">
        <f>AND('Planilla_General_07-12-2012_8_3'!N661,"AAAAAF/vbeI=")</f>
        <v>#VALUE!</v>
      </c>
      <c r="HT44" t="e">
        <f>AND('Planilla_General_07-12-2012_8_3'!O661,"AAAAAF/vbeM=")</f>
        <v>#VALUE!</v>
      </c>
      <c r="HU44" t="e">
        <f>AND('Planilla_General_07-12-2012_8_3'!P661,"AAAAAF/vbeQ=")</f>
        <v>#VALUE!</v>
      </c>
      <c r="HV44">
        <f>IF('Planilla_General_07-12-2012_8_3'!662:662,"AAAAAF/vbeU=",0)</f>
        <v>0</v>
      </c>
      <c r="HW44" t="e">
        <f>AND('Planilla_General_07-12-2012_8_3'!A662,"AAAAAF/vbeY=")</f>
        <v>#VALUE!</v>
      </c>
      <c r="HX44" t="e">
        <f>AND('Planilla_General_07-12-2012_8_3'!B662,"AAAAAF/vbec=")</f>
        <v>#VALUE!</v>
      </c>
      <c r="HY44" t="e">
        <f>AND('Planilla_General_07-12-2012_8_3'!C662,"AAAAAF/vbeg=")</f>
        <v>#VALUE!</v>
      </c>
      <c r="HZ44" t="e">
        <f>AND('Planilla_General_07-12-2012_8_3'!D662,"AAAAAF/vbek=")</f>
        <v>#VALUE!</v>
      </c>
      <c r="IA44" t="e">
        <f>AND('Planilla_General_07-12-2012_8_3'!E662,"AAAAAF/vbeo=")</f>
        <v>#VALUE!</v>
      </c>
      <c r="IB44" t="e">
        <f>AND('Planilla_General_07-12-2012_8_3'!F662,"AAAAAF/vbes=")</f>
        <v>#VALUE!</v>
      </c>
      <c r="IC44" t="e">
        <f>AND('Planilla_General_07-12-2012_8_3'!G662,"AAAAAF/vbew=")</f>
        <v>#VALUE!</v>
      </c>
      <c r="ID44" t="e">
        <f>AND('Planilla_General_07-12-2012_8_3'!H662,"AAAAAF/vbe0=")</f>
        <v>#VALUE!</v>
      </c>
      <c r="IE44" t="e">
        <f>AND('Planilla_General_07-12-2012_8_3'!I662,"AAAAAF/vbe4=")</f>
        <v>#VALUE!</v>
      </c>
      <c r="IF44" t="e">
        <f>AND('Planilla_General_07-12-2012_8_3'!J662,"AAAAAF/vbe8=")</f>
        <v>#VALUE!</v>
      </c>
      <c r="IG44" t="e">
        <f>AND('Planilla_General_07-12-2012_8_3'!K662,"AAAAAF/vbfA=")</f>
        <v>#VALUE!</v>
      </c>
      <c r="IH44" t="e">
        <f>AND('Planilla_General_07-12-2012_8_3'!L662,"AAAAAF/vbfE=")</f>
        <v>#VALUE!</v>
      </c>
      <c r="II44" t="e">
        <f>AND('Planilla_General_07-12-2012_8_3'!M662,"AAAAAF/vbfI=")</f>
        <v>#VALUE!</v>
      </c>
      <c r="IJ44" t="e">
        <f>AND('Planilla_General_07-12-2012_8_3'!N662,"AAAAAF/vbfM=")</f>
        <v>#VALUE!</v>
      </c>
      <c r="IK44" t="e">
        <f>AND('Planilla_General_07-12-2012_8_3'!O662,"AAAAAF/vbfQ=")</f>
        <v>#VALUE!</v>
      </c>
      <c r="IL44" t="e">
        <f>AND('Planilla_General_07-12-2012_8_3'!P662,"AAAAAF/vbfU=")</f>
        <v>#VALUE!</v>
      </c>
      <c r="IM44">
        <f>IF('Planilla_General_07-12-2012_8_3'!663:663,"AAAAAF/vbfY=",0)</f>
        <v>0</v>
      </c>
      <c r="IN44" t="e">
        <f>AND('Planilla_General_07-12-2012_8_3'!A663,"AAAAAF/vbfc=")</f>
        <v>#VALUE!</v>
      </c>
      <c r="IO44" t="e">
        <f>AND('Planilla_General_07-12-2012_8_3'!B663,"AAAAAF/vbfg=")</f>
        <v>#VALUE!</v>
      </c>
      <c r="IP44" t="e">
        <f>AND('Planilla_General_07-12-2012_8_3'!C663,"AAAAAF/vbfk=")</f>
        <v>#VALUE!</v>
      </c>
      <c r="IQ44" t="e">
        <f>AND('Planilla_General_07-12-2012_8_3'!D663,"AAAAAF/vbfo=")</f>
        <v>#VALUE!</v>
      </c>
      <c r="IR44" t="e">
        <f>AND('Planilla_General_07-12-2012_8_3'!E663,"AAAAAF/vbfs=")</f>
        <v>#VALUE!</v>
      </c>
      <c r="IS44" t="e">
        <f>AND('Planilla_General_07-12-2012_8_3'!F663,"AAAAAF/vbfw=")</f>
        <v>#VALUE!</v>
      </c>
      <c r="IT44" t="e">
        <f>AND('Planilla_General_07-12-2012_8_3'!G663,"AAAAAF/vbf0=")</f>
        <v>#VALUE!</v>
      </c>
      <c r="IU44" t="e">
        <f>AND('Planilla_General_07-12-2012_8_3'!H663,"AAAAAF/vbf4=")</f>
        <v>#VALUE!</v>
      </c>
      <c r="IV44" t="e">
        <f>AND('Planilla_General_07-12-2012_8_3'!I663,"AAAAAF/vbf8=")</f>
        <v>#VALUE!</v>
      </c>
    </row>
    <row r="45" spans="1:256" x14ac:dyDescent="0.25">
      <c r="A45" t="e">
        <f>AND('Planilla_General_07-12-2012_8_3'!J663,"AAAAAH/9/wA=")</f>
        <v>#VALUE!</v>
      </c>
      <c r="B45" t="e">
        <f>AND('Planilla_General_07-12-2012_8_3'!K663,"AAAAAH/9/wE=")</f>
        <v>#VALUE!</v>
      </c>
      <c r="C45" t="e">
        <f>AND('Planilla_General_07-12-2012_8_3'!L663,"AAAAAH/9/wI=")</f>
        <v>#VALUE!</v>
      </c>
      <c r="D45" t="e">
        <f>AND('Planilla_General_07-12-2012_8_3'!M663,"AAAAAH/9/wM=")</f>
        <v>#VALUE!</v>
      </c>
      <c r="E45" t="e">
        <f>AND('Planilla_General_07-12-2012_8_3'!N663,"AAAAAH/9/wQ=")</f>
        <v>#VALUE!</v>
      </c>
      <c r="F45" t="e">
        <f>AND('Planilla_General_07-12-2012_8_3'!O663,"AAAAAH/9/wU=")</f>
        <v>#VALUE!</v>
      </c>
      <c r="G45" t="e">
        <f>AND('Planilla_General_07-12-2012_8_3'!P663,"AAAAAH/9/wY=")</f>
        <v>#VALUE!</v>
      </c>
      <c r="H45" t="e">
        <f>IF('Planilla_General_07-12-2012_8_3'!664:664,"AAAAAH/9/wc=",0)</f>
        <v>#VALUE!</v>
      </c>
      <c r="I45" t="e">
        <f>AND('Planilla_General_07-12-2012_8_3'!A664,"AAAAAH/9/wg=")</f>
        <v>#VALUE!</v>
      </c>
      <c r="J45" t="e">
        <f>AND('Planilla_General_07-12-2012_8_3'!B664,"AAAAAH/9/wk=")</f>
        <v>#VALUE!</v>
      </c>
      <c r="K45" t="e">
        <f>AND('Planilla_General_07-12-2012_8_3'!C664,"AAAAAH/9/wo=")</f>
        <v>#VALUE!</v>
      </c>
      <c r="L45" t="e">
        <f>AND('Planilla_General_07-12-2012_8_3'!D664,"AAAAAH/9/ws=")</f>
        <v>#VALUE!</v>
      </c>
      <c r="M45" t="e">
        <f>AND('Planilla_General_07-12-2012_8_3'!E664,"AAAAAH/9/ww=")</f>
        <v>#VALUE!</v>
      </c>
      <c r="N45" t="e">
        <f>AND('Planilla_General_07-12-2012_8_3'!F664,"AAAAAH/9/w0=")</f>
        <v>#VALUE!</v>
      </c>
      <c r="O45" t="e">
        <f>AND('Planilla_General_07-12-2012_8_3'!G664,"AAAAAH/9/w4=")</f>
        <v>#VALUE!</v>
      </c>
      <c r="P45" t="e">
        <f>AND('Planilla_General_07-12-2012_8_3'!H664,"AAAAAH/9/w8=")</f>
        <v>#VALUE!</v>
      </c>
      <c r="Q45" t="e">
        <f>AND('Planilla_General_07-12-2012_8_3'!I664,"AAAAAH/9/xA=")</f>
        <v>#VALUE!</v>
      </c>
      <c r="R45" t="e">
        <f>AND('Planilla_General_07-12-2012_8_3'!J664,"AAAAAH/9/xE=")</f>
        <v>#VALUE!</v>
      </c>
      <c r="S45" t="e">
        <f>AND('Planilla_General_07-12-2012_8_3'!K664,"AAAAAH/9/xI=")</f>
        <v>#VALUE!</v>
      </c>
      <c r="T45" t="e">
        <f>AND('Planilla_General_07-12-2012_8_3'!L664,"AAAAAH/9/xM=")</f>
        <v>#VALUE!</v>
      </c>
      <c r="U45" t="e">
        <f>AND('Planilla_General_07-12-2012_8_3'!M664,"AAAAAH/9/xQ=")</f>
        <v>#VALUE!</v>
      </c>
      <c r="V45" t="e">
        <f>AND('Planilla_General_07-12-2012_8_3'!N664,"AAAAAH/9/xU=")</f>
        <v>#VALUE!</v>
      </c>
      <c r="W45" t="e">
        <f>AND('Planilla_General_07-12-2012_8_3'!O664,"AAAAAH/9/xY=")</f>
        <v>#VALUE!</v>
      </c>
      <c r="X45" t="e">
        <f>AND('Planilla_General_07-12-2012_8_3'!P664,"AAAAAH/9/xc=")</f>
        <v>#VALUE!</v>
      </c>
      <c r="Y45">
        <f>IF('Planilla_General_07-12-2012_8_3'!665:665,"AAAAAH/9/xg=",0)</f>
        <v>0</v>
      </c>
      <c r="Z45" t="e">
        <f>AND('Planilla_General_07-12-2012_8_3'!A665,"AAAAAH/9/xk=")</f>
        <v>#VALUE!</v>
      </c>
      <c r="AA45" t="e">
        <f>AND('Planilla_General_07-12-2012_8_3'!B665,"AAAAAH/9/xo=")</f>
        <v>#VALUE!</v>
      </c>
      <c r="AB45" t="e">
        <f>AND('Planilla_General_07-12-2012_8_3'!C665,"AAAAAH/9/xs=")</f>
        <v>#VALUE!</v>
      </c>
      <c r="AC45" t="e">
        <f>AND('Planilla_General_07-12-2012_8_3'!D665,"AAAAAH/9/xw=")</f>
        <v>#VALUE!</v>
      </c>
      <c r="AD45" t="e">
        <f>AND('Planilla_General_07-12-2012_8_3'!E665,"AAAAAH/9/x0=")</f>
        <v>#VALUE!</v>
      </c>
      <c r="AE45" t="e">
        <f>AND('Planilla_General_07-12-2012_8_3'!F665,"AAAAAH/9/x4=")</f>
        <v>#VALUE!</v>
      </c>
      <c r="AF45" t="e">
        <f>AND('Planilla_General_07-12-2012_8_3'!G665,"AAAAAH/9/x8=")</f>
        <v>#VALUE!</v>
      </c>
      <c r="AG45" t="e">
        <f>AND('Planilla_General_07-12-2012_8_3'!H665,"AAAAAH/9/yA=")</f>
        <v>#VALUE!</v>
      </c>
      <c r="AH45" t="e">
        <f>AND('Planilla_General_07-12-2012_8_3'!I665,"AAAAAH/9/yE=")</f>
        <v>#VALUE!</v>
      </c>
      <c r="AI45" t="e">
        <f>AND('Planilla_General_07-12-2012_8_3'!J665,"AAAAAH/9/yI=")</f>
        <v>#VALUE!</v>
      </c>
      <c r="AJ45" t="e">
        <f>AND('Planilla_General_07-12-2012_8_3'!K665,"AAAAAH/9/yM=")</f>
        <v>#VALUE!</v>
      </c>
      <c r="AK45" t="e">
        <f>AND('Planilla_General_07-12-2012_8_3'!L665,"AAAAAH/9/yQ=")</f>
        <v>#VALUE!</v>
      </c>
      <c r="AL45" t="e">
        <f>AND('Planilla_General_07-12-2012_8_3'!M665,"AAAAAH/9/yU=")</f>
        <v>#VALUE!</v>
      </c>
      <c r="AM45" t="e">
        <f>AND('Planilla_General_07-12-2012_8_3'!N665,"AAAAAH/9/yY=")</f>
        <v>#VALUE!</v>
      </c>
      <c r="AN45" t="e">
        <f>AND('Planilla_General_07-12-2012_8_3'!O665,"AAAAAH/9/yc=")</f>
        <v>#VALUE!</v>
      </c>
      <c r="AO45" t="e">
        <f>AND('Planilla_General_07-12-2012_8_3'!P665,"AAAAAH/9/yg=")</f>
        <v>#VALUE!</v>
      </c>
      <c r="AP45">
        <f>IF('Planilla_General_07-12-2012_8_3'!666:666,"AAAAAH/9/yk=",0)</f>
        <v>0</v>
      </c>
      <c r="AQ45" t="e">
        <f>AND('Planilla_General_07-12-2012_8_3'!A666,"AAAAAH/9/yo=")</f>
        <v>#VALUE!</v>
      </c>
      <c r="AR45" t="e">
        <f>AND('Planilla_General_07-12-2012_8_3'!B666,"AAAAAH/9/ys=")</f>
        <v>#VALUE!</v>
      </c>
      <c r="AS45" t="e">
        <f>AND('Planilla_General_07-12-2012_8_3'!C666,"AAAAAH/9/yw=")</f>
        <v>#VALUE!</v>
      </c>
      <c r="AT45" t="e">
        <f>AND('Planilla_General_07-12-2012_8_3'!D666,"AAAAAH/9/y0=")</f>
        <v>#VALUE!</v>
      </c>
      <c r="AU45" t="e">
        <f>AND('Planilla_General_07-12-2012_8_3'!E666,"AAAAAH/9/y4=")</f>
        <v>#VALUE!</v>
      </c>
      <c r="AV45" t="e">
        <f>AND('Planilla_General_07-12-2012_8_3'!F666,"AAAAAH/9/y8=")</f>
        <v>#VALUE!</v>
      </c>
      <c r="AW45" t="e">
        <f>AND('Planilla_General_07-12-2012_8_3'!G666,"AAAAAH/9/zA=")</f>
        <v>#VALUE!</v>
      </c>
      <c r="AX45" t="e">
        <f>AND('Planilla_General_07-12-2012_8_3'!H666,"AAAAAH/9/zE=")</f>
        <v>#VALUE!</v>
      </c>
      <c r="AY45" t="e">
        <f>AND('Planilla_General_07-12-2012_8_3'!I666,"AAAAAH/9/zI=")</f>
        <v>#VALUE!</v>
      </c>
      <c r="AZ45" t="e">
        <f>AND('Planilla_General_07-12-2012_8_3'!J666,"AAAAAH/9/zM=")</f>
        <v>#VALUE!</v>
      </c>
      <c r="BA45" t="e">
        <f>AND('Planilla_General_07-12-2012_8_3'!K666,"AAAAAH/9/zQ=")</f>
        <v>#VALUE!</v>
      </c>
      <c r="BB45" t="e">
        <f>AND('Planilla_General_07-12-2012_8_3'!L666,"AAAAAH/9/zU=")</f>
        <v>#VALUE!</v>
      </c>
      <c r="BC45" t="e">
        <f>AND('Planilla_General_07-12-2012_8_3'!M666,"AAAAAH/9/zY=")</f>
        <v>#VALUE!</v>
      </c>
      <c r="BD45" t="e">
        <f>AND('Planilla_General_07-12-2012_8_3'!N666,"AAAAAH/9/zc=")</f>
        <v>#VALUE!</v>
      </c>
      <c r="BE45" t="e">
        <f>AND('Planilla_General_07-12-2012_8_3'!O666,"AAAAAH/9/zg=")</f>
        <v>#VALUE!</v>
      </c>
      <c r="BF45" t="e">
        <f>AND('Planilla_General_07-12-2012_8_3'!P666,"AAAAAH/9/zk=")</f>
        <v>#VALUE!</v>
      </c>
      <c r="BG45">
        <f>IF('Planilla_General_07-12-2012_8_3'!667:667,"AAAAAH/9/zo=",0)</f>
        <v>0</v>
      </c>
      <c r="BH45" t="e">
        <f>AND('Planilla_General_07-12-2012_8_3'!A667,"AAAAAH/9/zs=")</f>
        <v>#VALUE!</v>
      </c>
      <c r="BI45" t="e">
        <f>AND('Planilla_General_07-12-2012_8_3'!B667,"AAAAAH/9/zw=")</f>
        <v>#VALUE!</v>
      </c>
      <c r="BJ45" t="e">
        <f>AND('Planilla_General_07-12-2012_8_3'!C667,"AAAAAH/9/z0=")</f>
        <v>#VALUE!</v>
      </c>
      <c r="BK45" t="e">
        <f>AND('Planilla_General_07-12-2012_8_3'!D667,"AAAAAH/9/z4=")</f>
        <v>#VALUE!</v>
      </c>
      <c r="BL45" t="e">
        <f>AND('Planilla_General_07-12-2012_8_3'!E667,"AAAAAH/9/z8=")</f>
        <v>#VALUE!</v>
      </c>
      <c r="BM45" t="e">
        <f>AND('Planilla_General_07-12-2012_8_3'!F667,"AAAAAH/9/0A=")</f>
        <v>#VALUE!</v>
      </c>
      <c r="BN45" t="e">
        <f>AND('Planilla_General_07-12-2012_8_3'!G667,"AAAAAH/9/0E=")</f>
        <v>#VALUE!</v>
      </c>
      <c r="BO45" t="e">
        <f>AND('Planilla_General_07-12-2012_8_3'!H667,"AAAAAH/9/0I=")</f>
        <v>#VALUE!</v>
      </c>
      <c r="BP45" t="e">
        <f>AND('Planilla_General_07-12-2012_8_3'!I667,"AAAAAH/9/0M=")</f>
        <v>#VALUE!</v>
      </c>
      <c r="BQ45" t="e">
        <f>AND('Planilla_General_07-12-2012_8_3'!J667,"AAAAAH/9/0Q=")</f>
        <v>#VALUE!</v>
      </c>
      <c r="BR45" t="e">
        <f>AND('Planilla_General_07-12-2012_8_3'!K667,"AAAAAH/9/0U=")</f>
        <v>#VALUE!</v>
      </c>
      <c r="BS45" t="e">
        <f>AND('Planilla_General_07-12-2012_8_3'!L667,"AAAAAH/9/0Y=")</f>
        <v>#VALUE!</v>
      </c>
      <c r="BT45" t="e">
        <f>AND('Planilla_General_07-12-2012_8_3'!M667,"AAAAAH/9/0c=")</f>
        <v>#VALUE!</v>
      </c>
      <c r="BU45" t="e">
        <f>AND('Planilla_General_07-12-2012_8_3'!N667,"AAAAAH/9/0g=")</f>
        <v>#VALUE!</v>
      </c>
      <c r="BV45" t="e">
        <f>AND('Planilla_General_07-12-2012_8_3'!O667,"AAAAAH/9/0k=")</f>
        <v>#VALUE!</v>
      </c>
      <c r="BW45" t="e">
        <f>AND('Planilla_General_07-12-2012_8_3'!P667,"AAAAAH/9/0o=")</f>
        <v>#VALUE!</v>
      </c>
      <c r="BX45">
        <f>IF('Planilla_General_07-12-2012_8_3'!668:668,"AAAAAH/9/0s=",0)</f>
        <v>0</v>
      </c>
      <c r="BY45" t="e">
        <f>AND('Planilla_General_07-12-2012_8_3'!A668,"AAAAAH/9/0w=")</f>
        <v>#VALUE!</v>
      </c>
      <c r="BZ45" t="e">
        <f>AND('Planilla_General_07-12-2012_8_3'!B668,"AAAAAH/9/00=")</f>
        <v>#VALUE!</v>
      </c>
      <c r="CA45" t="e">
        <f>AND('Planilla_General_07-12-2012_8_3'!C668,"AAAAAH/9/04=")</f>
        <v>#VALUE!</v>
      </c>
      <c r="CB45" t="e">
        <f>AND('Planilla_General_07-12-2012_8_3'!D668,"AAAAAH/9/08=")</f>
        <v>#VALUE!</v>
      </c>
      <c r="CC45" t="e">
        <f>AND('Planilla_General_07-12-2012_8_3'!E668,"AAAAAH/9/1A=")</f>
        <v>#VALUE!</v>
      </c>
      <c r="CD45" t="e">
        <f>AND('Planilla_General_07-12-2012_8_3'!F668,"AAAAAH/9/1E=")</f>
        <v>#VALUE!</v>
      </c>
      <c r="CE45" t="e">
        <f>AND('Planilla_General_07-12-2012_8_3'!G668,"AAAAAH/9/1I=")</f>
        <v>#VALUE!</v>
      </c>
      <c r="CF45" t="e">
        <f>AND('Planilla_General_07-12-2012_8_3'!H668,"AAAAAH/9/1M=")</f>
        <v>#VALUE!</v>
      </c>
      <c r="CG45" t="e">
        <f>AND('Planilla_General_07-12-2012_8_3'!I668,"AAAAAH/9/1Q=")</f>
        <v>#VALUE!</v>
      </c>
      <c r="CH45" t="e">
        <f>AND('Planilla_General_07-12-2012_8_3'!J668,"AAAAAH/9/1U=")</f>
        <v>#VALUE!</v>
      </c>
      <c r="CI45" t="e">
        <f>AND('Planilla_General_07-12-2012_8_3'!K668,"AAAAAH/9/1Y=")</f>
        <v>#VALUE!</v>
      </c>
      <c r="CJ45" t="e">
        <f>AND('Planilla_General_07-12-2012_8_3'!L668,"AAAAAH/9/1c=")</f>
        <v>#VALUE!</v>
      </c>
      <c r="CK45" t="e">
        <f>AND('Planilla_General_07-12-2012_8_3'!M668,"AAAAAH/9/1g=")</f>
        <v>#VALUE!</v>
      </c>
      <c r="CL45" t="e">
        <f>AND('Planilla_General_07-12-2012_8_3'!N668,"AAAAAH/9/1k=")</f>
        <v>#VALUE!</v>
      </c>
      <c r="CM45" t="e">
        <f>AND('Planilla_General_07-12-2012_8_3'!O668,"AAAAAH/9/1o=")</f>
        <v>#VALUE!</v>
      </c>
      <c r="CN45" t="e">
        <f>AND('Planilla_General_07-12-2012_8_3'!P668,"AAAAAH/9/1s=")</f>
        <v>#VALUE!</v>
      </c>
      <c r="CO45">
        <f>IF('Planilla_General_07-12-2012_8_3'!669:669,"AAAAAH/9/1w=",0)</f>
        <v>0</v>
      </c>
      <c r="CP45" t="e">
        <f>AND('Planilla_General_07-12-2012_8_3'!A669,"AAAAAH/9/10=")</f>
        <v>#VALUE!</v>
      </c>
      <c r="CQ45" t="e">
        <f>AND('Planilla_General_07-12-2012_8_3'!B669,"AAAAAH/9/14=")</f>
        <v>#VALUE!</v>
      </c>
      <c r="CR45" t="e">
        <f>AND('Planilla_General_07-12-2012_8_3'!C669,"AAAAAH/9/18=")</f>
        <v>#VALUE!</v>
      </c>
      <c r="CS45" t="e">
        <f>AND('Planilla_General_07-12-2012_8_3'!D669,"AAAAAH/9/2A=")</f>
        <v>#VALUE!</v>
      </c>
      <c r="CT45" t="e">
        <f>AND('Planilla_General_07-12-2012_8_3'!E669,"AAAAAH/9/2E=")</f>
        <v>#VALUE!</v>
      </c>
      <c r="CU45" t="e">
        <f>AND('Planilla_General_07-12-2012_8_3'!F669,"AAAAAH/9/2I=")</f>
        <v>#VALUE!</v>
      </c>
      <c r="CV45" t="e">
        <f>AND('Planilla_General_07-12-2012_8_3'!G669,"AAAAAH/9/2M=")</f>
        <v>#VALUE!</v>
      </c>
      <c r="CW45" t="e">
        <f>AND('Planilla_General_07-12-2012_8_3'!H669,"AAAAAH/9/2Q=")</f>
        <v>#VALUE!</v>
      </c>
      <c r="CX45" t="e">
        <f>AND('Planilla_General_07-12-2012_8_3'!I669,"AAAAAH/9/2U=")</f>
        <v>#VALUE!</v>
      </c>
      <c r="CY45" t="e">
        <f>AND('Planilla_General_07-12-2012_8_3'!J669,"AAAAAH/9/2Y=")</f>
        <v>#VALUE!</v>
      </c>
      <c r="CZ45" t="e">
        <f>AND('Planilla_General_07-12-2012_8_3'!K669,"AAAAAH/9/2c=")</f>
        <v>#VALUE!</v>
      </c>
      <c r="DA45" t="e">
        <f>AND('Planilla_General_07-12-2012_8_3'!L669,"AAAAAH/9/2g=")</f>
        <v>#VALUE!</v>
      </c>
      <c r="DB45" t="e">
        <f>AND('Planilla_General_07-12-2012_8_3'!M669,"AAAAAH/9/2k=")</f>
        <v>#VALUE!</v>
      </c>
      <c r="DC45" t="e">
        <f>AND('Planilla_General_07-12-2012_8_3'!N669,"AAAAAH/9/2o=")</f>
        <v>#VALUE!</v>
      </c>
      <c r="DD45" t="e">
        <f>AND('Planilla_General_07-12-2012_8_3'!O669,"AAAAAH/9/2s=")</f>
        <v>#VALUE!</v>
      </c>
      <c r="DE45" t="e">
        <f>AND('Planilla_General_07-12-2012_8_3'!P669,"AAAAAH/9/2w=")</f>
        <v>#VALUE!</v>
      </c>
      <c r="DF45">
        <f>IF('Planilla_General_07-12-2012_8_3'!670:670,"AAAAAH/9/20=",0)</f>
        <v>0</v>
      </c>
      <c r="DG45" t="e">
        <f>AND('Planilla_General_07-12-2012_8_3'!A670,"AAAAAH/9/24=")</f>
        <v>#VALUE!</v>
      </c>
      <c r="DH45" t="e">
        <f>AND('Planilla_General_07-12-2012_8_3'!B670,"AAAAAH/9/28=")</f>
        <v>#VALUE!</v>
      </c>
      <c r="DI45" t="e">
        <f>AND('Planilla_General_07-12-2012_8_3'!C670,"AAAAAH/9/3A=")</f>
        <v>#VALUE!</v>
      </c>
      <c r="DJ45" t="e">
        <f>AND('Planilla_General_07-12-2012_8_3'!D670,"AAAAAH/9/3E=")</f>
        <v>#VALUE!</v>
      </c>
      <c r="DK45" t="e">
        <f>AND('Planilla_General_07-12-2012_8_3'!E670,"AAAAAH/9/3I=")</f>
        <v>#VALUE!</v>
      </c>
      <c r="DL45" t="e">
        <f>AND('Planilla_General_07-12-2012_8_3'!F670,"AAAAAH/9/3M=")</f>
        <v>#VALUE!</v>
      </c>
      <c r="DM45" t="e">
        <f>AND('Planilla_General_07-12-2012_8_3'!G670,"AAAAAH/9/3Q=")</f>
        <v>#VALUE!</v>
      </c>
      <c r="DN45" t="e">
        <f>AND('Planilla_General_07-12-2012_8_3'!H670,"AAAAAH/9/3U=")</f>
        <v>#VALUE!</v>
      </c>
      <c r="DO45" t="e">
        <f>AND('Planilla_General_07-12-2012_8_3'!I670,"AAAAAH/9/3Y=")</f>
        <v>#VALUE!</v>
      </c>
      <c r="DP45" t="e">
        <f>AND('Planilla_General_07-12-2012_8_3'!J670,"AAAAAH/9/3c=")</f>
        <v>#VALUE!</v>
      </c>
      <c r="DQ45" t="e">
        <f>AND('Planilla_General_07-12-2012_8_3'!K670,"AAAAAH/9/3g=")</f>
        <v>#VALUE!</v>
      </c>
      <c r="DR45" t="e">
        <f>AND('Planilla_General_07-12-2012_8_3'!L670,"AAAAAH/9/3k=")</f>
        <v>#VALUE!</v>
      </c>
      <c r="DS45" t="e">
        <f>AND('Planilla_General_07-12-2012_8_3'!M670,"AAAAAH/9/3o=")</f>
        <v>#VALUE!</v>
      </c>
      <c r="DT45" t="e">
        <f>AND('Planilla_General_07-12-2012_8_3'!N670,"AAAAAH/9/3s=")</f>
        <v>#VALUE!</v>
      </c>
      <c r="DU45" t="e">
        <f>AND('Planilla_General_07-12-2012_8_3'!O670,"AAAAAH/9/3w=")</f>
        <v>#VALUE!</v>
      </c>
      <c r="DV45" t="e">
        <f>AND('Planilla_General_07-12-2012_8_3'!P670,"AAAAAH/9/30=")</f>
        <v>#VALUE!</v>
      </c>
      <c r="DW45">
        <f>IF('Planilla_General_07-12-2012_8_3'!671:671,"AAAAAH/9/34=",0)</f>
        <v>0</v>
      </c>
      <c r="DX45" t="e">
        <f>AND('Planilla_General_07-12-2012_8_3'!A671,"AAAAAH/9/38=")</f>
        <v>#VALUE!</v>
      </c>
      <c r="DY45" t="e">
        <f>AND('Planilla_General_07-12-2012_8_3'!B671,"AAAAAH/9/4A=")</f>
        <v>#VALUE!</v>
      </c>
      <c r="DZ45" t="e">
        <f>AND('Planilla_General_07-12-2012_8_3'!C671,"AAAAAH/9/4E=")</f>
        <v>#VALUE!</v>
      </c>
      <c r="EA45" t="e">
        <f>AND('Planilla_General_07-12-2012_8_3'!D671,"AAAAAH/9/4I=")</f>
        <v>#VALUE!</v>
      </c>
      <c r="EB45" t="e">
        <f>AND('Planilla_General_07-12-2012_8_3'!E671,"AAAAAH/9/4M=")</f>
        <v>#VALUE!</v>
      </c>
      <c r="EC45" t="e">
        <f>AND('Planilla_General_07-12-2012_8_3'!F671,"AAAAAH/9/4Q=")</f>
        <v>#VALUE!</v>
      </c>
      <c r="ED45" t="e">
        <f>AND('Planilla_General_07-12-2012_8_3'!G671,"AAAAAH/9/4U=")</f>
        <v>#VALUE!</v>
      </c>
      <c r="EE45" t="e">
        <f>AND('Planilla_General_07-12-2012_8_3'!H671,"AAAAAH/9/4Y=")</f>
        <v>#VALUE!</v>
      </c>
      <c r="EF45" t="e">
        <f>AND('Planilla_General_07-12-2012_8_3'!I671,"AAAAAH/9/4c=")</f>
        <v>#VALUE!</v>
      </c>
      <c r="EG45" t="e">
        <f>AND('Planilla_General_07-12-2012_8_3'!J671,"AAAAAH/9/4g=")</f>
        <v>#VALUE!</v>
      </c>
      <c r="EH45" t="e">
        <f>AND('Planilla_General_07-12-2012_8_3'!K671,"AAAAAH/9/4k=")</f>
        <v>#VALUE!</v>
      </c>
      <c r="EI45" t="e">
        <f>AND('Planilla_General_07-12-2012_8_3'!L671,"AAAAAH/9/4o=")</f>
        <v>#VALUE!</v>
      </c>
      <c r="EJ45" t="e">
        <f>AND('Planilla_General_07-12-2012_8_3'!M671,"AAAAAH/9/4s=")</f>
        <v>#VALUE!</v>
      </c>
      <c r="EK45" t="e">
        <f>AND('Planilla_General_07-12-2012_8_3'!N671,"AAAAAH/9/4w=")</f>
        <v>#VALUE!</v>
      </c>
      <c r="EL45" t="e">
        <f>AND('Planilla_General_07-12-2012_8_3'!O671,"AAAAAH/9/40=")</f>
        <v>#VALUE!</v>
      </c>
      <c r="EM45" t="e">
        <f>AND('Planilla_General_07-12-2012_8_3'!P671,"AAAAAH/9/44=")</f>
        <v>#VALUE!</v>
      </c>
      <c r="EN45">
        <f>IF('Planilla_General_07-12-2012_8_3'!672:672,"AAAAAH/9/48=",0)</f>
        <v>0</v>
      </c>
      <c r="EO45" t="e">
        <f>AND('Planilla_General_07-12-2012_8_3'!A672,"AAAAAH/9/5A=")</f>
        <v>#VALUE!</v>
      </c>
      <c r="EP45" t="e">
        <f>AND('Planilla_General_07-12-2012_8_3'!B672,"AAAAAH/9/5E=")</f>
        <v>#VALUE!</v>
      </c>
      <c r="EQ45" t="e">
        <f>AND('Planilla_General_07-12-2012_8_3'!C672,"AAAAAH/9/5I=")</f>
        <v>#VALUE!</v>
      </c>
      <c r="ER45" t="e">
        <f>AND('Planilla_General_07-12-2012_8_3'!D672,"AAAAAH/9/5M=")</f>
        <v>#VALUE!</v>
      </c>
      <c r="ES45" t="e">
        <f>AND('Planilla_General_07-12-2012_8_3'!E672,"AAAAAH/9/5Q=")</f>
        <v>#VALUE!</v>
      </c>
      <c r="ET45" t="e">
        <f>AND('Planilla_General_07-12-2012_8_3'!F672,"AAAAAH/9/5U=")</f>
        <v>#VALUE!</v>
      </c>
      <c r="EU45" t="e">
        <f>AND('Planilla_General_07-12-2012_8_3'!G672,"AAAAAH/9/5Y=")</f>
        <v>#VALUE!</v>
      </c>
      <c r="EV45" t="e">
        <f>AND('Planilla_General_07-12-2012_8_3'!H672,"AAAAAH/9/5c=")</f>
        <v>#VALUE!</v>
      </c>
      <c r="EW45" t="e">
        <f>AND('Planilla_General_07-12-2012_8_3'!I672,"AAAAAH/9/5g=")</f>
        <v>#VALUE!</v>
      </c>
      <c r="EX45" t="e">
        <f>AND('Planilla_General_07-12-2012_8_3'!J672,"AAAAAH/9/5k=")</f>
        <v>#VALUE!</v>
      </c>
      <c r="EY45" t="e">
        <f>AND('Planilla_General_07-12-2012_8_3'!K672,"AAAAAH/9/5o=")</f>
        <v>#VALUE!</v>
      </c>
      <c r="EZ45" t="e">
        <f>AND('Planilla_General_07-12-2012_8_3'!L672,"AAAAAH/9/5s=")</f>
        <v>#VALUE!</v>
      </c>
      <c r="FA45" t="e">
        <f>AND('Planilla_General_07-12-2012_8_3'!M672,"AAAAAH/9/5w=")</f>
        <v>#VALUE!</v>
      </c>
      <c r="FB45" t="e">
        <f>AND('Planilla_General_07-12-2012_8_3'!N672,"AAAAAH/9/50=")</f>
        <v>#VALUE!</v>
      </c>
      <c r="FC45" t="e">
        <f>AND('Planilla_General_07-12-2012_8_3'!O672,"AAAAAH/9/54=")</f>
        <v>#VALUE!</v>
      </c>
      <c r="FD45" t="e">
        <f>AND('Planilla_General_07-12-2012_8_3'!P672,"AAAAAH/9/58=")</f>
        <v>#VALUE!</v>
      </c>
      <c r="FE45">
        <f>IF('Planilla_General_07-12-2012_8_3'!673:673,"AAAAAH/9/6A=",0)</f>
        <v>0</v>
      </c>
      <c r="FF45" t="e">
        <f>AND('Planilla_General_07-12-2012_8_3'!A673,"AAAAAH/9/6E=")</f>
        <v>#VALUE!</v>
      </c>
      <c r="FG45" t="e">
        <f>AND('Planilla_General_07-12-2012_8_3'!B673,"AAAAAH/9/6I=")</f>
        <v>#VALUE!</v>
      </c>
      <c r="FH45" t="e">
        <f>AND('Planilla_General_07-12-2012_8_3'!C673,"AAAAAH/9/6M=")</f>
        <v>#VALUE!</v>
      </c>
      <c r="FI45" t="e">
        <f>AND('Planilla_General_07-12-2012_8_3'!D673,"AAAAAH/9/6Q=")</f>
        <v>#VALUE!</v>
      </c>
      <c r="FJ45" t="e">
        <f>AND('Planilla_General_07-12-2012_8_3'!E673,"AAAAAH/9/6U=")</f>
        <v>#VALUE!</v>
      </c>
      <c r="FK45" t="e">
        <f>AND('Planilla_General_07-12-2012_8_3'!F673,"AAAAAH/9/6Y=")</f>
        <v>#VALUE!</v>
      </c>
      <c r="FL45" t="e">
        <f>AND('Planilla_General_07-12-2012_8_3'!G673,"AAAAAH/9/6c=")</f>
        <v>#VALUE!</v>
      </c>
      <c r="FM45" t="e">
        <f>AND('Planilla_General_07-12-2012_8_3'!H673,"AAAAAH/9/6g=")</f>
        <v>#VALUE!</v>
      </c>
      <c r="FN45" t="e">
        <f>AND('Planilla_General_07-12-2012_8_3'!I673,"AAAAAH/9/6k=")</f>
        <v>#VALUE!</v>
      </c>
      <c r="FO45" t="e">
        <f>AND('Planilla_General_07-12-2012_8_3'!J673,"AAAAAH/9/6o=")</f>
        <v>#VALUE!</v>
      </c>
      <c r="FP45" t="e">
        <f>AND('Planilla_General_07-12-2012_8_3'!K673,"AAAAAH/9/6s=")</f>
        <v>#VALUE!</v>
      </c>
      <c r="FQ45" t="e">
        <f>AND('Planilla_General_07-12-2012_8_3'!L673,"AAAAAH/9/6w=")</f>
        <v>#VALUE!</v>
      </c>
      <c r="FR45" t="e">
        <f>AND('Planilla_General_07-12-2012_8_3'!M673,"AAAAAH/9/60=")</f>
        <v>#VALUE!</v>
      </c>
      <c r="FS45" t="e">
        <f>AND('Planilla_General_07-12-2012_8_3'!N673,"AAAAAH/9/64=")</f>
        <v>#VALUE!</v>
      </c>
      <c r="FT45" t="e">
        <f>AND('Planilla_General_07-12-2012_8_3'!O673,"AAAAAH/9/68=")</f>
        <v>#VALUE!</v>
      </c>
      <c r="FU45" t="e">
        <f>AND('Planilla_General_07-12-2012_8_3'!P673,"AAAAAH/9/7A=")</f>
        <v>#VALUE!</v>
      </c>
      <c r="FV45">
        <f>IF('Planilla_General_07-12-2012_8_3'!674:674,"AAAAAH/9/7E=",0)</f>
        <v>0</v>
      </c>
      <c r="FW45" t="e">
        <f>AND('Planilla_General_07-12-2012_8_3'!A674,"AAAAAH/9/7I=")</f>
        <v>#VALUE!</v>
      </c>
      <c r="FX45" t="e">
        <f>AND('Planilla_General_07-12-2012_8_3'!B674,"AAAAAH/9/7M=")</f>
        <v>#VALUE!</v>
      </c>
      <c r="FY45" t="e">
        <f>AND('Planilla_General_07-12-2012_8_3'!C674,"AAAAAH/9/7Q=")</f>
        <v>#VALUE!</v>
      </c>
      <c r="FZ45" t="e">
        <f>AND('Planilla_General_07-12-2012_8_3'!D674,"AAAAAH/9/7U=")</f>
        <v>#VALUE!</v>
      </c>
      <c r="GA45" t="e">
        <f>AND('Planilla_General_07-12-2012_8_3'!E674,"AAAAAH/9/7Y=")</f>
        <v>#VALUE!</v>
      </c>
      <c r="GB45" t="e">
        <f>AND('Planilla_General_07-12-2012_8_3'!F674,"AAAAAH/9/7c=")</f>
        <v>#VALUE!</v>
      </c>
      <c r="GC45" t="e">
        <f>AND('Planilla_General_07-12-2012_8_3'!G674,"AAAAAH/9/7g=")</f>
        <v>#VALUE!</v>
      </c>
      <c r="GD45" t="e">
        <f>AND('Planilla_General_07-12-2012_8_3'!H674,"AAAAAH/9/7k=")</f>
        <v>#VALUE!</v>
      </c>
      <c r="GE45" t="e">
        <f>AND('Planilla_General_07-12-2012_8_3'!I674,"AAAAAH/9/7o=")</f>
        <v>#VALUE!</v>
      </c>
      <c r="GF45" t="e">
        <f>AND('Planilla_General_07-12-2012_8_3'!J674,"AAAAAH/9/7s=")</f>
        <v>#VALUE!</v>
      </c>
      <c r="GG45" t="e">
        <f>AND('Planilla_General_07-12-2012_8_3'!K674,"AAAAAH/9/7w=")</f>
        <v>#VALUE!</v>
      </c>
      <c r="GH45" t="e">
        <f>AND('Planilla_General_07-12-2012_8_3'!L674,"AAAAAH/9/70=")</f>
        <v>#VALUE!</v>
      </c>
      <c r="GI45" t="e">
        <f>AND('Planilla_General_07-12-2012_8_3'!M674,"AAAAAH/9/74=")</f>
        <v>#VALUE!</v>
      </c>
      <c r="GJ45" t="e">
        <f>AND('Planilla_General_07-12-2012_8_3'!N674,"AAAAAH/9/78=")</f>
        <v>#VALUE!</v>
      </c>
      <c r="GK45" t="e">
        <f>AND('Planilla_General_07-12-2012_8_3'!O674,"AAAAAH/9/8A=")</f>
        <v>#VALUE!</v>
      </c>
      <c r="GL45" t="e">
        <f>AND('Planilla_General_07-12-2012_8_3'!P674,"AAAAAH/9/8E=")</f>
        <v>#VALUE!</v>
      </c>
      <c r="GM45">
        <f>IF('Planilla_General_07-12-2012_8_3'!675:675,"AAAAAH/9/8I=",0)</f>
        <v>0</v>
      </c>
      <c r="GN45" t="e">
        <f>AND('Planilla_General_07-12-2012_8_3'!A675,"AAAAAH/9/8M=")</f>
        <v>#VALUE!</v>
      </c>
      <c r="GO45" t="e">
        <f>AND('Planilla_General_07-12-2012_8_3'!B675,"AAAAAH/9/8Q=")</f>
        <v>#VALUE!</v>
      </c>
      <c r="GP45" t="e">
        <f>AND('Planilla_General_07-12-2012_8_3'!C675,"AAAAAH/9/8U=")</f>
        <v>#VALUE!</v>
      </c>
      <c r="GQ45" t="e">
        <f>AND('Planilla_General_07-12-2012_8_3'!D675,"AAAAAH/9/8Y=")</f>
        <v>#VALUE!</v>
      </c>
      <c r="GR45" t="e">
        <f>AND('Planilla_General_07-12-2012_8_3'!E675,"AAAAAH/9/8c=")</f>
        <v>#VALUE!</v>
      </c>
      <c r="GS45" t="e">
        <f>AND('Planilla_General_07-12-2012_8_3'!F675,"AAAAAH/9/8g=")</f>
        <v>#VALUE!</v>
      </c>
      <c r="GT45" t="e">
        <f>AND('Planilla_General_07-12-2012_8_3'!G675,"AAAAAH/9/8k=")</f>
        <v>#VALUE!</v>
      </c>
      <c r="GU45" t="e">
        <f>AND('Planilla_General_07-12-2012_8_3'!H675,"AAAAAH/9/8o=")</f>
        <v>#VALUE!</v>
      </c>
      <c r="GV45" t="e">
        <f>AND('Planilla_General_07-12-2012_8_3'!I675,"AAAAAH/9/8s=")</f>
        <v>#VALUE!</v>
      </c>
      <c r="GW45" t="e">
        <f>AND('Planilla_General_07-12-2012_8_3'!J675,"AAAAAH/9/8w=")</f>
        <v>#VALUE!</v>
      </c>
      <c r="GX45" t="e">
        <f>AND('Planilla_General_07-12-2012_8_3'!K675,"AAAAAH/9/80=")</f>
        <v>#VALUE!</v>
      </c>
      <c r="GY45" t="e">
        <f>AND('Planilla_General_07-12-2012_8_3'!L675,"AAAAAH/9/84=")</f>
        <v>#VALUE!</v>
      </c>
      <c r="GZ45" t="e">
        <f>AND('Planilla_General_07-12-2012_8_3'!M675,"AAAAAH/9/88=")</f>
        <v>#VALUE!</v>
      </c>
      <c r="HA45" t="e">
        <f>AND('Planilla_General_07-12-2012_8_3'!N675,"AAAAAH/9/9A=")</f>
        <v>#VALUE!</v>
      </c>
      <c r="HB45" t="e">
        <f>AND('Planilla_General_07-12-2012_8_3'!O675,"AAAAAH/9/9E=")</f>
        <v>#VALUE!</v>
      </c>
      <c r="HC45" t="e">
        <f>AND('Planilla_General_07-12-2012_8_3'!P675,"AAAAAH/9/9I=")</f>
        <v>#VALUE!</v>
      </c>
      <c r="HD45">
        <f>IF('Planilla_General_07-12-2012_8_3'!676:676,"AAAAAH/9/9M=",0)</f>
        <v>0</v>
      </c>
      <c r="HE45" t="e">
        <f>AND('Planilla_General_07-12-2012_8_3'!A676,"AAAAAH/9/9Q=")</f>
        <v>#VALUE!</v>
      </c>
      <c r="HF45" t="e">
        <f>AND('Planilla_General_07-12-2012_8_3'!B676,"AAAAAH/9/9U=")</f>
        <v>#VALUE!</v>
      </c>
      <c r="HG45" t="e">
        <f>AND('Planilla_General_07-12-2012_8_3'!C676,"AAAAAH/9/9Y=")</f>
        <v>#VALUE!</v>
      </c>
      <c r="HH45" t="e">
        <f>AND('Planilla_General_07-12-2012_8_3'!D676,"AAAAAH/9/9c=")</f>
        <v>#VALUE!</v>
      </c>
      <c r="HI45" t="e">
        <f>AND('Planilla_General_07-12-2012_8_3'!E676,"AAAAAH/9/9g=")</f>
        <v>#VALUE!</v>
      </c>
      <c r="HJ45" t="e">
        <f>AND('Planilla_General_07-12-2012_8_3'!F676,"AAAAAH/9/9k=")</f>
        <v>#VALUE!</v>
      </c>
      <c r="HK45" t="e">
        <f>AND('Planilla_General_07-12-2012_8_3'!G676,"AAAAAH/9/9o=")</f>
        <v>#VALUE!</v>
      </c>
      <c r="HL45" t="e">
        <f>AND('Planilla_General_07-12-2012_8_3'!H676,"AAAAAH/9/9s=")</f>
        <v>#VALUE!</v>
      </c>
      <c r="HM45" t="e">
        <f>AND('Planilla_General_07-12-2012_8_3'!I676,"AAAAAH/9/9w=")</f>
        <v>#VALUE!</v>
      </c>
      <c r="HN45" t="e">
        <f>AND('Planilla_General_07-12-2012_8_3'!J676,"AAAAAH/9/90=")</f>
        <v>#VALUE!</v>
      </c>
      <c r="HO45" t="e">
        <f>AND('Planilla_General_07-12-2012_8_3'!K676,"AAAAAH/9/94=")</f>
        <v>#VALUE!</v>
      </c>
      <c r="HP45" t="e">
        <f>AND('Planilla_General_07-12-2012_8_3'!L676,"AAAAAH/9/98=")</f>
        <v>#VALUE!</v>
      </c>
      <c r="HQ45" t="e">
        <f>AND('Planilla_General_07-12-2012_8_3'!M676,"AAAAAH/9/+A=")</f>
        <v>#VALUE!</v>
      </c>
      <c r="HR45" t="e">
        <f>AND('Planilla_General_07-12-2012_8_3'!N676,"AAAAAH/9/+E=")</f>
        <v>#VALUE!</v>
      </c>
      <c r="HS45" t="e">
        <f>AND('Planilla_General_07-12-2012_8_3'!O676,"AAAAAH/9/+I=")</f>
        <v>#VALUE!</v>
      </c>
      <c r="HT45" t="e">
        <f>AND('Planilla_General_07-12-2012_8_3'!P676,"AAAAAH/9/+M=")</f>
        <v>#VALUE!</v>
      </c>
      <c r="HU45">
        <f>IF('Planilla_General_07-12-2012_8_3'!677:677,"AAAAAH/9/+Q=",0)</f>
        <v>0</v>
      </c>
      <c r="HV45" t="e">
        <f>AND('Planilla_General_07-12-2012_8_3'!A677,"AAAAAH/9/+U=")</f>
        <v>#VALUE!</v>
      </c>
      <c r="HW45" t="e">
        <f>AND('Planilla_General_07-12-2012_8_3'!B677,"AAAAAH/9/+Y=")</f>
        <v>#VALUE!</v>
      </c>
      <c r="HX45" t="e">
        <f>AND('Planilla_General_07-12-2012_8_3'!C677,"AAAAAH/9/+c=")</f>
        <v>#VALUE!</v>
      </c>
      <c r="HY45" t="e">
        <f>AND('Planilla_General_07-12-2012_8_3'!D677,"AAAAAH/9/+g=")</f>
        <v>#VALUE!</v>
      </c>
      <c r="HZ45" t="e">
        <f>AND('Planilla_General_07-12-2012_8_3'!E677,"AAAAAH/9/+k=")</f>
        <v>#VALUE!</v>
      </c>
      <c r="IA45" t="e">
        <f>AND('Planilla_General_07-12-2012_8_3'!F677,"AAAAAH/9/+o=")</f>
        <v>#VALUE!</v>
      </c>
      <c r="IB45" t="e">
        <f>AND('Planilla_General_07-12-2012_8_3'!G677,"AAAAAH/9/+s=")</f>
        <v>#VALUE!</v>
      </c>
      <c r="IC45" t="e">
        <f>AND('Planilla_General_07-12-2012_8_3'!H677,"AAAAAH/9/+w=")</f>
        <v>#VALUE!</v>
      </c>
      <c r="ID45" t="e">
        <f>AND('Planilla_General_07-12-2012_8_3'!I677,"AAAAAH/9/+0=")</f>
        <v>#VALUE!</v>
      </c>
      <c r="IE45" t="e">
        <f>AND('Planilla_General_07-12-2012_8_3'!J677,"AAAAAH/9/+4=")</f>
        <v>#VALUE!</v>
      </c>
      <c r="IF45" t="e">
        <f>AND('Planilla_General_07-12-2012_8_3'!K677,"AAAAAH/9/+8=")</f>
        <v>#VALUE!</v>
      </c>
      <c r="IG45" t="e">
        <f>AND('Planilla_General_07-12-2012_8_3'!L677,"AAAAAH/9//A=")</f>
        <v>#VALUE!</v>
      </c>
      <c r="IH45" t="e">
        <f>AND('Planilla_General_07-12-2012_8_3'!M677,"AAAAAH/9//E=")</f>
        <v>#VALUE!</v>
      </c>
      <c r="II45" t="e">
        <f>AND('Planilla_General_07-12-2012_8_3'!N677,"AAAAAH/9//I=")</f>
        <v>#VALUE!</v>
      </c>
      <c r="IJ45" t="e">
        <f>AND('Planilla_General_07-12-2012_8_3'!O677,"AAAAAH/9//M=")</f>
        <v>#VALUE!</v>
      </c>
      <c r="IK45" t="e">
        <f>AND('Planilla_General_07-12-2012_8_3'!P677,"AAAAAH/9//Q=")</f>
        <v>#VALUE!</v>
      </c>
      <c r="IL45">
        <f>IF('Planilla_General_07-12-2012_8_3'!678:678,"AAAAAH/9//U=",0)</f>
        <v>0</v>
      </c>
      <c r="IM45" t="e">
        <f>AND('Planilla_General_07-12-2012_8_3'!A678,"AAAAAH/9//Y=")</f>
        <v>#VALUE!</v>
      </c>
      <c r="IN45" t="e">
        <f>AND('Planilla_General_07-12-2012_8_3'!B678,"AAAAAH/9//c=")</f>
        <v>#VALUE!</v>
      </c>
      <c r="IO45" t="e">
        <f>AND('Planilla_General_07-12-2012_8_3'!C678,"AAAAAH/9//g=")</f>
        <v>#VALUE!</v>
      </c>
      <c r="IP45" t="e">
        <f>AND('Planilla_General_07-12-2012_8_3'!D678,"AAAAAH/9//k=")</f>
        <v>#VALUE!</v>
      </c>
      <c r="IQ45" t="e">
        <f>AND('Planilla_General_07-12-2012_8_3'!E678,"AAAAAH/9//o=")</f>
        <v>#VALUE!</v>
      </c>
      <c r="IR45" t="e">
        <f>AND('Planilla_General_07-12-2012_8_3'!F678,"AAAAAH/9//s=")</f>
        <v>#VALUE!</v>
      </c>
      <c r="IS45" t="e">
        <f>AND('Planilla_General_07-12-2012_8_3'!G678,"AAAAAH/9//w=")</f>
        <v>#VALUE!</v>
      </c>
      <c r="IT45" t="e">
        <f>AND('Planilla_General_07-12-2012_8_3'!H678,"AAAAAH/9//0=")</f>
        <v>#VALUE!</v>
      </c>
      <c r="IU45" t="e">
        <f>AND('Planilla_General_07-12-2012_8_3'!I678,"AAAAAH/9//4=")</f>
        <v>#VALUE!</v>
      </c>
      <c r="IV45" t="e">
        <f>AND('Planilla_General_07-12-2012_8_3'!J678,"AAAAAH/9//8=")</f>
        <v>#VALUE!</v>
      </c>
    </row>
    <row r="46" spans="1:256" x14ac:dyDescent="0.25">
      <c r="A46" t="e">
        <f>AND('Planilla_General_07-12-2012_8_3'!K678,"AAAAAF9/fQA=")</f>
        <v>#VALUE!</v>
      </c>
      <c r="B46" t="e">
        <f>AND('Planilla_General_07-12-2012_8_3'!L678,"AAAAAF9/fQE=")</f>
        <v>#VALUE!</v>
      </c>
      <c r="C46" t="e">
        <f>AND('Planilla_General_07-12-2012_8_3'!M678,"AAAAAF9/fQI=")</f>
        <v>#VALUE!</v>
      </c>
      <c r="D46" t="e">
        <f>AND('Planilla_General_07-12-2012_8_3'!N678,"AAAAAF9/fQM=")</f>
        <v>#VALUE!</v>
      </c>
      <c r="E46" t="e">
        <f>AND('Planilla_General_07-12-2012_8_3'!O678,"AAAAAF9/fQQ=")</f>
        <v>#VALUE!</v>
      </c>
      <c r="F46" t="e">
        <f>AND('Planilla_General_07-12-2012_8_3'!P678,"AAAAAF9/fQU=")</f>
        <v>#VALUE!</v>
      </c>
      <c r="G46" t="e">
        <f>IF('Planilla_General_07-12-2012_8_3'!679:679,"AAAAAF9/fQY=",0)</f>
        <v>#VALUE!</v>
      </c>
      <c r="H46" t="e">
        <f>AND('Planilla_General_07-12-2012_8_3'!A679,"AAAAAF9/fQc=")</f>
        <v>#VALUE!</v>
      </c>
      <c r="I46" t="e">
        <f>AND('Planilla_General_07-12-2012_8_3'!B679,"AAAAAF9/fQg=")</f>
        <v>#VALUE!</v>
      </c>
      <c r="J46" t="e">
        <f>AND('Planilla_General_07-12-2012_8_3'!C679,"AAAAAF9/fQk=")</f>
        <v>#VALUE!</v>
      </c>
      <c r="K46" t="e">
        <f>AND('Planilla_General_07-12-2012_8_3'!D679,"AAAAAF9/fQo=")</f>
        <v>#VALUE!</v>
      </c>
      <c r="L46" t="e">
        <f>AND('Planilla_General_07-12-2012_8_3'!E679,"AAAAAF9/fQs=")</f>
        <v>#VALUE!</v>
      </c>
      <c r="M46" t="e">
        <f>AND('Planilla_General_07-12-2012_8_3'!F679,"AAAAAF9/fQw=")</f>
        <v>#VALUE!</v>
      </c>
      <c r="N46" t="e">
        <f>AND('Planilla_General_07-12-2012_8_3'!G679,"AAAAAF9/fQ0=")</f>
        <v>#VALUE!</v>
      </c>
      <c r="O46" t="e">
        <f>AND('Planilla_General_07-12-2012_8_3'!H679,"AAAAAF9/fQ4=")</f>
        <v>#VALUE!</v>
      </c>
      <c r="P46" t="e">
        <f>AND('Planilla_General_07-12-2012_8_3'!I679,"AAAAAF9/fQ8=")</f>
        <v>#VALUE!</v>
      </c>
      <c r="Q46" t="e">
        <f>AND('Planilla_General_07-12-2012_8_3'!J679,"AAAAAF9/fRA=")</f>
        <v>#VALUE!</v>
      </c>
      <c r="R46" t="e">
        <f>AND('Planilla_General_07-12-2012_8_3'!K679,"AAAAAF9/fRE=")</f>
        <v>#VALUE!</v>
      </c>
      <c r="S46" t="e">
        <f>AND('Planilla_General_07-12-2012_8_3'!L679,"AAAAAF9/fRI=")</f>
        <v>#VALUE!</v>
      </c>
      <c r="T46" t="e">
        <f>AND('Planilla_General_07-12-2012_8_3'!M679,"AAAAAF9/fRM=")</f>
        <v>#VALUE!</v>
      </c>
      <c r="U46" t="e">
        <f>AND('Planilla_General_07-12-2012_8_3'!N679,"AAAAAF9/fRQ=")</f>
        <v>#VALUE!</v>
      </c>
      <c r="V46" t="e">
        <f>AND('Planilla_General_07-12-2012_8_3'!O679,"AAAAAF9/fRU=")</f>
        <v>#VALUE!</v>
      </c>
      <c r="W46" t="e">
        <f>AND('Planilla_General_07-12-2012_8_3'!P679,"AAAAAF9/fRY=")</f>
        <v>#VALUE!</v>
      </c>
      <c r="X46">
        <f>IF('Planilla_General_07-12-2012_8_3'!680:680,"AAAAAF9/fRc=",0)</f>
        <v>0</v>
      </c>
      <c r="Y46" t="e">
        <f>AND('Planilla_General_07-12-2012_8_3'!A680,"AAAAAF9/fRg=")</f>
        <v>#VALUE!</v>
      </c>
      <c r="Z46" t="e">
        <f>AND('Planilla_General_07-12-2012_8_3'!B680,"AAAAAF9/fRk=")</f>
        <v>#VALUE!</v>
      </c>
      <c r="AA46" t="e">
        <f>AND('Planilla_General_07-12-2012_8_3'!C680,"AAAAAF9/fRo=")</f>
        <v>#VALUE!</v>
      </c>
      <c r="AB46" t="e">
        <f>AND('Planilla_General_07-12-2012_8_3'!D680,"AAAAAF9/fRs=")</f>
        <v>#VALUE!</v>
      </c>
      <c r="AC46" t="e">
        <f>AND('Planilla_General_07-12-2012_8_3'!E680,"AAAAAF9/fRw=")</f>
        <v>#VALUE!</v>
      </c>
      <c r="AD46" t="e">
        <f>AND('Planilla_General_07-12-2012_8_3'!F680,"AAAAAF9/fR0=")</f>
        <v>#VALUE!</v>
      </c>
      <c r="AE46" t="e">
        <f>AND('Planilla_General_07-12-2012_8_3'!G680,"AAAAAF9/fR4=")</f>
        <v>#VALUE!</v>
      </c>
      <c r="AF46" t="e">
        <f>AND('Planilla_General_07-12-2012_8_3'!H680,"AAAAAF9/fR8=")</f>
        <v>#VALUE!</v>
      </c>
      <c r="AG46" t="e">
        <f>AND('Planilla_General_07-12-2012_8_3'!I680,"AAAAAF9/fSA=")</f>
        <v>#VALUE!</v>
      </c>
      <c r="AH46" t="e">
        <f>AND('Planilla_General_07-12-2012_8_3'!J680,"AAAAAF9/fSE=")</f>
        <v>#VALUE!</v>
      </c>
      <c r="AI46" t="e">
        <f>AND('Planilla_General_07-12-2012_8_3'!K680,"AAAAAF9/fSI=")</f>
        <v>#VALUE!</v>
      </c>
      <c r="AJ46" t="e">
        <f>AND('Planilla_General_07-12-2012_8_3'!L680,"AAAAAF9/fSM=")</f>
        <v>#VALUE!</v>
      </c>
      <c r="AK46" t="e">
        <f>AND('Planilla_General_07-12-2012_8_3'!M680,"AAAAAF9/fSQ=")</f>
        <v>#VALUE!</v>
      </c>
      <c r="AL46" t="e">
        <f>AND('Planilla_General_07-12-2012_8_3'!N680,"AAAAAF9/fSU=")</f>
        <v>#VALUE!</v>
      </c>
      <c r="AM46" t="e">
        <f>AND('Planilla_General_07-12-2012_8_3'!O680,"AAAAAF9/fSY=")</f>
        <v>#VALUE!</v>
      </c>
      <c r="AN46" t="e">
        <f>AND('Planilla_General_07-12-2012_8_3'!P680,"AAAAAF9/fSc=")</f>
        <v>#VALUE!</v>
      </c>
      <c r="AO46">
        <f>IF('Planilla_General_07-12-2012_8_3'!681:681,"AAAAAF9/fSg=",0)</f>
        <v>0</v>
      </c>
      <c r="AP46" t="e">
        <f>AND('Planilla_General_07-12-2012_8_3'!A681,"AAAAAF9/fSk=")</f>
        <v>#VALUE!</v>
      </c>
      <c r="AQ46" t="e">
        <f>AND('Planilla_General_07-12-2012_8_3'!B681,"AAAAAF9/fSo=")</f>
        <v>#VALUE!</v>
      </c>
      <c r="AR46" t="e">
        <f>AND('Planilla_General_07-12-2012_8_3'!C681,"AAAAAF9/fSs=")</f>
        <v>#VALUE!</v>
      </c>
      <c r="AS46" t="e">
        <f>AND('Planilla_General_07-12-2012_8_3'!D681,"AAAAAF9/fSw=")</f>
        <v>#VALUE!</v>
      </c>
      <c r="AT46" t="e">
        <f>AND('Planilla_General_07-12-2012_8_3'!E681,"AAAAAF9/fS0=")</f>
        <v>#VALUE!</v>
      </c>
      <c r="AU46" t="e">
        <f>AND('Planilla_General_07-12-2012_8_3'!F681,"AAAAAF9/fS4=")</f>
        <v>#VALUE!</v>
      </c>
      <c r="AV46" t="e">
        <f>AND('Planilla_General_07-12-2012_8_3'!G681,"AAAAAF9/fS8=")</f>
        <v>#VALUE!</v>
      </c>
      <c r="AW46" t="e">
        <f>AND('Planilla_General_07-12-2012_8_3'!H681,"AAAAAF9/fTA=")</f>
        <v>#VALUE!</v>
      </c>
      <c r="AX46" t="e">
        <f>AND('Planilla_General_07-12-2012_8_3'!I681,"AAAAAF9/fTE=")</f>
        <v>#VALUE!</v>
      </c>
      <c r="AY46" t="e">
        <f>AND('Planilla_General_07-12-2012_8_3'!J681,"AAAAAF9/fTI=")</f>
        <v>#VALUE!</v>
      </c>
      <c r="AZ46" t="e">
        <f>AND('Planilla_General_07-12-2012_8_3'!K681,"AAAAAF9/fTM=")</f>
        <v>#VALUE!</v>
      </c>
      <c r="BA46" t="e">
        <f>AND('Planilla_General_07-12-2012_8_3'!L681,"AAAAAF9/fTQ=")</f>
        <v>#VALUE!</v>
      </c>
      <c r="BB46" t="e">
        <f>AND('Planilla_General_07-12-2012_8_3'!M681,"AAAAAF9/fTU=")</f>
        <v>#VALUE!</v>
      </c>
      <c r="BC46" t="e">
        <f>AND('Planilla_General_07-12-2012_8_3'!N681,"AAAAAF9/fTY=")</f>
        <v>#VALUE!</v>
      </c>
      <c r="BD46" t="e">
        <f>AND('Planilla_General_07-12-2012_8_3'!O681,"AAAAAF9/fTc=")</f>
        <v>#VALUE!</v>
      </c>
      <c r="BE46" t="e">
        <f>AND('Planilla_General_07-12-2012_8_3'!P681,"AAAAAF9/fTg=")</f>
        <v>#VALUE!</v>
      </c>
      <c r="BF46">
        <f>IF('Planilla_General_07-12-2012_8_3'!682:682,"AAAAAF9/fTk=",0)</f>
        <v>0</v>
      </c>
      <c r="BG46" t="e">
        <f>AND('Planilla_General_07-12-2012_8_3'!A682,"AAAAAF9/fTo=")</f>
        <v>#VALUE!</v>
      </c>
      <c r="BH46" t="e">
        <f>AND('Planilla_General_07-12-2012_8_3'!B682,"AAAAAF9/fTs=")</f>
        <v>#VALUE!</v>
      </c>
      <c r="BI46" t="e">
        <f>AND('Planilla_General_07-12-2012_8_3'!C682,"AAAAAF9/fTw=")</f>
        <v>#VALUE!</v>
      </c>
      <c r="BJ46" t="e">
        <f>AND('Planilla_General_07-12-2012_8_3'!D682,"AAAAAF9/fT0=")</f>
        <v>#VALUE!</v>
      </c>
      <c r="BK46" t="e">
        <f>AND('Planilla_General_07-12-2012_8_3'!E682,"AAAAAF9/fT4=")</f>
        <v>#VALUE!</v>
      </c>
      <c r="BL46" t="e">
        <f>AND('Planilla_General_07-12-2012_8_3'!F682,"AAAAAF9/fT8=")</f>
        <v>#VALUE!</v>
      </c>
      <c r="BM46" t="e">
        <f>AND('Planilla_General_07-12-2012_8_3'!G682,"AAAAAF9/fUA=")</f>
        <v>#VALUE!</v>
      </c>
      <c r="BN46" t="e">
        <f>AND('Planilla_General_07-12-2012_8_3'!H682,"AAAAAF9/fUE=")</f>
        <v>#VALUE!</v>
      </c>
      <c r="BO46" t="e">
        <f>AND('Planilla_General_07-12-2012_8_3'!I682,"AAAAAF9/fUI=")</f>
        <v>#VALUE!</v>
      </c>
      <c r="BP46" t="e">
        <f>AND('Planilla_General_07-12-2012_8_3'!J682,"AAAAAF9/fUM=")</f>
        <v>#VALUE!</v>
      </c>
      <c r="BQ46" t="e">
        <f>AND('Planilla_General_07-12-2012_8_3'!K682,"AAAAAF9/fUQ=")</f>
        <v>#VALUE!</v>
      </c>
      <c r="BR46" t="e">
        <f>AND('Planilla_General_07-12-2012_8_3'!L682,"AAAAAF9/fUU=")</f>
        <v>#VALUE!</v>
      </c>
      <c r="BS46" t="e">
        <f>AND('Planilla_General_07-12-2012_8_3'!M682,"AAAAAF9/fUY=")</f>
        <v>#VALUE!</v>
      </c>
      <c r="BT46" t="e">
        <f>AND('Planilla_General_07-12-2012_8_3'!N682,"AAAAAF9/fUc=")</f>
        <v>#VALUE!</v>
      </c>
      <c r="BU46" t="e">
        <f>AND('Planilla_General_07-12-2012_8_3'!O682,"AAAAAF9/fUg=")</f>
        <v>#VALUE!</v>
      </c>
      <c r="BV46" t="e">
        <f>AND('Planilla_General_07-12-2012_8_3'!P682,"AAAAAF9/fUk=")</f>
        <v>#VALUE!</v>
      </c>
      <c r="BW46">
        <f>IF('Planilla_General_07-12-2012_8_3'!683:683,"AAAAAF9/fUo=",0)</f>
        <v>0</v>
      </c>
      <c r="BX46" t="e">
        <f>AND('Planilla_General_07-12-2012_8_3'!A683,"AAAAAF9/fUs=")</f>
        <v>#VALUE!</v>
      </c>
      <c r="BY46" t="e">
        <f>AND('Planilla_General_07-12-2012_8_3'!B683,"AAAAAF9/fUw=")</f>
        <v>#VALUE!</v>
      </c>
      <c r="BZ46" t="e">
        <f>AND('Planilla_General_07-12-2012_8_3'!C683,"AAAAAF9/fU0=")</f>
        <v>#VALUE!</v>
      </c>
      <c r="CA46" t="e">
        <f>AND('Planilla_General_07-12-2012_8_3'!D683,"AAAAAF9/fU4=")</f>
        <v>#VALUE!</v>
      </c>
      <c r="CB46" t="e">
        <f>AND('Planilla_General_07-12-2012_8_3'!E683,"AAAAAF9/fU8=")</f>
        <v>#VALUE!</v>
      </c>
      <c r="CC46" t="e">
        <f>AND('Planilla_General_07-12-2012_8_3'!F683,"AAAAAF9/fVA=")</f>
        <v>#VALUE!</v>
      </c>
      <c r="CD46" t="e">
        <f>AND('Planilla_General_07-12-2012_8_3'!G683,"AAAAAF9/fVE=")</f>
        <v>#VALUE!</v>
      </c>
      <c r="CE46" t="e">
        <f>AND('Planilla_General_07-12-2012_8_3'!H683,"AAAAAF9/fVI=")</f>
        <v>#VALUE!</v>
      </c>
      <c r="CF46" t="e">
        <f>AND('Planilla_General_07-12-2012_8_3'!I683,"AAAAAF9/fVM=")</f>
        <v>#VALUE!</v>
      </c>
      <c r="CG46" t="e">
        <f>AND('Planilla_General_07-12-2012_8_3'!J683,"AAAAAF9/fVQ=")</f>
        <v>#VALUE!</v>
      </c>
      <c r="CH46" t="e">
        <f>AND('Planilla_General_07-12-2012_8_3'!K683,"AAAAAF9/fVU=")</f>
        <v>#VALUE!</v>
      </c>
      <c r="CI46" t="e">
        <f>AND('Planilla_General_07-12-2012_8_3'!L683,"AAAAAF9/fVY=")</f>
        <v>#VALUE!</v>
      </c>
      <c r="CJ46" t="e">
        <f>AND('Planilla_General_07-12-2012_8_3'!M683,"AAAAAF9/fVc=")</f>
        <v>#VALUE!</v>
      </c>
      <c r="CK46" t="e">
        <f>AND('Planilla_General_07-12-2012_8_3'!N683,"AAAAAF9/fVg=")</f>
        <v>#VALUE!</v>
      </c>
      <c r="CL46" t="e">
        <f>AND('Planilla_General_07-12-2012_8_3'!O683,"AAAAAF9/fVk=")</f>
        <v>#VALUE!</v>
      </c>
      <c r="CM46" t="e">
        <f>AND('Planilla_General_07-12-2012_8_3'!P683,"AAAAAF9/fVo=")</f>
        <v>#VALUE!</v>
      </c>
      <c r="CN46">
        <f>IF('Planilla_General_07-12-2012_8_3'!684:684,"AAAAAF9/fVs=",0)</f>
        <v>0</v>
      </c>
      <c r="CO46" t="e">
        <f>AND('Planilla_General_07-12-2012_8_3'!A684,"AAAAAF9/fVw=")</f>
        <v>#VALUE!</v>
      </c>
      <c r="CP46" t="e">
        <f>AND('Planilla_General_07-12-2012_8_3'!B684,"AAAAAF9/fV0=")</f>
        <v>#VALUE!</v>
      </c>
      <c r="CQ46" t="e">
        <f>AND('Planilla_General_07-12-2012_8_3'!C684,"AAAAAF9/fV4=")</f>
        <v>#VALUE!</v>
      </c>
      <c r="CR46" t="e">
        <f>AND('Planilla_General_07-12-2012_8_3'!D684,"AAAAAF9/fV8=")</f>
        <v>#VALUE!</v>
      </c>
      <c r="CS46" t="e">
        <f>AND('Planilla_General_07-12-2012_8_3'!E684,"AAAAAF9/fWA=")</f>
        <v>#VALUE!</v>
      </c>
      <c r="CT46" t="e">
        <f>AND('Planilla_General_07-12-2012_8_3'!F684,"AAAAAF9/fWE=")</f>
        <v>#VALUE!</v>
      </c>
      <c r="CU46" t="e">
        <f>AND('Planilla_General_07-12-2012_8_3'!G684,"AAAAAF9/fWI=")</f>
        <v>#VALUE!</v>
      </c>
      <c r="CV46" t="e">
        <f>AND('Planilla_General_07-12-2012_8_3'!H684,"AAAAAF9/fWM=")</f>
        <v>#VALUE!</v>
      </c>
      <c r="CW46" t="e">
        <f>AND('Planilla_General_07-12-2012_8_3'!I684,"AAAAAF9/fWQ=")</f>
        <v>#VALUE!</v>
      </c>
      <c r="CX46" t="e">
        <f>AND('Planilla_General_07-12-2012_8_3'!J684,"AAAAAF9/fWU=")</f>
        <v>#VALUE!</v>
      </c>
      <c r="CY46" t="e">
        <f>AND('Planilla_General_07-12-2012_8_3'!K684,"AAAAAF9/fWY=")</f>
        <v>#VALUE!</v>
      </c>
      <c r="CZ46" t="e">
        <f>AND('Planilla_General_07-12-2012_8_3'!L684,"AAAAAF9/fWc=")</f>
        <v>#VALUE!</v>
      </c>
      <c r="DA46" t="e">
        <f>AND('Planilla_General_07-12-2012_8_3'!M684,"AAAAAF9/fWg=")</f>
        <v>#VALUE!</v>
      </c>
      <c r="DB46" t="e">
        <f>AND('Planilla_General_07-12-2012_8_3'!N684,"AAAAAF9/fWk=")</f>
        <v>#VALUE!</v>
      </c>
      <c r="DC46" t="e">
        <f>AND('Planilla_General_07-12-2012_8_3'!O684,"AAAAAF9/fWo=")</f>
        <v>#VALUE!</v>
      </c>
      <c r="DD46" t="e">
        <f>AND('Planilla_General_07-12-2012_8_3'!P684,"AAAAAF9/fWs=")</f>
        <v>#VALUE!</v>
      </c>
      <c r="DE46">
        <f>IF('Planilla_General_07-12-2012_8_3'!685:685,"AAAAAF9/fWw=",0)</f>
        <v>0</v>
      </c>
      <c r="DF46" t="e">
        <f>AND('Planilla_General_07-12-2012_8_3'!A685,"AAAAAF9/fW0=")</f>
        <v>#VALUE!</v>
      </c>
      <c r="DG46" t="e">
        <f>AND('Planilla_General_07-12-2012_8_3'!B685,"AAAAAF9/fW4=")</f>
        <v>#VALUE!</v>
      </c>
      <c r="DH46" t="e">
        <f>AND('Planilla_General_07-12-2012_8_3'!C685,"AAAAAF9/fW8=")</f>
        <v>#VALUE!</v>
      </c>
      <c r="DI46" t="e">
        <f>AND('Planilla_General_07-12-2012_8_3'!D685,"AAAAAF9/fXA=")</f>
        <v>#VALUE!</v>
      </c>
      <c r="DJ46" t="e">
        <f>AND('Planilla_General_07-12-2012_8_3'!E685,"AAAAAF9/fXE=")</f>
        <v>#VALUE!</v>
      </c>
      <c r="DK46" t="e">
        <f>AND('Planilla_General_07-12-2012_8_3'!F685,"AAAAAF9/fXI=")</f>
        <v>#VALUE!</v>
      </c>
      <c r="DL46" t="e">
        <f>AND('Planilla_General_07-12-2012_8_3'!G685,"AAAAAF9/fXM=")</f>
        <v>#VALUE!</v>
      </c>
      <c r="DM46" t="e">
        <f>AND('Planilla_General_07-12-2012_8_3'!H685,"AAAAAF9/fXQ=")</f>
        <v>#VALUE!</v>
      </c>
      <c r="DN46" t="e">
        <f>AND('Planilla_General_07-12-2012_8_3'!I685,"AAAAAF9/fXU=")</f>
        <v>#VALUE!</v>
      </c>
      <c r="DO46" t="e">
        <f>AND('Planilla_General_07-12-2012_8_3'!J685,"AAAAAF9/fXY=")</f>
        <v>#VALUE!</v>
      </c>
      <c r="DP46" t="e">
        <f>AND('Planilla_General_07-12-2012_8_3'!K685,"AAAAAF9/fXc=")</f>
        <v>#VALUE!</v>
      </c>
      <c r="DQ46" t="e">
        <f>AND('Planilla_General_07-12-2012_8_3'!L685,"AAAAAF9/fXg=")</f>
        <v>#VALUE!</v>
      </c>
      <c r="DR46" t="e">
        <f>AND('Planilla_General_07-12-2012_8_3'!M685,"AAAAAF9/fXk=")</f>
        <v>#VALUE!</v>
      </c>
      <c r="DS46" t="e">
        <f>AND('Planilla_General_07-12-2012_8_3'!N685,"AAAAAF9/fXo=")</f>
        <v>#VALUE!</v>
      </c>
      <c r="DT46" t="e">
        <f>AND('Planilla_General_07-12-2012_8_3'!O685,"AAAAAF9/fXs=")</f>
        <v>#VALUE!</v>
      </c>
      <c r="DU46" t="e">
        <f>AND('Planilla_General_07-12-2012_8_3'!P685,"AAAAAF9/fXw=")</f>
        <v>#VALUE!</v>
      </c>
      <c r="DV46">
        <f>IF('Planilla_General_07-12-2012_8_3'!686:686,"AAAAAF9/fX0=",0)</f>
        <v>0</v>
      </c>
      <c r="DW46" t="e">
        <f>AND('Planilla_General_07-12-2012_8_3'!A686,"AAAAAF9/fX4=")</f>
        <v>#VALUE!</v>
      </c>
      <c r="DX46" t="e">
        <f>AND('Planilla_General_07-12-2012_8_3'!B686,"AAAAAF9/fX8=")</f>
        <v>#VALUE!</v>
      </c>
      <c r="DY46" t="e">
        <f>AND('Planilla_General_07-12-2012_8_3'!C686,"AAAAAF9/fYA=")</f>
        <v>#VALUE!</v>
      </c>
      <c r="DZ46" t="e">
        <f>AND('Planilla_General_07-12-2012_8_3'!D686,"AAAAAF9/fYE=")</f>
        <v>#VALUE!</v>
      </c>
      <c r="EA46" t="e">
        <f>AND('Planilla_General_07-12-2012_8_3'!E686,"AAAAAF9/fYI=")</f>
        <v>#VALUE!</v>
      </c>
      <c r="EB46" t="e">
        <f>AND('Planilla_General_07-12-2012_8_3'!F686,"AAAAAF9/fYM=")</f>
        <v>#VALUE!</v>
      </c>
      <c r="EC46" t="e">
        <f>AND('Planilla_General_07-12-2012_8_3'!G686,"AAAAAF9/fYQ=")</f>
        <v>#VALUE!</v>
      </c>
      <c r="ED46" t="e">
        <f>AND('Planilla_General_07-12-2012_8_3'!H686,"AAAAAF9/fYU=")</f>
        <v>#VALUE!</v>
      </c>
      <c r="EE46" t="e">
        <f>AND('Planilla_General_07-12-2012_8_3'!I686,"AAAAAF9/fYY=")</f>
        <v>#VALUE!</v>
      </c>
      <c r="EF46" t="e">
        <f>AND('Planilla_General_07-12-2012_8_3'!J686,"AAAAAF9/fYc=")</f>
        <v>#VALUE!</v>
      </c>
      <c r="EG46" t="e">
        <f>AND('Planilla_General_07-12-2012_8_3'!K686,"AAAAAF9/fYg=")</f>
        <v>#VALUE!</v>
      </c>
      <c r="EH46" t="e">
        <f>AND('Planilla_General_07-12-2012_8_3'!L686,"AAAAAF9/fYk=")</f>
        <v>#VALUE!</v>
      </c>
      <c r="EI46" t="e">
        <f>AND('Planilla_General_07-12-2012_8_3'!M686,"AAAAAF9/fYo=")</f>
        <v>#VALUE!</v>
      </c>
      <c r="EJ46" t="e">
        <f>AND('Planilla_General_07-12-2012_8_3'!N686,"AAAAAF9/fYs=")</f>
        <v>#VALUE!</v>
      </c>
      <c r="EK46" t="e">
        <f>AND('Planilla_General_07-12-2012_8_3'!O686,"AAAAAF9/fYw=")</f>
        <v>#VALUE!</v>
      </c>
      <c r="EL46" t="e">
        <f>AND('Planilla_General_07-12-2012_8_3'!P686,"AAAAAF9/fY0=")</f>
        <v>#VALUE!</v>
      </c>
      <c r="EM46">
        <f>IF('Planilla_General_07-12-2012_8_3'!687:687,"AAAAAF9/fY4=",0)</f>
        <v>0</v>
      </c>
      <c r="EN46" t="e">
        <f>AND('Planilla_General_07-12-2012_8_3'!A687,"AAAAAF9/fY8=")</f>
        <v>#VALUE!</v>
      </c>
      <c r="EO46" t="e">
        <f>AND('Planilla_General_07-12-2012_8_3'!B687,"AAAAAF9/fZA=")</f>
        <v>#VALUE!</v>
      </c>
      <c r="EP46" t="e">
        <f>AND('Planilla_General_07-12-2012_8_3'!C687,"AAAAAF9/fZE=")</f>
        <v>#VALUE!</v>
      </c>
      <c r="EQ46" t="e">
        <f>AND('Planilla_General_07-12-2012_8_3'!D687,"AAAAAF9/fZI=")</f>
        <v>#VALUE!</v>
      </c>
      <c r="ER46" t="e">
        <f>AND('Planilla_General_07-12-2012_8_3'!E687,"AAAAAF9/fZM=")</f>
        <v>#VALUE!</v>
      </c>
      <c r="ES46" t="e">
        <f>AND('Planilla_General_07-12-2012_8_3'!F687,"AAAAAF9/fZQ=")</f>
        <v>#VALUE!</v>
      </c>
      <c r="ET46" t="e">
        <f>AND('Planilla_General_07-12-2012_8_3'!G687,"AAAAAF9/fZU=")</f>
        <v>#VALUE!</v>
      </c>
      <c r="EU46" t="e">
        <f>AND('Planilla_General_07-12-2012_8_3'!H687,"AAAAAF9/fZY=")</f>
        <v>#VALUE!</v>
      </c>
      <c r="EV46" t="e">
        <f>AND('Planilla_General_07-12-2012_8_3'!I687,"AAAAAF9/fZc=")</f>
        <v>#VALUE!</v>
      </c>
      <c r="EW46" t="e">
        <f>AND('Planilla_General_07-12-2012_8_3'!J687,"AAAAAF9/fZg=")</f>
        <v>#VALUE!</v>
      </c>
      <c r="EX46" t="e">
        <f>AND('Planilla_General_07-12-2012_8_3'!K687,"AAAAAF9/fZk=")</f>
        <v>#VALUE!</v>
      </c>
      <c r="EY46" t="e">
        <f>AND('Planilla_General_07-12-2012_8_3'!L687,"AAAAAF9/fZo=")</f>
        <v>#VALUE!</v>
      </c>
      <c r="EZ46" t="e">
        <f>AND('Planilla_General_07-12-2012_8_3'!M687,"AAAAAF9/fZs=")</f>
        <v>#VALUE!</v>
      </c>
      <c r="FA46" t="e">
        <f>AND('Planilla_General_07-12-2012_8_3'!N687,"AAAAAF9/fZw=")</f>
        <v>#VALUE!</v>
      </c>
      <c r="FB46" t="e">
        <f>AND('Planilla_General_07-12-2012_8_3'!O687,"AAAAAF9/fZ0=")</f>
        <v>#VALUE!</v>
      </c>
      <c r="FC46" t="e">
        <f>AND('Planilla_General_07-12-2012_8_3'!P687,"AAAAAF9/fZ4=")</f>
        <v>#VALUE!</v>
      </c>
      <c r="FD46">
        <f>IF('Planilla_General_07-12-2012_8_3'!688:688,"AAAAAF9/fZ8=",0)</f>
        <v>0</v>
      </c>
      <c r="FE46" t="e">
        <f>AND('Planilla_General_07-12-2012_8_3'!A688,"AAAAAF9/faA=")</f>
        <v>#VALUE!</v>
      </c>
      <c r="FF46" t="e">
        <f>AND('Planilla_General_07-12-2012_8_3'!B688,"AAAAAF9/faE=")</f>
        <v>#VALUE!</v>
      </c>
      <c r="FG46" t="e">
        <f>AND('Planilla_General_07-12-2012_8_3'!C688,"AAAAAF9/faI=")</f>
        <v>#VALUE!</v>
      </c>
      <c r="FH46" t="e">
        <f>AND('Planilla_General_07-12-2012_8_3'!D688,"AAAAAF9/faM=")</f>
        <v>#VALUE!</v>
      </c>
      <c r="FI46" t="e">
        <f>AND('Planilla_General_07-12-2012_8_3'!E688,"AAAAAF9/faQ=")</f>
        <v>#VALUE!</v>
      </c>
      <c r="FJ46" t="e">
        <f>AND('Planilla_General_07-12-2012_8_3'!F688,"AAAAAF9/faU=")</f>
        <v>#VALUE!</v>
      </c>
      <c r="FK46" t="e">
        <f>AND('Planilla_General_07-12-2012_8_3'!G688,"AAAAAF9/faY=")</f>
        <v>#VALUE!</v>
      </c>
      <c r="FL46" t="e">
        <f>AND('Planilla_General_07-12-2012_8_3'!H688,"AAAAAF9/fac=")</f>
        <v>#VALUE!</v>
      </c>
      <c r="FM46" t="e">
        <f>AND('Planilla_General_07-12-2012_8_3'!I688,"AAAAAF9/fag=")</f>
        <v>#VALUE!</v>
      </c>
      <c r="FN46" t="e">
        <f>AND('Planilla_General_07-12-2012_8_3'!J688,"AAAAAF9/fak=")</f>
        <v>#VALUE!</v>
      </c>
      <c r="FO46" t="e">
        <f>AND('Planilla_General_07-12-2012_8_3'!K688,"AAAAAF9/fao=")</f>
        <v>#VALUE!</v>
      </c>
      <c r="FP46" t="e">
        <f>AND('Planilla_General_07-12-2012_8_3'!L688,"AAAAAF9/fas=")</f>
        <v>#VALUE!</v>
      </c>
      <c r="FQ46" t="e">
        <f>AND('Planilla_General_07-12-2012_8_3'!M688,"AAAAAF9/faw=")</f>
        <v>#VALUE!</v>
      </c>
      <c r="FR46" t="e">
        <f>AND('Planilla_General_07-12-2012_8_3'!N688,"AAAAAF9/fa0=")</f>
        <v>#VALUE!</v>
      </c>
      <c r="FS46" t="e">
        <f>AND('Planilla_General_07-12-2012_8_3'!O688,"AAAAAF9/fa4=")</f>
        <v>#VALUE!</v>
      </c>
      <c r="FT46" t="e">
        <f>AND('Planilla_General_07-12-2012_8_3'!P688,"AAAAAF9/fa8=")</f>
        <v>#VALUE!</v>
      </c>
      <c r="FU46">
        <f>IF('Planilla_General_07-12-2012_8_3'!689:689,"AAAAAF9/fbA=",0)</f>
        <v>0</v>
      </c>
      <c r="FV46" t="e">
        <f>AND('Planilla_General_07-12-2012_8_3'!A689,"AAAAAF9/fbE=")</f>
        <v>#VALUE!</v>
      </c>
      <c r="FW46" t="e">
        <f>AND('Planilla_General_07-12-2012_8_3'!B689,"AAAAAF9/fbI=")</f>
        <v>#VALUE!</v>
      </c>
      <c r="FX46" t="e">
        <f>AND('Planilla_General_07-12-2012_8_3'!C689,"AAAAAF9/fbM=")</f>
        <v>#VALUE!</v>
      </c>
      <c r="FY46" t="e">
        <f>AND('Planilla_General_07-12-2012_8_3'!D689,"AAAAAF9/fbQ=")</f>
        <v>#VALUE!</v>
      </c>
      <c r="FZ46" t="e">
        <f>AND('Planilla_General_07-12-2012_8_3'!E689,"AAAAAF9/fbU=")</f>
        <v>#VALUE!</v>
      </c>
      <c r="GA46" t="e">
        <f>AND('Planilla_General_07-12-2012_8_3'!F689,"AAAAAF9/fbY=")</f>
        <v>#VALUE!</v>
      </c>
      <c r="GB46" t="e">
        <f>AND('Planilla_General_07-12-2012_8_3'!G689,"AAAAAF9/fbc=")</f>
        <v>#VALUE!</v>
      </c>
      <c r="GC46" t="e">
        <f>AND('Planilla_General_07-12-2012_8_3'!H689,"AAAAAF9/fbg=")</f>
        <v>#VALUE!</v>
      </c>
      <c r="GD46" t="e">
        <f>AND('Planilla_General_07-12-2012_8_3'!I689,"AAAAAF9/fbk=")</f>
        <v>#VALUE!</v>
      </c>
      <c r="GE46" t="e">
        <f>AND('Planilla_General_07-12-2012_8_3'!J689,"AAAAAF9/fbo=")</f>
        <v>#VALUE!</v>
      </c>
      <c r="GF46" t="e">
        <f>AND('Planilla_General_07-12-2012_8_3'!K689,"AAAAAF9/fbs=")</f>
        <v>#VALUE!</v>
      </c>
      <c r="GG46" t="e">
        <f>AND('Planilla_General_07-12-2012_8_3'!L689,"AAAAAF9/fbw=")</f>
        <v>#VALUE!</v>
      </c>
      <c r="GH46" t="e">
        <f>AND('Planilla_General_07-12-2012_8_3'!M689,"AAAAAF9/fb0=")</f>
        <v>#VALUE!</v>
      </c>
      <c r="GI46" t="e">
        <f>AND('Planilla_General_07-12-2012_8_3'!N689,"AAAAAF9/fb4=")</f>
        <v>#VALUE!</v>
      </c>
      <c r="GJ46" t="e">
        <f>AND('Planilla_General_07-12-2012_8_3'!O689,"AAAAAF9/fb8=")</f>
        <v>#VALUE!</v>
      </c>
      <c r="GK46" t="e">
        <f>AND('Planilla_General_07-12-2012_8_3'!P689,"AAAAAF9/fcA=")</f>
        <v>#VALUE!</v>
      </c>
      <c r="GL46">
        <f>IF('Planilla_General_07-12-2012_8_3'!690:690,"AAAAAF9/fcE=",0)</f>
        <v>0</v>
      </c>
      <c r="GM46" t="e">
        <f>AND('Planilla_General_07-12-2012_8_3'!A690,"AAAAAF9/fcI=")</f>
        <v>#VALUE!</v>
      </c>
      <c r="GN46" t="e">
        <f>AND('Planilla_General_07-12-2012_8_3'!B690,"AAAAAF9/fcM=")</f>
        <v>#VALUE!</v>
      </c>
      <c r="GO46" t="e">
        <f>AND('Planilla_General_07-12-2012_8_3'!C690,"AAAAAF9/fcQ=")</f>
        <v>#VALUE!</v>
      </c>
      <c r="GP46" t="e">
        <f>AND('Planilla_General_07-12-2012_8_3'!D690,"AAAAAF9/fcU=")</f>
        <v>#VALUE!</v>
      </c>
      <c r="GQ46" t="e">
        <f>AND('Planilla_General_07-12-2012_8_3'!E690,"AAAAAF9/fcY=")</f>
        <v>#VALUE!</v>
      </c>
      <c r="GR46" t="e">
        <f>AND('Planilla_General_07-12-2012_8_3'!F690,"AAAAAF9/fcc=")</f>
        <v>#VALUE!</v>
      </c>
      <c r="GS46" t="e">
        <f>AND('Planilla_General_07-12-2012_8_3'!G690,"AAAAAF9/fcg=")</f>
        <v>#VALUE!</v>
      </c>
      <c r="GT46" t="e">
        <f>AND('Planilla_General_07-12-2012_8_3'!H690,"AAAAAF9/fck=")</f>
        <v>#VALUE!</v>
      </c>
      <c r="GU46" t="e">
        <f>AND('Planilla_General_07-12-2012_8_3'!I690,"AAAAAF9/fco=")</f>
        <v>#VALUE!</v>
      </c>
      <c r="GV46" t="e">
        <f>AND('Planilla_General_07-12-2012_8_3'!J690,"AAAAAF9/fcs=")</f>
        <v>#VALUE!</v>
      </c>
      <c r="GW46" t="e">
        <f>AND('Planilla_General_07-12-2012_8_3'!K690,"AAAAAF9/fcw=")</f>
        <v>#VALUE!</v>
      </c>
      <c r="GX46" t="e">
        <f>AND('Planilla_General_07-12-2012_8_3'!L690,"AAAAAF9/fc0=")</f>
        <v>#VALUE!</v>
      </c>
      <c r="GY46" t="e">
        <f>AND('Planilla_General_07-12-2012_8_3'!M690,"AAAAAF9/fc4=")</f>
        <v>#VALUE!</v>
      </c>
      <c r="GZ46" t="e">
        <f>AND('Planilla_General_07-12-2012_8_3'!N690,"AAAAAF9/fc8=")</f>
        <v>#VALUE!</v>
      </c>
      <c r="HA46" t="e">
        <f>AND('Planilla_General_07-12-2012_8_3'!O690,"AAAAAF9/fdA=")</f>
        <v>#VALUE!</v>
      </c>
      <c r="HB46" t="e">
        <f>AND('Planilla_General_07-12-2012_8_3'!P690,"AAAAAF9/fdE=")</f>
        <v>#VALUE!</v>
      </c>
      <c r="HC46">
        <f>IF('Planilla_General_07-12-2012_8_3'!691:691,"AAAAAF9/fdI=",0)</f>
        <v>0</v>
      </c>
      <c r="HD46" t="e">
        <f>AND('Planilla_General_07-12-2012_8_3'!A691,"AAAAAF9/fdM=")</f>
        <v>#VALUE!</v>
      </c>
      <c r="HE46" t="e">
        <f>AND('Planilla_General_07-12-2012_8_3'!B691,"AAAAAF9/fdQ=")</f>
        <v>#VALUE!</v>
      </c>
      <c r="HF46" t="e">
        <f>AND('Planilla_General_07-12-2012_8_3'!C691,"AAAAAF9/fdU=")</f>
        <v>#VALUE!</v>
      </c>
      <c r="HG46" t="e">
        <f>AND('Planilla_General_07-12-2012_8_3'!D691,"AAAAAF9/fdY=")</f>
        <v>#VALUE!</v>
      </c>
      <c r="HH46" t="e">
        <f>AND('Planilla_General_07-12-2012_8_3'!E691,"AAAAAF9/fdc=")</f>
        <v>#VALUE!</v>
      </c>
      <c r="HI46" t="e">
        <f>AND('Planilla_General_07-12-2012_8_3'!F691,"AAAAAF9/fdg=")</f>
        <v>#VALUE!</v>
      </c>
      <c r="HJ46" t="e">
        <f>AND('Planilla_General_07-12-2012_8_3'!G691,"AAAAAF9/fdk=")</f>
        <v>#VALUE!</v>
      </c>
      <c r="HK46" t="e">
        <f>AND('Planilla_General_07-12-2012_8_3'!H691,"AAAAAF9/fdo=")</f>
        <v>#VALUE!</v>
      </c>
      <c r="HL46" t="e">
        <f>AND('Planilla_General_07-12-2012_8_3'!I691,"AAAAAF9/fds=")</f>
        <v>#VALUE!</v>
      </c>
      <c r="HM46" t="e">
        <f>AND('Planilla_General_07-12-2012_8_3'!J691,"AAAAAF9/fdw=")</f>
        <v>#VALUE!</v>
      </c>
      <c r="HN46" t="e">
        <f>AND('Planilla_General_07-12-2012_8_3'!K691,"AAAAAF9/fd0=")</f>
        <v>#VALUE!</v>
      </c>
      <c r="HO46" t="e">
        <f>AND('Planilla_General_07-12-2012_8_3'!L691,"AAAAAF9/fd4=")</f>
        <v>#VALUE!</v>
      </c>
      <c r="HP46" t="e">
        <f>AND('Planilla_General_07-12-2012_8_3'!M691,"AAAAAF9/fd8=")</f>
        <v>#VALUE!</v>
      </c>
      <c r="HQ46" t="e">
        <f>AND('Planilla_General_07-12-2012_8_3'!N691,"AAAAAF9/feA=")</f>
        <v>#VALUE!</v>
      </c>
      <c r="HR46" t="e">
        <f>AND('Planilla_General_07-12-2012_8_3'!O691,"AAAAAF9/feE=")</f>
        <v>#VALUE!</v>
      </c>
      <c r="HS46" t="e">
        <f>AND('Planilla_General_07-12-2012_8_3'!P691,"AAAAAF9/feI=")</f>
        <v>#VALUE!</v>
      </c>
      <c r="HT46">
        <f>IF('Planilla_General_07-12-2012_8_3'!692:692,"AAAAAF9/feM=",0)</f>
        <v>0</v>
      </c>
      <c r="HU46" t="e">
        <f>AND('Planilla_General_07-12-2012_8_3'!A692,"AAAAAF9/feQ=")</f>
        <v>#VALUE!</v>
      </c>
      <c r="HV46" t="e">
        <f>AND('Planilla_General_07-12-2012_8_3'!B692,"AAAAAF9/feU=")</f>
        <v>#VALUE!</v>
      </c>
      <c r="HW46" t="e">
        <f>AND('Planilla_General_07-12-2012_8_3'!C692,"AAAAAF9/feY=")</f>
        <v>#VALUE!</v>
      </c>
      <c r="HX46" t="e">
        <f>AND('Planilla_General_07-12-2012_8_3'!D692,"AAAAAF9/fec=")</f>
        <v>#VALUE!</v>
      </c>
      <c r="HY46" t="e">
        <f>AND('Planilla_General_07-12-2012_8_3'!E692,"AAAAAF9/feg=")</f>
        <v>#VALUE!</v>
      </c>
      <c r="HZ46" t="e">
        <f>AND('Planilla_General_07-12-2012_8_3'!F692,"AAAAAF9/fek=")</f>
        <v>#VALUE!</v>
      </c>
      <c r="IA46" t="e">
        <f>AND('Planilla_General_07-12-2012_8_3'!G692,"AAAAAF9/feo=")</f>
        <v>#VALUE!</v>
      </c>
      <c r="IB46" t="e">
        <f>AND('Planilla_General_07-12-2012_8_3'!H692,"AAAAAF9/fes=")</f>
        <v>#VALUE!</v>
      </c>
      <c r="IC46" t="e">
        <f>AND('Planilla_General_07-12-2012_8_3'!I692,"AAAAAF9/few=")</f>
        <v>#VALUE!</v>
      </c>
      <c r="ID46" t="e">
        <f>AND('Planilla_General_07-12-2012_8_3'!J692,"AAAAAF9/fe0=")</f>
        <v>#VALUE!</v>
      </c>
      <c r="IE46" t="e">
        <f>AND('Planilla_General_07-12-2012_8_3'!K692,"AAAAAF9/fe4=")</f>
        <v>#VALUE!</v>
      </c>
      <c r="IF46" t="e">
        <f>AND('Planilla_General_07-12-2012_8_3'!L692,"AAAAAF9/fe8=")</f>
        <v>#VALUE!</v>
      </c>
      <c r="IG46" t="e">
        <f>AND('Planilla_General_07-12-2012_8_3'!M692,"AAAAAF9/ffA=")</f>
        <v>#VALUE!</v>
      </c>
      <c r="IH46" t="e">
        <f>AND('Planilla_General_07-12-2012_8_3'!N692,"AAAAAF9/ffE=")</f>
        <v>#VALUE!</v>
      </c>
      <c r="II46" t="e">
        <f>AND('Planilla_General_07-12-2012_8_3'!O692,"AAAAAF9/ffI=")</f>
        <v>#VALUE!</v>
      </c>
      <c r="IJ46" t="e">
        <f>AND('Planilla_General_07-12-2012_8_3'!P692,"AAAAAF9/ffM=")</f>
        <v>#VALUE!</v>
      </c>
      <c r="IK46">
        <f>IF('Planilla_General_07-12-2012_8_3'!693:693,"AAAAAF9/ffQ=",0)</f>
        <v>0</v>
      </c>
      <c r="IL46" t="e">
        <f>AND('Planilla_General_07-12-2012_8_3'!A693,"AAAAAF9/ffU=")</f>
        <v>#VALUE!</v>
      </c>
      <c r="IM46" t="e">
        <f>AND('Planilla_General_07-12-2012_8_3'!B693,"AAAAAF9/ffY=")</f>
        <v>#VALUE!</v>
      </c>
      <c r="IN46" t="e">
        <f>AND('Planilla_General_07-12-2012_8_3'!C693,"AAAAAF9/ffc=")</f>
        <v>#VALUE!</v>
      </c>
      <c r="IO46" t="e">
        <f>AND('Planilla_General_07-12-2012_8_3'!D693,"AAAAAF9/ffg=")</f>
        <v>#VALUE!</v>
      </c>
      <c r="IP46" t="e">
        <f>AND('Planilla_General_07-12-2012_8_3'!E693,"AAAAAF9/ffk=")</f>
        <v>#VALUE!</v>
      </c>
      <c r="IQ46" t="e">
        <f>AND('Planilla_General_07-12-2012_8_3'!F693,"AAAAAF9/ffo=")</f>
        <v>#VALUE!</v>
      </c>
      <c r="IR46" t="e">
        <f>AND('Planilla_General_07-12-2012_8_3'!G693,"AAAAAF9/ffs=")</f>
        <v>#VALUE!</v>
      </c>
      <c r="IS46" t="e">
        <f>AND('Planilla_General_07-12-2012_8_3'!H693,"AAAAAF9/ffw=")</f>
        <v>#VALUE!</v>
      </c>
      <c r="IT46" t="e">
        <f>AND('Planilla_General_07-12-2012_8_3'!I693,"AAAAAF9/ff0=")</f>
        <v>#VALUE!</v>
      </c>
      <c r="IU46" t="e">
        <f>AND('Planilla_General_07-12-2012_8_3'!J693,"AAAAAF9/ff4=")</f>
        <v>#VALUE!</v>
      </c>
      <c r="IV46" t="e">
        <f>AND('Planilla_General_07-12-2012_8_3'!K693,"AAAAAF9/ff8=")</f>
        <v>#VALUE!</v>
      </c>
    </row>
    <row r="47" spans="1:256" x14ac:dyDescent="0.25">
      <c r="A47" t="e">
        <f>AND('Planilla_General_07-12-2012_8_3'!L693,"AAAAAHrv/AA=")</f>
        <v>#VALUE!</v>
      </c>
      <c r="B47" t="e">
        <f>AND('Planilla_General_07-12-2012_8_3'!M693,"AAAAAHrv/AE=")</f>
        <v>#VALUE!</v>
      </c>
      <c r="C47" t="e">
        <f>AND('Planilla_General_07-12-2012_8_3'!N693,"AAAAAHrv/AI=")</f>
        <v>#VALUE!</v>
      </c>
      <c r="D47" t="e">
        <f>AND('Planilla_General_07-12-2012_8_3'!O693,"AAAAAHrv/AM=")</f>
        <v>#VALUE!</v>
      </c>
      <c r="E47" t="e">
        <f>AND('Planilla_General_07-12-2012_8_3'!P693,"AAAAAHrv/AQ=")</f>
        <v>#VALUE!</v>
      </c>
      <c r="F47" t="e">
        <f>IF('Planilla_General_07-12-2012_8_3'!694:694,"AAAAAHrv/AU=",0)</f>
        <v>#VALUE!</v>
      </c>
      <c r="G47" t="e">
        <f>AND('Planilla_General_07-12-2012_8_3'!A694,"AAAAAHrv/AY=")</f>
        <v>#VALUE!</v>
      </c>
      <c r="H47" t="e">
        <f>AND('Planilla_General_07-12-2012_8_3'!B694,"AAAAAHrv/Ac=")</f>
        <v>#VALUE!</v>
      </c>
      <c r="I47" t="e">
        <f>AND('Planilla_General_07-12-2012_8_3'!C694,"AAAAAHrv/Ag=")</f>
        <v>#VALUE!</v>
      </c>
      <c r="J47" t="e">
        <f>AND('Planilla_General_07-12-2012_8_3'!D694,"AAAAAHrv/Ak=")</f>
        <v>#VALUE!</v>
      </c>
      <c r="K47" t="e">
        <f>AND('Planilla_General_07-12-2012_8_3'!E694,"AAAAAHrv/Ao=")</f>
        <v>#VALUE!</v>
      </c>
      <c r="L47" t="e">
        <f>AND('Planilla_General_07-12-2012_8_3'!F694,"AAAAAHrv/As=")</f>
        <v>#VALUE!</v>
      </c>
      <c r="M47" t="e">
        <f>AND('Planilla_General_07-12-2012_8_3'!G694,"AAAAAHrv/Aw=")</f>
        <v>#VALUE!</v>
      </c>
      <c r="N47" t="e">
        <f>AND('Planilla_General_07-12-2012_8_3'!H694,"AAAAAHrv/A0=")</f>
        <v>#VALUE!</v>
      </c>
      <c r="O47" t="e">
        <f>AND('Planilla_General_07-12-2012_8_3'!I694,"AAAAAHrv/A4=")</f>
        <v>#VALUE!</v>
      </c>
      <c r="P47" t="e">
        <f>AND('Planilla_General_07-12-2012_8_3'!J694,"AAAAAHrv/A8=")</f>
        <v>#VALUE!</v>
      </c>
      <c r="Q47" t="e">
        <f>AND('Planilla_General_07-12-2012_8_3'!K694,"AAAAAHrv/BA=")</f>
        <v>#VALUE!</v>
      </c>
      <c r="R47" t="e">
        <f>AND('Planilla_General_07-12-2012_8_3'!L694,"AAAAAHrv/BE=")</f>
        <v>#VALUE!</v>
      </c>
      <c r="S47" t="e">
        <f>AND('Planilla_General_07-12-2012_8_3'!M694,"AAAAAHrv/BI=")</f>
        <v>#VALUE!</v>
      </c>
      <c r="T47" t="e">
        <f>AND('Planilla_General_07-12-2012_8_3'!N694,"AAAAAHrv/BM=")</f>
        <v>#VALUE!</v>
      </c>
      <c r="U47" t="e">
        <f>AND('Planilla_General_07-12-2012_8_3'!O694,"AAAAAHrv/BQ=")</f>
        <v>#VALUE!</v>
      </c>
      <c r="V47" t="e">
        <f>AND('Planilla_General_07-12-2012_8_3'!P694,"AAAAAHrv/BU=")</f>
        <v>#VALUE!</v>
      </c>
      <c r="W47">
        <f>IF('Planilla_General_07-12-2012_8_3'!695:695,"AAAAAHrv/BY=",0)</f>
        <v>0</v>
      </c>
      <c r="X47" t="e">
        <f>AND('Planilla_General_07-12-2012_8_3'!A695,"AAAAAHrv/Bc=")</f>
        <v>#VALUE!</v>
      </c>
      <c r="Y47" t="e">
        <f>AND('Planilla_General_07-12-2012_8_3'!B695,"AAAAAHrv/Bg=")</f>
        <v>#VALUE!</v>
      </c>
      <c r="Z47" t="e">
        <f>AND('Planilla_General_07-12-2012_8_3'!C695,"AAAAAHrv/Bk=")</f>
        <v>#VALUE!</v>
      </c>
      <c r="AA47" t="e">
        <f>AND('Planilla_General_07-12-2012_8_3'!D695,"AAAAAHrv/Bo=")</f>
        <v>#VALUE!</v>
      </c>
      <c r="AB47" t="e">
        <f>AND('Planilla_General_07-12-2012_8_3'!E695,"AAAAAHrv/Bs=")</f>
        <v>#VALUE!</v>
      </c>
      <c r="AC47" t="e">
        <f>AND('Planilla_General_07-12-2012_8_3'!F695,"AAAAAHrv/Bw=")</f>
        <v>#VALUE!</v>
      </c>
      <c r="AD47" t="e">
        <f>AND('Planilla_General_07-12-2012_8_3'!G695,"AAAAAHrv/B0=")</f>
        <v>#VALUE!</v>
      </c>
      <c r="AE47" t="e">
        <f>AND('Planilla_General_07-12-2012_8_3'!H695,"AAAAAHrv/B4=")</f>
        <v>#VALUE!</v>
      </c>
      <c r="AF47" t="e">
        <f>AND('Planilla_General_07-12-2012_8_3'!I695,"AAAAAHrv/B8=")</f>
        <v>#VALUE!</v>
      </c>
      <c r="AG47" t="e">
        <f>AND('Planilla_General_07-12-2012_8_3'!J695,"AAAAAHrv/CA=")</f>
        <v>#VALUE!</v>
      </c>
      <c r="AH47" t="e">
        <f>AND('Planilla_General_07-12-2012_8_3'!K695,"AAAAAHrv/CE=")</f>
        <v>#VALUE!</v>
      </c>
      <c r="AI47" t="e">
        <f>AND('Planilla_General_07-12-2012_8_3'!L695,"AAAAAHrv/CI=")</f>
        <v>#VALUE!</v>
      </c>
      <c r="AJ47" t="e">
        <f>AND('Planilla_General_07-12-2012_8_3'!M695,"AAAAAHrv/CM=")</f>
        <v>#VALUE!</v>
      </c>
      <c r="AK47" t="e">
        <f>AND('Planilla_General_07-12-2012_8_3'!N695,"AAAAAHrv/CQ=")</f>
        <v>#VALUE!</v>
      </c>
      <c r="AL47" t="e">
        <f>AND('Planilla_General_07-12-2012_8_3'!O695,"AAAAAHrv/CU=")</f>
        <v>#VALUE!</v>
      </c>
      <c r="AM47" t="e">
        <f>AND('Planilla_General_07-12-2012_8_3'!P695,"AAAAAHrv/CY=")</f>
        <v>#VALUE!</v>
      </c>
      <c r="AN47">
        <f>IF('Planilla_General_07-12-2012_8_3'!696:696,"AAAAAHrv/Cc=",0)</f>
        <v>0</v>
      </c>
      <c r="AO47" t="e">
        <f>AND('Planilla_General_07-12-2012_8_3'!A696,"AAAAAHrv/Cg=")</f>
        <v>#VALUE!</v>
      </c>
      <c r="AP47" t="e">
        <f>AND('Planilla_General_07-12-2012_8_3'!B696,"AAAAAHrv/Ck=")</f>
        <v>#VALUE!</v>
      </c>
      <c r="AQ47" t="e">
        <f>AND('Planilla_General_07-12-2012_8_3'!C696,"AAAAAHrv/Co=")</f>
        <v>#VALUE!</v>
      </c>
      <c r="AR47" t="e">
        <f>AND('Planilla_General_07-12-2012_8_3'!D696,"AAAAAHrv/Cs=")</f>
        <v>#VALUE!</v>
      </c>
      <c r="AS47" t="e">
        <f>AND('Planilla_General_07-12-2012_8_3'!E696,"AAAAAHrv/Cw=")</f>
        <v>#VALUE!</v>
      </c>
      <c r="AT47" t="e">
        <f>AND('Planilla_General_07-12-2012_8_3'!F696,"AAAAAHrv/C0=")</f>
        <v>#VALUE!</v>
      </c>
      <c r="AU47" t="e">
        <f>AND('Planilla_General_07-12-2012_8_3'!G696,"AAAAAHrv/C4=")</f>
        <v>#VALUE!</v>
      </c>
      <c r="AV47" t="e">
        <f>AND('Planilla_General_07-12-2012_8_3'!H696,"AAAAAHrv/C8=")</f>
        <v>#VALUE!</v>
      </c>
      <c r="AW47" t="e">
        <f>AND('Planilla_General_07-12-2012_8_3'!I696,"AAAAAHrv/DA=")</f>
        <v>#VALUE!</v>
      </c>
      <c r="AX47" t="e">
        <f>AND('Planilla_General_07-12-2012_8_3'!J696,"AAAAAHrv/DE=")</f>
        <v>#VALUE!</v>
      </c>
      <c r="AY47" t="e">
        <f>AND('Planilla_General_07-12-2012_8_3'!K696,"AAAAAHrv/DI=")</f>
        <v>#VALUE!</v>
      </c>
      <c r="AZ47" t="e">
        <f>AND('Planilla_General_07-12-2012_8_3'!L696,"AAAAAHrv/DM=")</f>
        <v>#VALUE!</v>
      </c>
      <c r="BA47" t="e">
        <f>AND('Planilla_General_07-12-2012_8_3'!M696,"AAAAAHrv/DQ=")</f>
        <v>#VALUE!</v>
      </c>
      <c r="BB47" t="e">
        <f>AND('Planilla_General_07-12-2012_8_3'!N696,"AAAAAHrv/DU=")</f>
        <v>#VALUE!</v>
      </c>
      <c r="BC47" t="e">
        <f>AND('Planilla_General_07-12-2012_8_3'!O696,"AAAAAHrv/DY=")</f>
        <v>#VALUE!</v>
      </c>
      <c r="BD47" t="e">
        <f>AND('Planilla_General_07-12-2012_8_3'!P696,"AAAAAHrv/Dc=")</f>
        <v>#VALUE!</v>
      </c>
      <c r="BE47">
        <f>IF('Planilla_General_07-12-2012_8_3'!697:697,"AAAAAHrv/Dg=",0)</f>
        <v>0</v>
      </c>
      <c r="BF47" t="e">
        <f>AND('Planilla_General_07-12-2012_8_3'!A697,"AAAAAHrv/Dk=")</f>
        <v>#VALUE!</v>
      </c>
      <c r="BG47" t="e">
        <f>AND('Planilla_General_07-12-2012_8_3'!B697,"AAAAAHrv/Do=")</f>
        <v>#VALUE!</v>
      </c>
      <c r="BH47" t="e">
        <f>AND('Planilla_General_07-12-2012_8_3'!C697,"AAAAAHrv/Ds=")</f>
        <v>#VALUE!</v>
      </c>
      <c r="BI47" t="e">
        <f>AND('Planilla_General_07-12-2012_8_3'!D697,"AAAAAHrv/Dw=")</f>
        <v>#VALUE!</v>
      </c>
      <c r="BJ47" t="e">
        <f>AND('Planilla_General_07-12-2012_8_3'!E697,"AAAAAHrv/D0=")</f>
        <v>#VALUE!</v>
      </c>
      <c r="BK47" t="e">
        <f>AND('Planilla_General_07-12-2012_8_3'!F697,"AAAAAHrv/D4=")</f>
        <v>#VALUE!</v>
      </c>
      <c r="BL47" t="e">
        <f>AND('Planilla_General_07-12-2012_8_3'!G697,"AAAAAHrv/D8=")</f>
        <v>#VALUE!</v>
      </c>
      <c r="BM47" t="e">
        <f>AND('Planilla_General_07-12-2012_8_3'!H697,"AAAAAHrv/EA=")</f>
        <v>#VALUE!</v>
      </c>
      <c r="BN47" t="e">
        <f>AND('Planilla_General_07-12-2012_8_3'!I697,"AAAAAHrv/EE=")</f>
        <v>#VALUE!</v>
      </c>
      <c r="BO47" t="e">
        <f>AND('Planilla_General_07-12-2012_8_3'!J697,"AAAAAHrv/EI=")</f>
        <v>#VALUE!</v>
      </c>
      <c r="BP47" t="e">
        <f>AND('Planilla_General_07-12-2012_8_3'!K697,"AAAAAHrv/EM=")</f>
        <v>#VALUE!</v>
      </c>
      <c r="BQ47" t="e">
        <f>AND('Planilla_General_07-12-2012_8_3'!L697,"AAAAAHrv/EQ=")</f>
        <v>#VALUE!</v>
      </c>
      <c r="BR47" t="e">
        <f>AND('Planilla_General_07-12-2012_8_3'!M697,"AAAAAHrv/EU=")</f>
        <v>#VALUE!</v>
      </c>
      <c r="BS47" t="e">
        <f>AND('Planilla_General_07-12-2012_8_3'!N697,"AAAAAHrv/EY=")</f>
        <v>#VALUE!</v>
      </c>
      <c r="BT47" t="e">
        <f>AND('Planilla_General_07-12-2012_8_3'!O697,"AAAAAHrv/Ec=")</f>
        <v>#VALUE!</v>
      </c>
      <c r="BU47" t="e">
        <f>AND('Planilla_General_07-12-2012_8_3'!P697,"AAAAAHrv/Eg=")</f>
        <v>#VALUE!</v>
      </c>
      <c r="BV47">
        <f>IF('Planilla_General_07-12-2012_8_3'!698:698,"AAAAAHrv/Ek=",0)</f>
        <v>0</v>
      </c>
      <c r="BW47" t="e">
        <f>AND('Planilla_General_07-12-2012_8_3'!A698,"AAAAAHrv/Eo=")</f>
        <v>#VALUE!</v>
      </c>
      <c r="BX47" t="e">
        <f>AND('Planilla_General_07-12-2012_8_3'!B698,"AAAAAHrv/Es=")</f>
        <v>#VALUE!</v>
      </c>
      <c r="BY47" t="e">
        <f>AND('Planilla_General_07-12-2012_8_3'!C698,"AAAAAHrv/Ew=")</f>
        <v>#VALUE!</v>
      </c>
      <c r="BZ47" t="e">
        <f>AND('Planilla_General_07-12-2012_8_3'!D698,"AAAAAHrv/E0=")</f>
        <v>#VALUE!</v>
      </c>
      <c r="CA47" t="e">
        <f>AND('Planilla_General_07-12-2012_8_3'!E698,"AAAAAHrv/E4=")</f>
        <v>#VALUE!</v>
      </c>
      <c r="CB47" t="e">
        <f>AND('Planilla_General_07-12-2012_8_3'!F698,"AAAAAHrv/E8=")</f>
        <v>#VALUE!</v>
      </c>
      <c r="CC47" t="e">
        <f>AND('Planilla_General_07-12-2012_8_3'!G698,"AAAAAHrv/FA=")</f>
        <v>#VALUE!</v>
      </c>
      <c r="CD47" t="e">
        <f>AND('Planilla_General_07-12-2012_8_3'!H698,"AAAAAHrv/FE=")</f>
        <v>#VALUE!</v>
      </c>
      <c r="CE47" t="e">
        <f>AND('Planilla_General_07-12-2012_8_3'!I698,"AAAAAHrv/FI=")</f>
        <v>#VALUE!</v>
      </c>
      <c r="CF47" t="e">
        <f>AND('Planilla_General_07-12-2012_8_3'!J698,"AAAAAHrv/FM=")</f>
        <v>#VALUE!</v>
      </c>
      <c r="CG47" t="e">
        <f>AND('Planilla_General_07-12-2012_8_3'!K698,"AAAAAHrv/FQ=")</f>
        <v>#VALUE!</v>
      </c>
      <c r="CH47" t="e">
        <f>AND('Planilla_General_07-12-2012_8_3'!L698,"AAAAAHrv/FU=")</f>
        <v>#VALUE!</v>
      </c>
      <c r="CI47" t="e">
        <f>AND('Planilla_General_07-12-2012_8_3'!M698,"AAAAAHrv/FY=")</f>
        <v>#VALUE!</v>
      </c>
      <c r="CJ47" t="e">
        <f>AND('Planilla_General_07-12-2012_8_3'!N698,"AAAAAHrv/Fc=")</f>
        <v>#VALUE!</v>
      </c>
      <c r="CK47" t="e">
        <f>AND('Planilla_General_07-12-2012_8_3'!O698,"AAAAAHrv/Fg=")</f>
        <v>#VALUE!</v>
      </c>
      <c r="CL47" t="e">
        <f>AND('Planilla_General_07-12-2012_8_3'!P698,"AAAAAHrv/Fk=")</f>
        <v>#VALUE!</v>
      </c>
      <c r="CM47">
        <f>IF('Planilla_General_07-12-2012_8_3'!699:699,"AAAAAHrv/Fo=",0)</f>
        <v>0</v>
      </c>
      <c r="CN47" t="e">
        <f>AND('Planilla_General_07-12-2012_8_3'!A699,"AAAAAHrv/Fs=")</f>
        <v>#VALUE!</v>
      </c>
      <c r="CO47" t="e">
        <f>AND('Planilla_General_07-12-2012_8_3'!B699,"AAAAAHrv/Fw=")</f>
        <v>#VALUE!</v>
      </c>
      <c r="CP47" t="e">
        <f>AND('Planilla_General_07-12-2012_8_3'!C699,"AAAAAHrv/F0=")</f>
        <v>#VALUE!</v>
      </c>
      <c r="CQ47" t="e">
        <f>AND('Planilla_General_07-12-2012_8_3'!D699,"AAAAAHrv/F4=")</f>
        <v>#VALUE!</v>
      </c>
      <c r="CR47" t="e">
        <f>AND('Planilla_General_07-12-2012_8_3'!E699,"AAAAAHrv/F8=")</f>
        <v>#VALUE!</v>
      </c>
      <c r="CS47" t="e">
        <f>AND('Planilla_General_07-12-2012_8_3'!F699,"AAAAAHrv/GA=")</f>
        <v>#VALUE!</v>
      </c>
      <c r="CT47" t="e">
        <f>AND('Planilla_General_07-12-2012_8_3'!G699,"AAAAAHrv/GE=")</f>
        <v>#VALUE!</v>
      </c>
      <c r="CU47" t="e">
        <f>AND('Planilla_General_07-12-2012_8_3'!H699,"AAAAAHrv/GI=")</f>
        <v>#VALUE!</v>
      </c>
      <c r="CV47" t="e">
        <f>AND('Planilla_General_07-12-2012_8_3'!I699,"AAAAAHrv/GM=")</f>
        <v>#VALUE!</v>
      </c>
      <c r="CW47" t="e">
        <f>AND('Planilla_General_07-12-2012_8_3'!J699,"AAAAAHrv/GQ=")</f>
        <v>#VALUE!</v>
      </c>
      <c r="CX47" t="e">
        <f>AND('Planilla_General_07-12-2012_8_3'!K699,"AAAAAHrv/GU=")</f>
        <v>#VALUE!</v>
      </c>
      <c r="CY47" t="e">
        <f>AND('Planilla_General_07-12-2012_8_3'!L699,"AAAAAHrv/GY=")</f>
        <v>#VALUE!</v>
      </c>
      <c r="CZ47" t="e">
        <f>AND('Planilla_General_07-12-2012_8_3'!M699,"AAAAAHrv/Gc=")</f>
        <v>#VALUE!</v>
      </c>
      <c r="DA47" t="e">
        <f>AND('Planilla_General_07-12-2012_8_3'!N699,"AAAAAHrv/Gg=")</f>
        <v>#VALUE!</v>
      </c>
      <c r="DB47" t="e">
        <f>AND('Planilla_General_07-12-2012_8_3'!O699,"AAAAAHrv/Gk=")</f>
        <v>#VALUE!</v>
      </c>
      <c r="DC47" t="e">
        <f>AND('Planilla_General_07-12-2012_8_3'!P699,"AAAAAHrv/Go=")</f>
        <v>#VALUE!</v>
      </c>
      <c r="DD47">
        <f>IF('Planilla_General_07-12-2012_8_3'!700:700,"AAAAAHrv/Gs=",0)</f>
        <v>0</v>
      </c>
      <c r="DE47" t="e">
        <f>AND('Planilla_General_07-12-2012_8_3'!A700,"AAAAAHrv/Gw=")</f>
        <v>#VALUE!</v>
      </c>
      <c r="DF47" t="e">
        <f>AND('Planilla_General_07-12-2012_8_3'!B700,"AAAAAHrv/G0=")</f>
        <v>#VALUE!</v>
      </c>
      <c r="DG47" t="e">
        <f>AND('Planilla_General_07-12-2012_8_3'!C700,"AAAAAHrv/G4=")</f>
        <v>#VALUE!</v>
      </c>
      <c r="DH47" t="e">
        <f>AND('Planilla_General_07-12-2012_8_3'!D700,"AAAAAHrv/G8=")</f>
        <v>#VALUE!</v>
      </c>
      <c r="DI47" t="e">
        <f>AND('Planilla_General_07-12-2012_8_3'!E700,"AAAAAHrv/HA=")</f>
        <v>#VALUE!</v>
      </c>
      <c r="DJ47" t="e">
        <f>AND('Planilla_General_07-12-2012_8_3'!F700,"AAAAAHrv/HE=")</f>
        <v>#VALUE!</v>
      </c>
      <c r="DK47" t="e">
        <f>AND('Planilla_General_07-12-2012_8_3'!G700,"AAAAAHrv/HI=")</f>
        <v>#VALUE!</v>
      </c>
      <c r="DL47" t="e">
        <f>AND('Planilla_General_07-12-2012_8_3'!H700,"AAAAAHrv/HM=")</f>
        <v>#VALUE!</v>
      </c>
      <c r="DM47" t="e">
        <f>AND('Planilla_General_07-12-2012_8_3'!I700,"AAAAAHrv/HQ=")</f>
        <v>#VALUE!</v>
      </c>
      <c r="DN47" t="e">
        <f>AND('Planilla_General_07-12-2012_8_3'!J700,"AAAAAHrv/HU=")</f>
        <v>#VALUE!</v>
      </c>
      <c r="DO47" t="e">
        <f>AND('Planilla_General_07-12-2012_8_3'!K700,"AAAAAHrv/HY=")</f>
        <v>#VALUE!</v>
      </c>
      <c r="DP47" t="e">
        <f>AND('Planilla_General_07-12-2012_8_3'!L700,"AAAAAHrv/Hc=")</f>
        <v>#VALUE!</v>
      </c>
      <c r="DQ47" t="e">
        <f>AND('Planilla_General_07-12-2012_8_3'!M700,"AAAAAHrv/Hg=")</f>
        <v>#VALUE!</v>
      </c>
      <c r="DR47" t="e">
        <f>AND('Planilla_General_07-12-2012_8_3'!N700,"AAAAAHrv/Hk=")</f>
        <v>#VALUE!</v>
      </c>
      <c r="DS47" t="e">
        <f>AND('Planilla_General_07-12-2012_8_3'!O700,"AAAAAHrv/Ho=")</f>
        <v>#VALUE!</v>
      </c>
      <c r="DT47" t="e">
        <f>AND('Planilla_General_07-12-2012_8_3'!P700,"AAAAAHrv/Hs=")</f>
        <v>#VALUE!</v>
      </c>
      <c r="DU47">
        <f>IF('Planilla_General_07-12-2012_8_3'!701:701,"AAAAAHrv/Hw=",0)</f>
        <v>0</v>
      </c>
      <c r="DV47" t="e">
        <f>AND('Planilla_General_07-12-2012_8_3'!A701,"AAAAAHrv/H0=")</f>
        <v>#VALUE!</v>
      </c>
      <c r="DW47" t="e">
        <f>AND('Planilla_General_07-12-2012_8_3'!B701,"AAAAAHrv/H4=")</f>
        <v>#VALUE!</v>
      </c>
      <c r="DX47" t="e">
        <f>AND('Planilla_General_07-12-2012_8_3'!C701,"AAAAAHrv/H8=")</f>
        <v>#VALUE!</v>
      </c>
      <c r="DY47" t="e">
        <f>AND('Planilla_General_07-12-2012_8_3'!D701,"AAAAAHrv/IA=")</f>
        <v>#VALUE!</v>
      </c>
      <c r="DZ47" t="e">
        <f>AND('Planilla_General_07-12-2012_8_3'!E701,"AAAAAHrv/IE=")</f>
        <v>#VALUE!</v>
      </c>
      <c r="EA47" t="e">
        <f>AND('Planilla_General_07-12-2012_8_3'!F701,"AAAAAHrv/II=")</f>
        <v>#VALUE!</v>
      </c>
      <c r="EB47" t="e">
        <f>AND('Planilla_General_07-12-2012_8_3'!G701,"AAAAAHrv/IM=")</f>
        <v>#VALUE!</v>
      </c>
      <c r="EC47" t="e">
        <f>AND('Planilla_General_07-12-2012_8_3'!H701,"AAAAAHrv/IQ=")</f>
        <v>#VALUE!</v>
      </c>
      <c r="ED47" t="e">
        <f>AND('Planilla_General_07-12-2012_8_3'!I701,"AAAAAHrv/IU=")</f>
        <v>#VALUE!</v>
      </c>
      <c r="EE47" t="e">
        <f>AND('Planilla_General_07-12-2012_8_3'!J701,"AAAAAHrv/IY=")</f>
        <v>#VALUE!</v>
      </c>
      <c r="EF47" t="e">
        <f>AND('Planilla_General_07-12-2012_8_3'!K701,"AAAAAHrv/Ic=")</f>
        <v>#VALUE!</v>
      </c>
      <c r="EG47" t="e">
        <f>AND('Planilla_General_07-12-2012_8_3'!L701,"AAAAAHrv/Ig=")</f>
        <v>#VALUE!</v>
      </c>
      <c r="EH47" t="e">
        <f>AND('Planilla_General_07-12-2012_8_3'!M701,"AAAAAHrv/Ik=")</f>
        <v>#VALUE!</v>
      </c>
      <c r="EI47" t="e">
        <f>AND('Planilla_General_07-12-2012_8_3'!N701,"AAAAAHrv/Io=")</f>
        <v>#VALUE!</v>
      </c>
      <c r="EJ47" t="e">
        <f>AND('Planilla_General_07-12-2012_8_3'!O701,"AAAAAHrv/Is=")</f>
        <v>#VALUE!</v>
      </c>
      <c r="EK47" t="e">
        <f>AND('Planilla_General_07-12-2012_8_3'!P701,"AAAAAHrv/Iw=")</f>
        <v>#VALUE!</v>
      </c>
      <c r="EL47">
        <f>IF('Planilla_General_07-12-2012_8_3'!702:702,"AAAAAHrv/I0=",0)</f>
        <v>0</v>
      </c>
      <c r="EM47" t="e">
        <f>AND('Planilla_General_07-12-2012_8_3'!A702,"AAAAAHrv/I4=")</f>
        <v>#VALUE!</v>
      </c>
      <c r="EN47" t="e">
        <f>AND('Planilla_General_07-12-2012_8_3'!B702,"AAAAAHrv/I8=")</f>
        <v>#VALUE!</v>
      </c>
      <c r="EO47" t="e">
        <f>AND('Planilla_General_07-12-2012_8_3'!C702,"AAAAAHrv/JA=")</f>
        <v>#VALUE!</v>
      </c>
      <c r="EP47" t="e">
        <f>AND('Planilla_General_07-12-2012_8_3'!D702,"AAAAAHrv/JE=")</f>
        <v>#VALUE!</v>
      </c>
      <c r="EQ47" t="e">
        <f>AND('Planilla_General_07-12-2012_8_3'!E702,"AAAAAHrv/JI=")</f>
        <v>#VALUE!</v>
      </c>
      <c r="ER47" t="e">
        <f>AND('Planilla_General_07-12-2012_8_3'!F702,"AAAAAHrv/JM=")</f>
        <v>#VALUE!</v>
      </c>
      <c r="ES47" t="e">
        <f>AND('Planilla_General_07-12-2012_8_3'!G702,"AAAAAHrv/JQ=")</f>
        <v>#VALUE!</v>
      </c>
      <c r="ET47" t="e">
        <f>AND('Planilla_General_07-12-2012_8_3'!H702,"AAAAAHrv/JU=")</f>
        <v>#VALUE!</v>
      </c>
      <c r="EU47" t="e">
        <f>AND('Planilla_General_07-12-2012_8_3'!I702,"AAAAAHrv/JY=")</f>
        <v>#VALUE!</v>
      </c>
      <c r="EV47" t="e">
        <f>AND('Planilla_General_07-12-2012_8_3'!J702,"AAAAAHrv/Jc=")</f>
        <v>#VALUE!</v>
      </c>
      <c r="EW47" t="e">
        <f>AND('Planilla_General_07-12-2012_8_3'!K702,"AAAAAHrv/Jg=")</f>
        <v>#VALUE!</v>
      </c>
      <c r="EX47" t="e">
        <f>AND('Planilla_General_07-12-2012_8_3'!L702,"AAAAAHrv/Jk=")</f>
        <v>#VALUE!</v>
      </c>
      <c r="EY47" t="e">
        <f>AND('Planilla_General_07-12-2012_8_3'!M702,"AAAAAHrv/Jo=")</f>
        <v>#VALUE!</v>
      </c>
      <c r="EZ47" t="e">
        <f>AND('Planilla_General_07-12-2012_8_3'!N702,"AAAAAHrv/Js=")</f>
        <v>#VALUE!</v>
      </c>
      <c r="FA47" t="e">
        <f>AND('Planilla_General_07-12-2012_8_3'!O702,"AAAAAHrv/Jw=")</f>
        <v>#VALUE!</v>
      </c>
      <c r="FB47" t="e">
        <f>AND('Planilla_General_07-12-2012_8_3'!P702,"AAAAAHrv/J0=")</f>
        <v>#VALUE!</v>
      </c>
      <c r="FC47">
        <f>IF('Planilla_General_07-12-2012_8_3'!703:703,"AAAAAHrv/J4=",0)</f>
        <v>0</v>
      </c>
      <c r="FD47" t="e">
        <f>AND('Planilla_General_07-12-2012_8_3'!A703,"AAAAAHrv/J8=")</f>
        <v>#VALUE!</v>
      </c>
      <c r="FE47" t="e">
        <f>AND('Planilla_General_07-12-2012_8_3'!B703,"AAAAAHrv/KA=")</f>
        <v>#VALUE!</v>
      </c>
      <c r="FF47" t="e">
        <f>AND('Planilla_General_07-12-2012_8_3'!C703,"AAAAAHrv/KE=")</f>
        <v>#VALUE!</v>
      </c>
      <c r="FG47" t="e">
        <f>AND('Planilla_General_07-12-2012_8_3'!D703,"AAAAAHrv/KI=")</f>
        <v>#VALUE!</v>
      </c>
      <c r="FH47" t="e">
        <f>AND('Planilla_General_07-12-2012_8_3'!E703,"AAAAAHrv/KM=")</f>
        <v>#VALUE!</v>
      </c>
      <c r="FI47" t="e">
        <f>AND('Planilla_General_07-12-2012_8_3'!F703,"AAAAAHrv/KQ=")</f>
        <v>#VALUE!</v>
      </c>
      <c r="FJ47" t="e">
        <f>AND('Planilla_General_07-12-2012_8_3'!G703,"AAAAAHrv/KU=")</f>
        <v>#VALUE!</v>
      </c>
      <c r="FK47" t="e">
        <f>AND('Planilla_General_07-12-2012_8_3'!H703,"AAAAAHrv/KY=")</f>
        <v>#VALUE!</v>
      </c>
      <c r="FL47" t="e">
        <f>AND('Planilla_General_07-12-2012_8_3'!I703,"AAAAAHrv/Kc=")</f>
        <v>#VALUE!</v>
      </c>
      <c r="FM47" t="e">
        <f>AND('Planilla_General_07-12-2012_8_3'!J703,"AAAAAHrv/Kg=")</f>
        <v>#VALUE!</v>
      </c>
      <c r="FN47" t="e">
        <f>AND('Planilla_General_07-12-2012_8_3'!K703,"AAAAAHrv/Kk=")</f>
        <v>#VALUE!</v>
      </c>
      <c r="FO47" t="e">
        <f>AND('Planilla_General_07-12-2012_8_3'!L703,"AAAAAHrv/Ko=")</f>
        <v>#VALUE!</v>
      </c>
      <c r="FP47" t="e">
        <f>AND('Planilla_General_07-12-2012_8_3'!M703,"AAAAAHrv/Ks=")</f>
        <v>#VALUE!</v>
      </c>
      <c r="FQ47" t="e">
        <f>AND('Planilla_General_07-12-2012_8_3'!N703,"AAAAAHrv/Kw=")</f>
        <v>#VALUE!</v>
      </c>
      <c r="FR47" t="e">
        <f>AND('Planilla_General_07-12-2012_8_3'!O703,"AAAAAHrv/K0=")</f>
        <v>#VALUE!</v>
      </c>
      <c r="FS47" t="e">
        <f>AND('Planilla_General_07-12-2012_8_3'!P703,"AAAAAHrv/K4=")</f>
        <v>#VALUE!</v>
      </c>
      <c r="FT47">
        <f>IF('Planilla_General_07-12-2012_8_3'!704:704,"AAAAAHrv/K8=",0)</f>
        <v>0</v>
      </c>
      <c r="FU47" t="e">
        <f>AND('Planilla_General_07-12-2012_8_3'!A704,"AAAAAHrv/LA=")</f>
        <v>#VALUE!</v>
      </c>
      <c r="FV47" t="e">
        <f>AND('Planilla_General_07-12-2012_8_3'!B704,"AAAAAHrv/LE=")</f>
        <v>#VALUE!</v>
      </c>
      <c r="FW47" t="e">
        <f>AND('Planilla_General_07-12-2012_8_3'!C704,"AAAAAHrv/LI=")</f>
        <v>#VALUE!</v>
      </c>
      <c r="FX47" t="e">
        <f>AND('Planilla_General_07-12-2012_8_3'!D704,"AAAAAHrv/LM=")</f>
        <v>#VALUE!</v>
      </c>
      <c r="FY47" t="e">
        <f>AND('Planilla_General_07-12-2012_8_3'!E704,"AAAAAHrv/LQ=")</f>
        <v>#VALUE!</v>
      </c>
      <c r="FZ47" t="e">
        <f>AND('Planilla_General_07-12-2012_8_3'!F704,"AAAAAHrv/LU=")</f>
        <v>#VALUE!</v>
      </c>
      <c r="GA47" t="e">
        <f>AND('Planilla_General_07-12-2012_8_3'!G704,"AAAAAHrv/LY=")</f>
        <v>#VALUE!</v>
      </c>
      <c r="GB47" t="e">
        <f>AND('Planilla_General_07-12-2012_8_3'!H704,"AAAAAHrv/Lc=")</f>
        <v>#VALUE!</v>
      </c>
      <c r="GC47" t="e">
        <f>AND('Planilla_General_07-12-2012_8_3'!I704,"AAAAAHrv/Lg=")</f>
        <v>#VALUE!</v>
      </c>
      <c r="GD47" t="e">
        <f>AND('Planilla_General_07-12-2012_8_3'!J704,"AAAAAHrv/Lk=")</f>
        <v>#VALUE!</v>
      </c>
      <c r="GE47" t="e">
        <f>AND('Planilla_General_07-12-2012_8_3'!K704,"AAAAAHrv/Lo=")</f>
        <v>#VALUE!</v>
      </c>
      <c r="GF47" t="e">
        <f>AND('Planilla_General_07-12-2012_8_3'!L704,"AAAAAHrv/Ls=")</f>
        <v>#VALUE!</v>
      </c>
      <c r="GG47" t="e">
        <f>AND('Planilla_General_07-12-2012_8_3'!M704,"AAAAAHrv/Lw=")</f>
        <v>#VALUE!</v>
      </c>
      <c r="GH47" t="e">
        <f>AND('Planilla_General_07-12-2012_8_3'!N704,"AAAAAHrv/L0=")</f>
        <v>#VALUE!</v>
      </c>
      <c r="GI47" t="e">
        <f>AND('Planilla_General_07-12-2012_8_3'!O704,"AAAAAHrv/L4=")</f>
        <v>#VALUE!</v>
      </c>
      <c r="GJ47" t="e">
        <f>AND('Planilla_General_07-12-2012_8_3'!P704,"AAAAAHrv/L8=")</f>
        <v>#VALUE!</v>
      </c>
      <c r="GK47">
        <f>IF('Planilla_General_07-12-2012_8_3'!705:705,"AAAAAHrv/MA=",0)</f>
        <v>0</v>
      </c>
      <c r="GL47" t="e">
        <f>AND('Planilla_General_07-12-2012_8_3'!A705,"AAAAAHrv/ME=")</f>
        <v>#VALUE!</v>
      </c>
      <c r="GM47" t="e">
        <f>AND('Planilla_General_07-12-2012_8_3'!B705,"AAAAAHrv/MI=")</f>
        <v>#VALUE!</v>
      </c>
      <c r="GN47" t="e">
        <f>AND('Planilla_General_07-12-2012_8_3'!C705,"AAAAAHrv/MM=")</f>
        <v>#VALUE!</v>
      </c>
      <c r="GO47" t="e">
        <f>AND('Planilla_General_07-12-2012_8_3'!D705,"AAAAAHrv/MQ=")</f>
        <v>#VALUE!</v>
      </c>
      <c r="GP47" t="e">
        <f>AND('Planilla_General_07-12-2012_8_3'!E705,"AAAAAHrv/MU=")</f>
        <v>#VALUE!</v>
      </c>
      <c r="GQ47" t="e">
        <f>AND('Planilla_General_07-12-2012_8_3'!F705,"AAAAAHrv/MY=")</f>
        <v>#VALUE!</v>
      </c>
      <c r="GR47" t="e">
        <f>AND('Planilla_General_07-12-2012_8_3'!G705,"AAAAAHrv/Mc=")</f>
        <v>#VALUE!</v>
      </c>
      <c r="GS47" t="e">
        <f>AND('Planilla_General_07-12-2012_8_3'!H705,"AAAAAHrv/Mg=")</f>
        <v>#VALUE!</v>
      </c>
      <c r="GT47" t="e">
        <f>AND('Planilla_General_07-12-2012_8_3'!I705,"AAAAAHrv/Mk=")</f>
        <v>#VALUE!</v>
      </c>
      <c r="GU47" t="e">
        <f>AND('Planilla_General_07-12-2012_8_3'!J705,"AAAAAHrv/Mo=")</f>
        <v>#VALUE!</v>
      </c>
      <c r="GV47" t="e">
        <f>AND('Planilla_General_07-12-2012_8_3'!K705,"AAAAAHrv/Ms=")</f>
        <v>#VALUE!</v>
      </c>
      <c r="GW47" t="e">
        <f>AND('Planilla_General_07-12-2012_8_3'!L705,"AAAAAHrv/Mw=")</f>
        <v>#VALUE!</v>
      </c>
      <c r="GX47" t="e">
        <f>AND('Planilla_General_07-12-2012_8_3'!M705,"AAAAAHrv/M0=")</f>
        <v>#VALUE!</v>
      </c>
      <c r="GY47" t="e">
        <f>AND('Planilla_General_07-12-2012_8_3'!N705,"AAAAAHrv/M4=")</f>
        <v>#VALUE!</v>
      </c>
      <c r="GZ47" t="e">
        <f>AND('Planilla_General_07-12-2012_8_3'!O705,"AAAAAHrv/M8=")</f>
        <v>#VALUE!</v>
      </c>
      <c r="HA47" t="e">
        <f>AND('Planilla_General_07-12-2012_8_3'!P705,"AAAAAHrv/NA=")</f>
        <v>#VALUE!</v>
      </c>
      <c r="HB47">
        <f>IF('Planilla_General_07-12-2012_8_3'!706:706,"AAAAAHrv/NE=",0)</f>
        <v>0</v>
      </c>
      <c r="HC47" t="e">
        <f>AND('Planilla_General_07-12-2012_8_3'!A706,"AAAAAHrv/NI=")</f>
        <v>#VALUE!</v>
      </c>
      <c r="HD47" t="e">
        <f>AND('Planilla_General_07-12-2012_8_3'!B706,"AAAAAHrv/NM=")</f>
        <v>#VALUE!</v>
      </c>
      <c r="HE47" t="e">
        <f>AND('Planilla_General_07-12-2012_8_3'!C706,"AAAAAHrv/NQ=")</f>
        <v>#VALUE!</v>
      </c>
      <c r="HF47" t="e">
        <f>AND('Planilla_General_07-12-2012_8_3'!D706,"AAAAAHrv/NU=")</f>
        <v>#VALUE!</v>
      </c>
      <c r="HG47" t="e">
        <f>AND('Planilla_General_07-12-2012_8_3'!E706,"AAAAAHrv/NY=")</f>
        <v>#VALUE!</v>
      </c>
      <c r="HH47" t="e">
        <f>AND('Planilla_General_07-12-2012_8_3'!F706,"AAAAAHrv/Nc=")</f>
        <v>#VALUE!</v>
      </c>
      <c r="HI47" t="e">
        <f>AND('Planilla_General_07-12-2012_8_3'!G706,"AAAAAHrv/Ng=")</f>
        <v>#VALUE!</v>
      </c>
      <c r="HJ47" t="e">
        <f>AND('Planilla_General_07-12-2012_8_3'!H706,"AAAAAHrv/Nk=")</f>
        <v>#VALUE!</v>
      </c>
      <c r="HK47" t="e">
        <f>AND('Planilla_General_07-12-2012_8_3'!I706,"AAAAAHrv/No=")</f>
        <v>#VALUE!</v>
      </c>
      <c r="HL47" t="e">
        <f>AND('Planilla_General_07-12-2012_8_3'!J706,"AAAAAHrv/Ns=")</f>
        <v>#VALUE!</v>
      </c>
      <c r="HM47" t="e">
        <f>AND('Planilla_General_07-12-2012_8_3'!K706,"AAAAAHrv/Nw=")</f>
        <v>#VALUE!</v>
      </c>
      <c r="HN47" t="e">
        <f>AND('Planilla_General_07-12-2012_8_3'!L706,"AAAAAHrv/N0=")</f>
        <v>#VALUE!</v>
      </c>
      <c r="HO47" t="e">
        <f>AND('Planilla_General_07-12-2012_8_3'!M706,"AAAAAHrv/N4=")</f>
        <v>#VALUE!</v>
      </c>
      <c r="HP47" t="e">
        <f>AND('Planilla_General_07-12-2012_8_3'!N706,"AAAAAHrv/N8=")</f>
        <v>#VALUE!</v>
      </c>
      <c r="HQ47" t="e">
        <f>AND('Planilla_General_07-12-2012_8_3'!O706,"AAAAAHrv/OA=")</f>
        <v>#VALUE!</v>
      </c>
      <c r="HR47" t="e">
        <f>AND('Planilla_General_07-12-2012_8_3'!P706,"AAAAAHrv/OE=")</f>
        <v>#VALUE!</v>
      </c>
      <c r="HS47">
        <f>IF('Planilla_General_07-12-2012_8_3'!707:707,"AAAAAHrv/OI=",0)</f>
        <v>0</v>
      </c>
      <c r="HT47" t="e">
        <f>AND('Planilla_General_07-12-2012_8_3'!A707,"AAAAAHrv/OM=")</f>
        <v>#VALUE!</v>
      </c>
      <c r="HU47" t="e">
        <f>AND('Planilla_General_07-12-2012_8_3'!B707,"AAAAAHrv/OQ=")</f>
        <v>#VALUE!</v>
      </c>
      <c r="HV47" t="e">
        <f>AND('Planilla_General_07-12-2012_8_3'!C707,"AAAAAHrv/OU=")</f>
        <v>#VALUE!</v>
      </c>
      <c r="HW47" t="e">
        <f>AND('Planilla_General_07-12-2012_8_3'!D707,"AAAAAHrv/OY=")</f>
        <v>#VALUE!</v>
      </c>
      <c r="HX47" t="e">
        <f>AND('Planilla_General_07-12-2012_8_3'!E707,"AAAAAHrv/Oc=")</f>
        <v>#VALUE!</v>
      </c>
      <c r="HY47" t="e">
        <f>AND('Planilla_General_07-12-2012_8_3'!F707,"AAAAAHrv/Og=")</f>
        <v>#VALUE!</v>
      </c>
      <c r="HZ47" t="e">
        <f>AND('Planilla_General_07-12-2012_8_3'!G707,"AAAAAHrv/Ok=")</f>
        <v>#VALUE!</v>
      </c>
      <c r="IA47" t="e">
        <f>AND('Planilla_General_07-12-2012_8_3'!H707,"AAAAAHrv/Oo=")</f>
        <v>#VALUE!</v>
      </c>
      <c r="IB47" t="e">
        <f>AND('Planilla_General_07-12-2012_8_3'!I707,"AAAAAHrv/Os=")</f>
        <v>#VALUE!</v>
      </c>
      <c r="IC47" t="e">
        <f>AND('Planilla_General_07-12-2012_8_3'!J707,"AAAAAHrv/Ow=")</f>
        <v>#VALUE!</v>
      </c>
      <c r="ID47" t="e">
        <f>AND('Planilla_General_07-12-2012_8_3'!K707,"AAAAAHrv/O0=")</f>
        <v>#VALUE!</v>
      </c>
      <c r="IE47" t="e">
        <f>AND('Planilla_General_07-12-2012_8_3'!L707,"AAAAAHrv/O4=")</f>
        <v>#VALUE!</v>
      </c>
      <c r="IF47" t="e">
        <f>AND('Planilla_General_07-12-2012_8_3'!M707,"AAAAAHrv/O8=")</f>
        <v>#VALUE!</v>
      </c>
      <c r="IG47" t="e">
        <f>AND('Planilla_General_07-12-2012_8_3'!N707,"AAAAAHrv/PA=")</f>
        <v>#VALUE!</v>
      </c>
      <c r="IH47" t="e">
        <f>AND('Planilla_General_07-12-2012_8_3'!O707,"AAAAAHrv/PE=")</f>
        <v>#VALUE!</v>
      </c>
      <c r="II47" t="e">
        <f>AND('Planilla_General_07-12-2012_8_3'!P707,"AAAAAHrv/PI=")</f>
        <v>#VALUE!</v>
      </c>
      <c r="IJ47">
        <f>IF('Planilla_General_07-12-2012_8_3'!708:708,"AAAAAHrv/PM=",0)</f>
        <v>0</v>
      </c>
      <c r="IK47" t="e">
        <f>AND('Planilla_General_07-12-2012_8_3'!A708,"AAAAAHrv/PQ=")</f>
        <v>#VALUE!</v>
      </c>
      <c r="IL47" t="e">
        <f>AND('Planilla_General_07-12-2012_8_3'!B708,"AAAAAHrv/PU=")</f>
        <v>#VALUE!</v>
      </c>
      <c r="IM47" t="e">
        <f>AND('Planilla_General_07-12-2012_8_3'!C708,"AAAAAHrv/PY=")</f>
        <v>#VALUE!</v>
      </c>
      <c r="IN47" t="e">
        <f>AND('Planilla_General_07-12-2012_8_3'!D708,"AAAAAHrv/Pc=")</f>
        <v>#VALUE!</v>
      </c>
      <c r="IO47" t="e">
        <f>AND('Planilla_General_07-12-2012_8_3'!E708,"AAAAAHrv/Pg=")</f>
        <v>#VALUE!</v>
      </c>
      <c r="IP47" t="e">
        <f>AND('Planilla_General_07-12-2012_8_3'!F708,"AAAAAHrv/Pk=")</f>
        <v>#VALUE!</v>
      </c>
      <c r="IQ47" t="e">
        <f>AND('Planilla_General_07-12-2012_8_3'!G708,"AAAAAHrv/Po=")</f>
        <v>#VALUE!</v>
      </c>
      <c r="IR47" t="e">
        <f>AND('Planilla_General_07-12-2012_8_3'!H708,"AAAAAHrv/Ps=")</f>
        <v>#VALUE!</v>
      </c>
      <c r="IS47" t="e">
        <f>AND('Planilla_General_07-12-2012_8_3'!I708,"AAAAAHrv/Pw=")</f>
        <v>#VALUE!</v>
      </c>
      <c r="IT47" t="e">
        <f>AND('Planilla_General_07-12-2012_8_3'!J708,"AAAAAHrv/P0=")</f>
        <v>#VALUE!</v>
      </c>
      <c r="IU47" t="e">
        <f>AND('Planilla_General_07-12-2012_8_3'!K708,"AAAAAHrv/P4=")</f>
        <v>#VALUE!</v>
      </c>
      <c r="IV47" t="e">
        <f>AND('Planilla_General_07-12-2012_8_3'!L708,"AAAAAHrv/P8=")</f>
        <v>#VALUE!</v>
      </c>
    </row>
    <row r="48" spans="1:256" x14ac:dyDescent="0.25">
      <c r="A48" t="e">
        <f>AND('Planilla_General_07-12-2012_8_3'!M708,"AAAAAC/+LQA=")</f>
        <v>#VALUE!</v>
      </c>
      <c r="B48" t="e">
        <f>AND('Planilla_General_07-12-2012_8_3'!N708,"AAAAAC/+LQE=")</f>
        <v>#VALUE!</v>
      </c>
      <c r="C48" t="e">
        <f>AND('Planilla_General_07-12-2012_8_3'!O708,"AAAAAC/+LQI=")</f>
        <v>#VALUE!</v>
      </c>
      <c r="D48" t="e">
        <f>AND('Planilla_General_07-12-2012_8_3'!P708,"AAAAAC/+LQM=")</f>
        <v>#VALUE!</v>
      </c>
      <c r="E48" t="e">
        <f>IF('Planilla_General_07-12-2012_8_3'!709:709,"AAAAAC/+LQQ=",0)</f>
        <v>#VALUE!</v>
      </c>
      <c r="F48" t="e">
        <f>AND('Planilla_General_07-12-2012_8_3'!A709,"AAAAAC/+LQU=")</f>
        <v>#VALUE!</v>
      </c>
      <c r="G48" t="e">
        <f>AND('Planilla_General_07-12-2012_8_3'!B709,"AAAAAC/+LQY=")</f>
        <v>#VALUE!</v>
      </c>
      <c r="H48" t="e">
        <f>AND('Planilla_General_07-12-2012_8_3'!C709,"AAAAAC/+LQc=")</f>
        <v>#VALUE!</v>
      </c>
      <c r="I48" t="e">
        <f>AND('Planilla_General_07-12-2012_8_3'!D709,"AAAAAC/+LQg=")</f>
        <v>#VALUE!</v>
      </c>
      <c r="J48" t="e">
        <f>AND('Planilla_General_07-12-2012_8_3'!E709,"AAAAAC/+LQk=")</f>
        <v>#VALUE!</v>
      </c>
      <c r="K48" t="e">
        <f>AND('Planilla_General_07-12-2012_8_3'!F709,"AAAAAC/+LQo=")</f>
        <v>#VALUE!</v>
      </c>
      <c r="L48" t="e">
        <f>AND('Planilla_General_07-12-2012_8_3'!G709,"AAAAAC/+LQs=")</f>
        <v>#VALUE!</v>
      </c>
      <c r="M48" t="e">
        <f>AND('Planilla_General_07-12-2012_8_3'!H709,"AAAAAC/+LQw=")</f>
        <v>#VALUE!</v>
      </c>
      <c r="N48" t="e">
        <f>AND('Planilla_General_07-12-2012_8_3'!I709,"AAAAAC/+LQ0=")</f>
        <v>#VALUE!</v>
      </c>
      <c r="O48" t="e">
        <f>AND('Planilla_General_07-12-2012_8_3'!J709,"AAAAAC/+LQ4=")</f>
        <v>#VALUE!</v>
      </c>
      <c r="P48" t="e">
        <f>AND('Planilla_General_07-12-2012_8_3'!K709,"AAAAAC/+LQ8=")</f>
        <v>#VALUE!</v>
      </c>
      <c r="Q48" t="e">
        <f>AND('Planilla_General_07-12-2012_8_3'!L709,"AAAAAC/+LRA=")</f>
        <v>#VALUE!</v>
      </c>
      <c r="R48" t="e">
        <f>AND('Planilla_General_07-12-2012_8_3'!M709,"AAAAAC/+LRE=")</f>
        <v>#VALUE!</v>
      </c>
      <c r="S48" t="e">
        <f>AND('Planilla_General_07-12-2012_8_3'!N709,"AAAAAC/+LRI=")</f>
        <v>#VALUE!</v>
      </c>
      <c r="T48" t="e">
        <f>AND('Planilla_General_07-12-2012_8_3'!O709,"AAAAAC/+LRM=")</f>
        <v>#VALUE!</v>
      </c>
      <c r="U48" t="e">
        <f>AND('Planilla_General_07-12-2012_8_3'!P709,"AAAAAC/+LRQ=")</f>
        <v>#VALUE!</v>
      </c>
      <c r="V48">
        <f>IF('Planilla_General_07-12-2012_8_3'!710:710,"AAAAAC/+LRU=",0)</f>
        <v>0</v>
      </c>
      <c r="W48" t="e">
        <f>AND('Planilla_General_07-12-2012_8_3'!A710,"AAAAAC/+LRY=")</f>
        <v>#VALUE!</v>
      </c>
      <c r="X48" t="e">
        <f>AND('Planilla_General_07-12-2012_8_3'!B710,"AAAAAC/+LRc=")</f>
        <v>#VALUE!</v>
      </c>
      <c r="Y48" t="e">
        <f>AND('Planilla_General_07-12-2012_8_3'!C710,"AAAAAC/+LRg=")</f>
        <v>#VALUE!</v>
      </c>
      <c r="Z48" t="e">
        <f>AND('Planilla_General_07-12-2012_8_3'!D710,"AAAAAC/+LRk=")</f>
        <v>#VALUE!</v>
      </c>
      <c r="AA48" t="e">
        <f>AND('Planilla_General_07-12-2012_8_3'!E710,"AAAAAC/+LRo=")</f>
        <v>#VALUE!</v>
      </c>
      <c r="AB48" t="e">
        <f>AND('Planilla_General_07-12-2012_8_3'!F710,"AAAAAC/+LRs=")</f>
        <v>#VALUE!</v>
      </c>
      <c r="AC48" t="e">
        <f>AND('Planilla_General_07-12-2012_8_3'!G710,"AAAAAC/+LRw=")</f>
        <v>#VALUE!</v>
      </c>
      <c r="AD48" t="e">
        <f>AND('Planilla_General_07-12-2012_8_3'!H710,"AAAAAC/+LR0=")</f>
        <v>#VALUE!</v>
      </c>
      <c r="AE48" t="e">
        <f>AND('Planilla_General_07-12-2012_8_3'!I710,"AAAAAC/+LR4=")</f>
        <v>#VALUE!</v>
      </c>
      <c r="AF48" t="e">
        <f>AND('Planilla_General_07-12-2012_8_3'!J710,"AAAAAC/+LR8=")</f>
        <v>#VALUE!</v>
      </c>
      <c r="AG48" t="e">
        <f>AND('Planilla_General_07-12-2012_8_3'!K710,"AAAAAC/+LSA=")</f>
        <v>#VALUE!</v>
      </c>
      <c r="AH48" t="e">
        <f>AND('Planilla_General_07-12-2012_8_3'!L710,"AAAAAC/+LSE=")</f>
        <v>#VALUE!</v>
      </c>
      <c r="AI48" t="e">
        <f>AND('Planilla_General_07-12-2012_8_3'!M710,"AAAAAC/+LSI=")</f>
        <v>#VALUE!</v>
      </c>
      <c r="AJ48" t="e">
        <f>AND('Planilla_General_07-12-2012_8_3'!N710,"AAAAAC/+LSM=")</f>
        <v>#VALUE!</v>
      </c>
      <c r="AK48" t="e">
        <f>AND('Planilla_General_07-12-2012_8_3'!O710,"AAAAAC/+LSQ=")</f>
        <v>#VALUE!</v>
      </c>
      <c r="AL48" t="e">
        <f>AND('Planilla_General_07-12-2012_8_3'!P710,"AAAAAC/+LSU=")</f>
        <v>#VALUE!</v>
      </c>
      <c r="AM48">
        <f>IF('Planilla_General_07-12-2012_8_3'!711:711,"AAAAAC/+LSY=",0)</f>
        <v>0</v>
      </c>
      <c r="AN48" t="e">
        <f>AND('Planilla_General_07-12-2012_8_3'!A711,"AAAAAC/+LSc=")</f>
        <v>#VALUE!</v>
      </c>
      <c r="AO48" t="e">
        <f>AND('Planilla_General_07-12-2012_8_3'!B711,"AAAAAC/+LSg=")</f>
        <v>#VALUE!</v>
      </c>
      <c r="AP48" t="e">
        <f>AND('Planilla_General_07-12-2012_8_3'!C711,"AAAAAC/+LSk=")</f>
        <v>#VALUE!</v>
      </c>
      <c r="AQ48" t="e">
        <f>AND('Planilla_General_07-12-2012_8_3'!D711,"AAAAAC/+LSo=")</f>
        <v>#VALUE!</v>
      </c>
      <c r="AR48" t="e">
        <f>AND('Planilla_General_07-12-2012_8_3'!E711,"AAAAAC/+LSs=")</f>
        <v>#VALUE!</v>
      </c>
      <c r="AS48" t="e">
        <f>AND('Planilla_General_07-12-2012_8_3'!F711,"AAAAAC/+LSw=")</f>
        <v>#VALUE!</v>
      </c>
      <c r="AT48" t="e">
        <f>AND('Planilla_General_07-12-2012_8_3'!G711,"AAAAAC/+LS0=")</f>
        <v>#VALUE!</v>
      </c>
      <c r="AU48" t="e">
        <f>AND('Planilla_General_07-12-2012_8_3'!H711,"AAAAAC/+LS4=")</f>
        <v>#VALUE!</v>
      </c>
      <c r="AV48" t="e">
        <f>AND('Planilla_General_07-12-2012_8_3'!I711,"AAAAAC/+LS8=")</f>
        <v>#VALUE!</v>
      </c>
      <c r="AW48" t="e">
        <f>AND('Planilla_General_07-12-2012_8_3'!J711,"AAAAAC/+LTA=")</f>
        <v>#VALUE!</v>
      </c>
      <c r="AX48" t="e">
        <f>AND('Planilla_General_07-12-2012_8_3'!K711,"AAAAAC/+LTE=")</f>
        <v>#VALUE!</v>
      </c>
      <c r="AY48" t="e">
        <f>AND('Planilla_General_07-12-2012_8_3'!L711,"AAAAAC/+LTI=")</f>
        <v>#VALUE!</v>
      </c>
      <c r="AZ48" t="e">
        <f>AND('Planilla_General_07-12-2012_8_3'!M711,"AAAAAC/+LTM=")</f>
        <v>#VALUE!</v>
      </c>
      <c r="BA48" t="e">
        <f>AND('Planilla_General_07-12-2012_8_3'!N711,"AAAAAC/+LTQ=")</f>
        <v>#VALUE!</v>
      </c>
      <c r="BB48" t="e">
        <f>AND('Planilla_General_07-12-2012_8_3'!O711,"AAAAAC/+LTU=")</f>
        <v>#VALUE!</v>
      </c>
      <c r="BC48" t="e">
        <f>AND('Planilla_General_07-12-2012_8_3'!P711,"AAAAAC/+LTY=")</f>
        <v>#VALUE!</v>
      </c>
      <c r="BD48">
        <f>IF('Planilla_General_07-12-2012_8_3'!712:712,"AAAAAC/+LTc=",0)</f>
        <v>0</v>
      </c>
      <c r="BE48" t="e">
        <f>AND('Planilla_General_07-12-2012_8_3'!A712,"AAAAAC/+LTg=")</f>
        <v>#VALUE!</v>
      </c>
      <c r="BF48" t="e">
        <f>AND('Planilla_General_07-12-2012_8_3'!B712,"AAAAAC/+LTk=")</f>
        <v>#VALUE!</v>
      </c>
      <c r="BG48" t="e">
        <f>AND('Planilla_General_07-12-2012_8_3'!C712,"AAAAAC/+LTo=")</f>
        <v>#VALUE!</v>
      </c>
      <c r="BH48" t="e">
        <f>AND('Planilla_General_07-12-2012_8_3'!D712,"AAAAAC/+LTs=")</f>
        <v>#VALUE!</v>
      </c>
      <c r="BI48" t="e">
        <f>AND('Planilla_General_07-12-2012_8_3'!E712,"AAAAAC/+LTw=")</f>
        <v>#VALUE!</v>
      </c>
      <c r="BJ48" t="e">
        <f>AND('Planilla_General_07-12-2012_8_3'!F712,"AAAAAC/+LT0=")</f>
        <v>#VALUE!</v>
      </c>
      <c r="BK48" t="e">
        <f>AND('Planilla_General_07-12-2012_8_3'!G712,"AAAAAC/+LT4=")</f>
        <v>#VALUE!</v>
      </c>
      <c r="BL48" t="e">
        <f>AND('Planilla_General_07-12-2012_8_3'!H712,"AAAAAC/+LT8=")</f>
        <v>#VALUE!</v>
      </c>
      <c r="BM48" t="e">
        <f>AND('Planilla_General_07-12-2012_8_3'!I712,"AAAAAC/+LUA=")</f>
        <v>#VALUE!</v>
      </c>
      <c r="BN48" t="e">
        <f>AND('Planilla_General_07-12-2012_8_3'!J712,"AAAAAC/+LUE=")</f>
        <v>#VALUE!</v>
      </c>
      <c r="BO48" t="e">
        <f>AND('Planilla_General_07-12-2012_8_3'!K712,"AAAAAC/+LUI=")</f>
        <v>#VALUE!</v>
      </c>
      <c r="BP48" t="e">
        <f>AND('Planilla_General_07-12-2012_8_3'!L712,"AAAAAC/+LUM=")</f>
        <v>#VALUE!</v>
      </c>
      <c r="BQ48" t="e">
        <f>AND('Planilla_General_07-12-2012_8_3'!M712,"AAAAAC/+LUQ=")</f>
        <v>#VALUE!</v>
      </c>
      <c r="BR48" t="e">
        <f>AND('Planilla_General_07-12-2012_8_3'!N712,"AAAAAC/+LUU=")</f>
        <v>#VALUE!</v>
      </c>
      <c r="BS48" t="e">
        <f>AND('Planilla_General_07-12-2012_8_3'!O712,"AAAAAC/+LUY=")</f>
        <v>#VALUE!</v>
      </c>
      <c r="BT48" t="e">
        <f>AND('Planilla_General_07-12-2012_8_3'!P712,"AAAAAC/+LUc=")</f>
        <v>#VALUE!</v>
      </c>
      <c r="BU48">
        <f>IF('Planilla_General_07-12-2012_8_3'!713:713,"AAAAAC/+LUg=",0)</f>
        <v>0</v>
      </c>
      <c r="BV48" t="e">
        <f>AND('Planilla_General_07-12-2012_8_3'!A713,"AAAAAC/+LUk=")</f>
        <v>#VALUE!</v>
      </c>
      <c r="BW48" t="e">
        <f>AND('Planilla_General_07-12-2012_8_3'!B713,"AAAAAC/+LUo=")</f>
        <v>#VALUE!</v>
      </c>
      <c r="BX48" t="e">
        <f>AND('Planilla_General_07-12-2012_8_3'!C713,"AAAAAC/+LUs=")</f>
        <v>#VALUE!</v>
      </c>
      <c r="BY48" t="e">
        <f>AND('Planilla_General_07-12-2012_8_3'!D713,"AAAAAC/+LUw=")</f>
        <v>#VALUE!</v>
      </c>
      <c r="BZ48" t="e">
        <f>AND('Planilla_General_07-12-2012_8_3'!E713,"AAAAAC/+LU0=")</f>
        <v>#VALUE!</v>
      </c>
      <c r="CA48" t="e">
        <f>AND('Planilla_General_07-12-2012_8_3'!F713,"AAAAAC/+LU4=")</f>
        <v>#VALUE!</v>
      </c>
      <c r="CB48" t="e">
        <f>AND('Planilla_General_07-12-2012_8_3'!G713,"AAAAAC/+LU8=")</f>
        <v>#VALUE!</v>
      </c>
      <c r="CC48" t="e">
        <f>AND('Planilla_General_07-12-2012_8_3'!H713,"AAAAAC/+LVA=")</f>
        <v>#VALUE!</v>
      </c>
      <c r="CD48" t="e">
        <f>AND('Planilla_General_07-12-2012_8_3'!I713,"AAAAAC/+LVE=")</f>
        <v>#VALUE!</v>
      </c>
      <c r="CE48" t="e">
        <f>AND('Planilla_General_07-12-2012_8_3'!J713,"AAAAAC/+LVI=")</f>
        <v>#VALUE!</v>
      </c>
      <c r="CF48" t="e">
        <f>AND('Planilla_General_07-12-2012_8_3'!K713,"AAAAAC/+LVM=")</f>
        <v>#VALUE!</v>
      </c>
      <c r="CG48" t="e">
        <f>AND('Planilla_General_07-12-2012_8_3'!L713,"AAAAAC/+LVQ=")</f>
        <v>#VALUE!</v>
      </c>
      <c r="CH48" t="e">
        <f>AND('Planilla_General_07-12-2012_8_3'!M713,"AAAAAC/+LVU=")</f>
        <v>#VALUE!</v>
      </c>
      <c r="CI48" t="e">
        <f>AND('Planilla_General_07-12-2012_8_3'!N713,"AAAAAC/+LVY=")</f>
        <v>#VALUE!</v>
      </c>
      <c r="CJ48" t="e">
        <f>AND('Planilla_General_07-12-2012_8_3'!O713,"AAAAAC/+LVc=")</f>
        <v>#VALUE!</v>
      </c>
      <c r="CK48" t="e">
        <f>AND('Planilla_General_07-12-2012_8_3'!P713,"AAAAAC/+LVg=")</f>
        <v>#VALUE!</v>
      </c>
      <c r="CL48">
        <f>IF('Planilla_General_07-12-2012_8_3'!714:714,"AAAAAC/+LVk=",0)</f>
        <v>0</v>
      </c>
      <c r="CM48" t="e">
        <f>AND('Planilla_General_07-12-2012_8_3'!A714,"AAAAAC/+LVo=")</f>
        <v>#VALUE!</v>
      </c>
      <c r="CN48" t="e">
        <f>AND('Planilla_General_07-12-2012_8_3'!B714,"AAAAAC/+LVs=")</f>
        <v>#VALUE!</v>
      </c>
      <c r="CO48" t="e">
        <f>AND('Planilla_General_07-12-2012_8_3'!C714,"AAAAAC/+LVw=")</f>
        <v>#VALUE!</v>
      </c>
      <c r="CP48" t="e">
        <f>AND('Planilla_General_07-12-2012_8_3'!D714,"AAAAAC/+LV0=")</f>
        <v>#VALUE!</v>
      </c>
      <c r="CQ48" t="e">
        <f>AND('Planilla_General_07-12-2012_8_3'!E714,"AAAAAC/+LV4=")</f>
        <v>#VALUE!</v>
      </c>
      <c r="CR48" t="e">
        <f>AND('Planilla_General_07-12-2012_8_3'!F714,"AAAAAC/+LV8=")</f>
        <v>#VALUE!</v>
      </c>
      <c r="CS48" t="e">
        <f>AND('Planilla_General_07-12-2012_8_3'!G714,"AAAAAC/+LWA=")</f>
        <v>#VALUE!</v>
      </c>
      <c r="CT48" t="e">
        <f>AND('Planilla_General_07-12-2012_8_3'!H714,"AAAAAC/+LWE=")</f>
        <v>#VALUE!</v>
      </c>
      <c r="CU48" t="e">
        <f>AND('Planilla_General_07-12-2012_8_3'!I714,"AAAAAC/+LWI=")</f>
        <v>#VALUE!</v>
      </c>
      <c r="CV48" t="e">
        <f>AND('Planilla_General_07-12-2012_8_3'!J714,"AAAAAC/+LWM=")</f>
        <v>#VALUE!</v>
      </c>
      <c r="CW48" t="e">
        <f>AND('Planilla_General_07-12-2012_8_3'!K714,"AAAAAC/+LWQ=")</f>
        <v>#VALUE!</v>
      </c>
      <c r="CX48" t="e">
        <f>AND('Planilla_General_07-12-2012_8_3'!L714,"AAAAAC/+LWU=")</f>
        <v>#VALUE!</v>
      </c>
      <c r="CY48" t="e">
        <f>AND('Planilla_General_07-12-2012_8_3'!M714,"AAAAAC/+LWY=")</f>
        <v>#VALUE!</v>
      </c>
      <c r="CZ48" t="e">
        <f>AND('Planilla_General_07-12-2012_8_3'!N714,"AAAAAC/+LWc=")</f>
        <v>#VALUE!</v>
      </c>
      <c r="DA48" t="e">
        <f>AND('Planilla_General_07-12-2012_8_3'!O714,"AAAAAC/+LWg=")</f>
        <v>#VALUE!</v>
      </c>
      <c r="DB48" t="e">
        <f>AND('Planilla_General_07-12-2012_8_3'!P714,"AAAAAC/+LWk=")</f>
        <v>#VALUE!</v>
      </c>
      <c r="DC48">
        <f>IF('Planilla_General_07-12-2012_8_3'!715:715,"AAAAAC/+LWo=",0)</f>
        <v>0</v>
      </c>
      <c r="DD48" t="e">
        <f>AND('Planilla_General_07-12-2012_8_3'!A715,"AAAAAC/+LWs=")</f>
        <v>#VALUE!</v>
      </c>
      <c r="DE48" t="e">
        <f>AND('Planilla_General_07-12-2012_8_3'!B715,"AAAAAC/+LWw=")</f>
        <v>#VALUE!</v>
      </c>
      <c r="DF48" t="e">
        <f>AND('Planilla_General_07-12-2012_8_3'!C715,"AAAAAC/+LW0=")</f>
        <v>#VALUE!</v>
      </c>
      <c r="DG48" t="e">
        <f>AND('Planilla_General_07-12-2012_8_3'!D715,"AAAAAC/+LW4=")</f>
        <v>#VALUE!</v>
      </c>
      <c r="DH48" t="e">
        <f>AND('Planilla_General_07-12-2012_8_3'!E715,"AAAAAC/+LW8=")</f>
        <v>#VALUE!</v>
      </c>
      <c r="DI48" t="e">
        <f>AND('Planilla_General_07-12-2012_8_3'!F715,"AAAAAC/+LXA=")</f>
        <v>#VALUE!</v>
      </c>
      <c r="DJ48" t="e">
        <f>AND('Planilla_General_07-12-2012_8_3'!G715,"AAAAAC/+LXE=")</f>
        <v>#VALUE!</v>
      </c>
      <c r="DK48" t="e">
        <f>AND('Planilla_General_07-12-2012_8_3'!H715,"AAAAAC/+LXI=")</f>
        <v>#VALUE!</v>
      </c>
      <c r="DL48" t="e">
        <f>AND('Planilla_General_07-12-2012_8_3'!I715,"AAAAAC/+LXM=")</f>
        <v>#VALUE!</v>
      </c>
      <c r="DM48" t="e">
        <f>AND('Planilla_General_07-12-2012_8_3'!J715,"AAAAAC/+LXQ=")</f>
        <v>#VALUE!</v>
      </c>
      <c r="DN48" t="e">
        <f>AND('Planilla_General_07-12-2012_8_3'!K715,"AAAAAC/+LXU=")</f>
        <v>#VALUE!</v>
      </c>
      <c r="DO48" t="e">
        <f>AND('Planilla_General_07-12-2012_8_3'!L715,"AAAAAC/+LXY=")</f>
        <v>#VALUE!</v>
      </c>
      <c r="DP48" t="e">
        <f>AND('Planilla_General_07-12-2012_8_3'!M715,"AAAAAC/+LXc=")</f>
        <v>#VALUE!</v>
      </c>
      <c r="DQ48" t="e">
        <f>AND('Planilla_General_07-12-2012_8_3'!N715,"AAAAAC/+LXg=")</f>
        <v>#VALUE!</v>
      </c>
      <c r="DR48" t="e">
        <f>AND('Planilla_General_07-12-2012_8_3'!O715,"AAAAAC/+LXk=")</f>
        <v>#VALUE!</v>
      </c>
      <c r="DS48" t="e">
        <f>AND('Planilla_General_07-12-2012_8_3'!P715,"AAAAAC/+LXo=")</f>
        <v>#VALUE!</v>
      </c>
      <c r="DT48">
        <f>IF('Planilla_General_07-12-2012_8_3'!716:716,"AAAAAC/+LXs=",0)</f>
        <v>0</v>
      </c>
      <c r="DU48" t="e">
        <f>AND('Planilla_General_07-12-2012_8_3'!A716,"AAAAAC/+LXw=")</f>
        <v>#VALUE!</v>
      </c>
      <c r="DV48" t="e">
        <f>AND('Planilla_General_07-12-2012_8_3'!B716,"AAAAAC/+LX0=")</f>
        <v>#VALUE!</v>
      </c>
      <c r="DW48" t="e">
        <f>AND('Planilla_General_07-12-2012_8_3'!C716,"AAAAAC/+LX4=")</f>
        <v>#VALUE!</v>
      </c>
      <c r="DX48" t="e">
        <f>AND('Planilla_General_07-12-2012_8_3'!D716,"AAAAAC/+LX8=")</f>
        <v>#VALUE!</v>
      </c>
      <c r="DY48" t="e">
        <f>AND('Planilla_General_07-12-2012_8_3'!E716,"AAAAAC/+LYA=")</f>
        <v>#VALUE!</v>
      </c>
      <c r="DZ48" t="e">
        <f>AND('Planilla_General_07-12-2012_8_3'!F716,"AAAAAC/+LYE=")</f>
        <v>#VALUE!</v>
      </c>
      <c r="EA48" t="e">
        <f>AND('Planilla_General_07-12-2012_8_3'!G716,"AAAAAC/+LYI=")</f>
        <v>#VALUE!</v>
      </c>
      <c r="EB48" t="e">
        <f>AND('Planilla_General_07-12-2012_8_3'!H716,"AAAAAC/+LYM=")</f>
        <v>#VALUE!</v>
      </c>
      <c r="EC48" t="e">
        <f>AND('Planilla_General_07-12-2012_8_3'!I716,"AAAAAC/+LYQ=")</f>
        <v>#VALUE!</v>
      </c>
      <c r="ED48" t="e">
        <f>AND('Planilla_General_07-12-2012_8_3'!J716,"AAAAAC/+LYU=")</f>
        <v>#VALUE!</v>
      </c>
      <c r="EE48" t="e">
        <f>AND('Planilla_General_07-12-2012_8_3'!K716,"AAAAAC/+LYY=")</f>
        <v>#VALUE!</v>
      </c>
      <c r="EF48" t="e">
        <f>AND('Planilla_General_07-12-2012_8_3'!L716,"AAAAAC/+LYc=")</f>
        <v>#VALUE!</v>
      </c>
      <c r="EG48" t="e">
        <f>AND('Planilla_General_07-12-2012_8_3'!M716,"AAAAAC/+LYg=")</f>
        <v>#VALUE!</v>
      </c>
      <c r="EH48" t="e">
        <f>AND('Planilla_General_07-12-2012_8_3'!N716,"AAAAAC/+LYk=")</f>
        <v>#VALUE!</v>
      </c>
      <c r="EI48" t="e">
        <f>AND('Planilla_General_07-12-2012_8_3'!O716,"AAAAAC/+LYo=")</f>
        <v>#VALUE!</v>
      </c>
      <c r="EJ48" t="e">
        <f>AND('Planilla_General_07-12-2012_8_3'!P716,"AAAAAC/+LYs=")</f>
        <v>#VALUE!</v>
      </c>
      <c r="EK48">
        <f>IF('Planilla_General_07-12-2012_8_3'!717:717,"AAAAAC/+LYw=",0)</f>
        <v>0</v>
      </c>
      <c r="EL48" t="e">
        <f>AND('Planilla_General_07-12-2012_8_3'!A717,"AAAAAC/+LY0=")</f>
        <v>#VALUE!</v>
      </c>
      <c r="EM48" t="e">
        <f>AND('Planilla_General_07-12-2012_8_3'!B717,"AAAAAC/+LY4=")</f>
        <v>#VALUE!</v>
      </c>
      <c r="EN48" t="e">
        <f>AND('Planilla_General_07-12-2012_8_3'!C717,"AAAAAC/+LY8=")</f>
        <v>#VALUE!</v>
      </c>
      <c r="EO48" t="e">
        <f>AND('Planilla_General_07-12-2012_8_3'!D717,"AAAAAC/+LZA=")</f>
        <v>#VALUE!</v>
      </c>
      <c r="EP48" t="e">
        <f>AND('Planilla_General_07-12-2012_8_3'!E717,"AAAAAC/+LZE=")</f>
        <v>#VALUE!</v>
      </c>
      <c r="EQ48" t="e">
        <f>AND('Planilla_General_07-12-2012_8_3'!F717,"AAAAAC/+LZI=")</f>
        <v>#VALUE!</v>
      </c>
      <c r="ER48" t="e">
        <f>AND('Planilla_General_07-12-2012_8_3'!G717,"AAAAAC/+LZM=")</f>
        <v>#VALUE!</v>
      </c>
      <c r="ES48" t="e">
        <f>AND('Planilla_General_07-12-2012_8_3'!H717,"AAAAAC/+LZQ=")</f>
        <v>#VALUE!</v>
      </c>
      <c r="ET48" t="e">
        <f>AND('Planilla_General_07-12-2012_8_3'!I717,"AAAAAC/+LZU=")</f>
        <v>#VALUE!</v>
      </c>
      <c r="EU48" t="e">
        <f>AND('Planilla_General_07-12-2012_8_3'!J717,"AAAAAC/+LZY=")</f>
        <v>#VALUE!</v>
      </c>
      <c r="EV48" t="e">
        <f>AND('Planilla_General_07-12-2012_8_3'!K717,"AAAAAC/+LZc=")</f>
        <v>#VALUE!</v>
      </c>
      <c r="EW48" t="e">
        <f>AND('Planilla_General_07-12-2012_8_3'!L717,"AAAAAC/+LZg=")</f>
        <v>#VALUE!</v>
      </c>
      <c r="EX48" t="e">
        <f>AND('Planilla_General_07-12-2012_8_3'!M717,"AAAAAC/+LZk=")</f>
        <v>#VALUE!</v>
      </c>
      <c r="EY48" t="e">
        <f>AND('Planilla_General_07-12-2012_8_3'!N717,"AAAAAC/+LZo=")</f>
        <v>#VALUE!</v>
      </c>
      <c r="EZ48" t="e">
        <f>AND('Planilla_General_07-12-2012_8_3'!O717,"AAAAAC/+LZs=")</f>
        <v>#VALUE!</v>
      </c>
      <c r="FA48" t="e">
        <f>AND('Planilla_General_07-12-2012_8_3'!P717,"AAAAAC/+LZw=")</f>
        <v>#VALUE!</v>
      </c>
      <c r="FB48">
        <f>IF('Planilla_General_07-12-2012_8_3'!718:718,"AAAAAC/+LZ0=",0)</f>
        <v>0</v>
      </c>
      <c r="FC48" t="e">
        <f>AND('Planilla_General_07-12-2012_8_3'!A718,"AAAAAC/+LZ4=")</f>
        <v>#VALUE!</v>
      </c>
      <c r="FD48" t="e">
        <f>AND('Planilla_General_07-12-2012_8_3'!B718,"AAAAAC/+LZ8=")</f>
        <v>#VALUE!</v>
      </c>
      <c r="FE48" t="e">
        <f>AND('Planilla_General_07-12-2012_8_3'!C718,"AAAAAC/+LaA=")</f>
        <v>#VALUE!</v>
      </c>
      <c r="FF48" t="e">
        <f>AND('Planilla_General_07-12-2012_8_3'!D718,"AAAAAC/+LaE=")</f>
        <v>#VALUE!</v>
      </c>
      <c r="FG48" t="e">
        <f>AND('Planilla_General_07-12-2012_8_3'!E718,"AAAAAC/+LaI=")</f>
        <v>#VALUE!</v>
      </c>
      <c r="FH48" t="e">
        <f>AND('Planilla_General_07-12-2012_8_3'!F718,"AAAAAC/+LaM=")</f>
        <v>#VALUE!</v>
      </c>
      <c r="FI48" t="e">
        <f>AND('Planilla_General_07-12-2012_8_3'!G718,"AAAAAC/+LaQ=")</f>
        <v>#VALUE!</v>
      </c>
      <c r="FJ48" t="e">
        <f>AND('Planilla_General_07-12-2012_8_3'!H718,"AAAAAC/+LaU=")</f>
        <v>#VALUE!</v>
      </c>
      <c r="FK48" t="e">
        <f>AND('Planilla_General_07-12-2012_8_3'!I718,"AAAAAC/+LaY=")</f>
        <v>#VALUE!</v>
      </c>
      <c r="FL48" t="e">
        <f>AND('Planilla_General_07-12-2012_8_3'!J718,"AAAAAC/+Lac=")</f>
        <v>#VALUE!</v>
      </c>
      <c r="FM48" t="e">
        <f>AND('Planilla_General_07-12-2012_8_3'!K718,"AAAAAC/+Lag=")</f>
        <v>#VALUE!</v>
      </c>
      <c r="FN48" t="e">
        <f>AND('Planilla_General_07-12-2012_8_3'!L718,"AAAAAC/+Lak=")</f>
        <v>#VALUE!</v>
      </c>
      <c r="FO48" t="e">
        <f>AND('Planilla_General_07-12-2012_8_3'!M718,"AAAAAC/+Lao=")</f>
        <v>#VALUE!</v>
      </c>
      <c r="FP48" t="e">
        <f>AND('Planilla_General_07-12-2012_8_3'!N718,"AAAAAC/+Las=")</f>
        <v>#VALUE!</v>
      </c>
      <c r="FQ48" t="e">
        <f>AND('Planilla_General_07-12-2012_8_3'!O718,"AAAAAC/+Law=")</f>
        <v>#VALUE!</v>
      </c>
      <c r="FR48" t="e">
        <f>AND('Planilla_General_07-12-2012_8_3'!P718,"AAAAAC/+La0=")</f>
        <v>#VALUE!</v>
      </c>
      <c r="FS48">
        <f>IF('Planilla_General_07-12-2012_8_3'!719:719,"AAAAAC/+La4=",0)</f>
        <v>0</v>
      </c>
      <c r="FT48" t="e">
        <f>AND('Planilla_General_07-12-2012_8_3'!A719,"AAAAAC/+La8=")</f>
        <v>#VALUE!</v>
      </c>
      <c r="FU48" t="e">
        <f>AND('Planilla_General_07-12-2012_8_3'!B719,"AAAAAC/+LbA=")</f>
        <v>#VALUE!</v>
      </c>
      <c r="FV48" t="e">
        <f>AND('Planilla_General_07-12-2012_8_3'!C719,"AAAAAC/+LbE=")</f>
        <v>#VALUE!</v>
      </c>
      <c r="FW48" t="e">
        <f>AND('Planilla_General_07-12-2012_8_3'!D719,"AAAAAC/+LbI=")</f>
        <v>#VALUE!</v>
      </c>
      <c r="FX48" t="e">
        <f>AND('Planilla_General_07-12-2012_8_3'!E719,"AAAAAC/+LbM=")</f>
        <v>#VALUE!</v>
      </c>
      <c r="FY48" t="e">
        <f>AND('Planilla_General_07-12-2012_8_3'!F719,"AAAAAC/+LbQ=")</f>
        <v>#VALUE!</v>
      </c>
      <c r="FZ48" t="e">
        <f>AND('Planilla_General_07-12-2012_8_3'!G719,"AAAAAC/+LbU=")</f>
        <v>#VALUE!</v>
      </c>
      <c r="GA48" t="e">
        <f>AND('Planilla_General_07-12-2012_8_3'!H719,"AAAAAC/+LbY=")</f>
        <v>#VALUE!</v>
      </c>
      <c r="GB48" t="e">
        <f>AND('Planilla_General_07-12-2012_8_3'!I719,"AAAAAC/+Lbc=")</f>
        <v>#VALUE!</v>
      </c>
      <c r="GC48" t="e">
        <f>AND('Planilla_General_07-12-2012_8_3'!J719,"AAAAAC/+Lbg=")</f>
        <v>#VALUE!</v>
      </c>
      <c r="GD48" t="e">
        <f>AND('Planilla_General_07-12-2012_8_3'!K719,"AAAAAC/+Lbk=")</f>
        <v>#VALUE!</v>
      </c>
      <c r="GE48" t="e">
        <f>AND('Planilla_General_07-12-2012_8_3'!L719,"AAAAAC/+Lbo=")</f>
        <v>#VALUE!</v>
      </c>
      <c r="GF48" t="e">
        <f>AND('Planilla_General_07-12-2012_8_3'!M719,"AAAAAC/+Lbs=")</f>
        <v>#VALUE!</v>
      </c>
      <c r="GG48" t="e">
        <f>AND('Planilla_General_07-12-2012_8_3'!N719,"AAAAAC/+Lbw=")</f>
        <v>#VALUE!</v>
      </c>
      <c r="GH48" t="e">
        <f>AND('Planilla_General_07-12-2012_8_3'!O719,"AAAAAC/+Lb0=")</f>
        <v>#VALUE!</v>
      </c>
      <c r="GI48" t="e">
        <f>AND('Planilla_General_07-12-2012_8_3'!P719,"AAAAAC/+Lb4=")</f>
        <v>#VALUE!</v>
      </c>
      <c r="GJ48">
        <f>IF('Planilla_General_07-12-2012_8_3'!720:720,"AAAAAC/+Lb8=",0)</f>
        <v>0</v>
      </c>
      <c r="GK48" t="e">
        <f>AND('Planilla_General_07-12-2012_8_3'!A720,"AAAAAC/+LcA=")</f>
        <v>#VALUE!</v>
      </c>
      <c r="GL48" t="e">
        <f>AND('Planilla_General_07-12-2012_8_3'!B720,"AAAAAC/+LcE=")</f>
        <v>#VALUE!</v>
      </c>
      <c r="GM48" t="e">
        <f>AND('Planilla_General_07-12-2012_8_3'!C720,"AAAAAC/+LcI=")</f>
        <v>#VALUE!</v>
      </c>
      <c r="GN48" t="e">
        <f>AND('Planilla_General_07-12-2012_8_3'!D720,"AAAAAC/+LcM=")</f>
        <v>#VALUE!</v>
      </c>
      <c r="GO48" t="e">
        <f>AND('Planilla_General_07-12-2012_8_3'!E720,"AAAAAC/+LcQ=")</f>
        <v>#VALUE!</v>
      </c>
      <c r="GP48" t="e">
        <f>AND('Planilla_General_07-12-2012_8_3'!F720,"AAAAAC/+LcU=")</f>
        <v>#VALUE!</v>
      </c>
      <c r="GQ48" t="e">
        <f>AND('Planilla_General_07-12-2012_8_3'!G720,"AAAAAC/+LcY=")</f>
        <v>#VALUE!</v>
      </c>
      <c r="GR48" t="e">
        <f>AND('Planilla_General_07-12-2012_8_3'!H720,"AAAAAC/+Lcc=")</f>
        <v>#VALUE!</v>
      </c>
      <c r="GS48" t="e">
        <f>AND('Planilla_General_07-12-2012_8_3'!I720,"AAAAAC/+Lcg=")</f>
        <v>#VALUE!</v>
      </c>
      <c r="GT48" t="e">
        <f>AND('Planilla_General_07-12-2012_8_3'!J720,"AAAAAC/+Lck=")</f>
        <v>#VALUE!</v>
      </c>
      <c r="GU48" t="e">
        <f>AND('Planilla_General_07-12-2012_8_3'!K720,"AAAAAC/+Lco=")</f>
        <v>#VALUE!</v>
      </c>
      <c r="GV48" t="e">
        <f>AND('Planilla_General_07-12-2012_8_3'!L720,"AAAAAC/+Lcs=")</f>
        <v>#VALUE!</v>
      </c>
      <c r="GW48" t="e">
        <f>AND('Planilla_General_07-12-2012_8_3'!M720,"AAAAAC/+Lcw=")</f>
        <v>#VALUE!</v>
      </c>
      <c r="GX48" t="e">
        <f>AND('Planilla_General_07-12-2012_8_3'!N720,"AAAAAC/+Lc0=")</f>
        <v>#VALUE!</v>
      </c>
      <c r="GY48" t="e">
        <f>AND('Planilla_General_07-12-2012_8_3'!O720,"AAAAAC/+Lc4=")</f>
        <v>#VALUE!</v>
      </c>
      <c r="GZ48" t="e">
        <f>AND('Planilla_General_07-12-2012_8_3'!P720,"AAAAAC/+Lc8=")</f>
        <v>#VALUE!</v>
      </c>
      <c r="HA48">
        <f>IF('Planilla_General_07-12-2012_8_3'!721:721,"AAAAAC/+LdA=",0)</f>
        <v>0</v>
      </c>
      <c r="HB48" t="e">
        <f>AND('Planilla_General_07-12-2012_8_3'!A721,"AAAAAC/+LdE=")</f>
        <v>#VALUE!</v>
      </c>
      <c r="HC48" t="e">
        <f>AND('Planilla_General_07-12-2012_8_3'!B721,"AAAAAC/+LdI=")</f>
        <v>#VALUE!</v>
      </c>
      <c r="HD48" t="e">
        <f>AND('Planilla_General_07-12-2012_8_3'!C721,"AAAAAC/+LdM=")</f>
        <v>#VALUE!</v>
      </c>
      <c r="HE48" t="e">
        <f>AND('Planilla_General_07-12-2012_8_3'!D721,"AAAAAC/+LdQ=")</f>
        <v>#VALUE!</v>
      </c>
      <c r="HF48" t="e">
        <f>AND('Planilla_General_07-12-2012_8_3'!E721,"AAAAAC/+LdU=")</f>
        <v>#VALUE!</v>
      </c>
      <c r="HG48" t="e">
        <f>AND('Planilla_General_07-12-2012_8_3'!F721,"AAAAAC/+LdY=")</f>
        <v>#VALUE!</v>
      </c>
      <c r="HH48" t="e">
        <f>AND('Planilla_General_07-12-2012_8_3'!G721,"AAAAAC/+Ldc=")</f>
        <v>#VALUE!</v>
      </c>
      <c r="HI48" t="e">
        <f>AND('Planilla_General_07-12-2012_8_3'!H721,"AAAAAC/+Ldg=")</f>
        <v>#VALUE!</v>
      </c>
      <c r="HJ48" t="e">
        <f>AND('Planilla_General_07-12-2012_8_3'!I721,"AAAAAC/+Ldk=")</f>
        <v>#VALUE!</v>
      </c>
      <c r="HK48" t="e">
        <f>AND('Planilla_General_07-12-2012_8_3'!J721,"AAAAAC/+Ldo=")</f>
        <v>#VALUE!</v>
      </c>
      <c r="HL48" t="e">
        <f>AND('Planilla_General_07-12-2012_8_3'!K721,"AAAAAC/+Lds=")</f>
        <v>#VALUE!</v>
      </c>
      <c r="HM48" t="e">
        <f>AND('Planilla_General_07-12-2012_8_3'!L721,"AAAAAC/+Ldw=")</f>
        <v>#VALUE!</v>
      </c>
      <c r="HN48" t="e">
        <f>AND('Planilla_General_07-12-2012_8_3'!M721,"AAAAAC/+Ld0=")</f>
        <v>#VALUE!</v>
      </c>
      <c r="HO48" t="e">
        <f>AND('Planilla_General_07-12-2012_8_3'!N721,"AAAAAC/+Ld4=")</f>
        <v>#VALUE!</v>
      </c>
      <c r="HP48" t="e">
        <f>AND('Planilla_General_07-12-2012_8_3'!O721,"AAAAAC/+Ld8=")</f>
        <v>#VALUE!</v>
      </c>
      <c r="HQ48" t="e">
        <f>AND('Planilla_General_07-12-2012_8_3'!P721,"AAAAAC/+LeA=")</f>
        <v>#VALUE!</v>
      </c>
      <c r="HR48">
        <f>IF('Planilla_General_07-12-2012_8_3'!722:722,"AAAAAC/+LeE=",0)</f>
        <v>0</v>
      </c>
      <c r="HS48" t="e">
        <f>AND('Planilla_General_07-12-2012_8_3'!A722,"AAAAAC/+LeI=")</f>
        <v>#VALUE!</v>
      </c>
      <c r="HT48" t="e">
        <f>AND('Planilla_General_07-12-2012_8_3'!B722,"AAAAAC/+LeM=")</f>
        <v>#VALUE!</v>
      </c>
      <c r="HU48" t="e">
        <f>AND('Planilla_General_07-12-2012_8_3'!C722,"AAAAAC/+LeQ=")</f>
        <v>#VALUE!</v>
      </c>
      <c r="HV48" t="e">
        <f>AND('Planilla_General_07-12-2012_8_3'!D722,"AAAAAC/+LeU=")</f>
        <v>#VALUE!</v>
      </c>
      <c r="HW48" t="e">
        <f>AND('Planilla_General_07-12-2012_8_3'!E722,"AAAAAC/+LeY=")</f>
        <v>#VALUE!</v>
      </c>
      <c r="HX48" t="e">
        <f>AND('Planilla_General_07-12-2012_8_3'!F722,"AAAAAC/+Lec=")</f>
        <v>#VALUE!</v>
      </c>
      <c r="HY48" t="e">
        <f>AND('Planilla_General_07-12-2012_8_3'!G722,"AAAAAC/+Leg=")</f>
        <v>#VALUE!</v>
      </c>
      <c r="HZ48" t="e">
        <f>AND('Planilla_General_07-12-2012_8_3'!H722,"AAAAAC/+Lek=")</f>
        <v>#VALUE!</v>
      </c>
      <c r="IA48" t="e">
        <f>AND('Planilla_General_07-12-2012_8_3'!I722,"AAAAAC/+Leo=")</f>
        <v>#VALUE!</v>
      </c>
      <c r="IB48" t="e">
        <f>AND('Planilla_General_07-12-2012_8_3'!J722,"AAAAAC/+Les=")</f>
        <v>#VALUE!</v>
      </c>
      <c r="IC48" t="e">
        <f>AND('Planilla_General_07-12-2012_8_3'!K722,"AAAAAC/+Lew=")</f>
        <v>#VALUE!</v>
      </c>
      <c r="ID48" t="e">
        <f>AND('Planilla_General_07-12-2012_8_3'!L722,"AAAAAC/+Le0=")</f>
        <v>#VALUE!</v>
      </c>
      <c r="IE48" t="e">
        <f>AND('Planilla_General_07-12-2012_8_3'!M722,"AAAAAC/+Le4=")</f>
        <v>#VALUE!</v>
      </c>
      <c r="IF48" t="e">
        <f>AND('Planilla_General_07-12-2012_8_3'!N722,"AAAAAC/+Le8=")</f>
        <v>#VALUE!</v>
      </c>
      <c r="IG48" t="e">
        <f>AND('Planilla_General_07-12-2012_8_3'!O722,"AAAAAC/+LfA=")</f>
        <v>#VALUE!</v>
      </c>
      <c r="IH48" t="e">
        <f>AND('Planilla_General_07-12-2012_8_3'!P722,"AAAAAC/+LfE=")</f>
        <v>#VALUE!</v>
      </c>
      <c r="II48">
        <f>IF('Planilla_General_07-12-2012_8_3'!723:723,"AAAAAC/+LfI=",0)</f>
        <v>0</v>
      </c>
      <c r="IJ48" t="e">
        <f>AND('Planilla_General_07-12-2012_8_3'!A723,"AAAAAC/+LfM=")</f>
        <v>#VALUE!</v>
      </c>
      <c r="IK48" t="e">
        <f>AND('Planilla_General_07-12-2012_8_3'!B723,"AAAAAC/+LfQ=")</f>
        <v>#VALUE!</v>
      </c>
      <c r="IL48" t="e">
        <f>AND('Planilla_General_07-12-2012_8_3'!C723,"AAAAAC/+LfU=")</f>
        <v>#VALUE!</v>
      </c>
      <c r="IM48" t="e">
        <f>AND('Planilla_General_07-12-2012_8_3'!D723,"AAAAAC/+LfY=")</f>
        <v>#VALUE!</v>
      </c>
      <c r="IN48" t="e">
        <f>AND('Planilla_General_07-12-2012_8_3'!E723,"AAAAAC/+Lfc=")</f>
        <v>#VALUE!</v>
      </c>
      <c r="IO48" t="e">
        <f>AND('Planilla_General_07-12-2012_8_3'!F723,"AAAAAC/+Lfg=")</f>
        <v>#VALUE!</v>
      </c>
      <c r="IP48" t="e">
        <f>AND('Planilla_General_07-12-2012_8_3'!G723,"AAAAAC/+Lfk=")</f>
        <v>#VALUE!</v>
      </c>
      <c r="IQ48" t="e">
        <f>AND('Planilla_General_07-12-2012_8_3'!H723,"AAAAAC/+Lfo=")</f>
        <v>#VALUE!</v>
      </c>
      <c r="IR48" t="e">
        <f>AND('Planilla_General_07-12-2012_8_3'!I723,"AAAAAC/+Lfs=")</f>
        <v>#VALUE!</v>
      </c>
      <c r="IS48" t="e">
        <f>AND('Planilla_General_07-12-2012_8_3'!J723,"AAAAAC/+Lfw=")</f>
        <v>#VALUE!</v>
      </c>
      <c r="IT48" t="e">
        <f>AND('Planilla_General_07-12-2012_8_3'!K723,"AAAAAC/+Lf0=")</f>
        <v>#VALUE!</v>
      </c>
      <c r="IU48" t="e">
        <f>AND('Planilla_General_07-12-2012_8_3'!L723,"AAAAAC/+Lf4=")</f>
        <v>#VALUE!</v>
      </c>
      <c r="IV48" t="e">
        <f>AND('Planilla_General_07-12-2012_8_3'!M723,"AAAAAC/+Lf8=")</f>
        <v>#VALUE!</v>
      </c>
    </row>
    <row r="49" spans="1:256" x14ac:dyDescent="0.25">
      <c r="A49" t="e">
        <f>AND('Planilla_General_07-12-2012_8_3'!N723,"AAAAAH3+3gA=")</f>
        <v>#VALUE!</v>
      </c>
      <c r="B49" t="e">
        <f>AND('Planilla_General_07-12-2012_8_3'!O723,"AAAAAH3+3gE=")</f>
        <v>#VALUE!</v>
      </c>
      <c r="C49" t="e">
        <f>AND('Planilla_General_07-12-2012_8_3'!P723,"AAAAAH3+3gI=")</f>
        <v>#VALUE!</v>
      </c>
      <c r="D49" t="e">
        <f>IF('Planilla_General_07-12-2012_8_3'!724:724,"AAAAAH3+3gM=",0)</f>
        <v>#VALUE!</v>
      </c>
      <c r="E49" t="e">
        <f>AND('Planilla_General_07-12-2012_8_3'!A724,"AAAAAH3+3gQ=")</f>
        <v>#VALUE!</v>
      </c>
      <c r="F49" t="e">
        <f>AND('Planilla_General_07-12-2012_8_3'!B724,"AAAAAH3+3gU=")</f>
        <v>#VALUE!</v>
      </c>
      <c r="G49" t="e">
        <f>AND('Planilla_General_07-12-2012_8_3'!C724,"AAAAAH3+3gY=")</f>
        <v>#VALUE!</v>
      </c>
      <c r="H49" t="e">
        <f>AND('Planilla_General_07-12-2012_8_3'!D724,"AAAAAH3+3gc=")</f>
        <v>#VALUE!</v>
      </c>
      <c r="I49" t="e">
        <f>AND('Planilla_General_07-12-2012_8_3'!E724,"AAAAAH3+3gg=")</f>
        <v>#VALUE!</v>
      </c>
      <c r="J49" t="e">
        <f>AND('Planilla_General_07-12-2012_8_3'!F724,"AAAAAH3+3gk=")</f>
        <v>#VALUE!</v>
      </c>
      <c r="K49" t="e">
        <f>AND('Planilla_General_07-12-2012_8_3'!G724,"AAAAAH3+3go=")</f>
        <v>#VALUE!</v>
      </c>
      <c r="L49" t="e">
        <f>AND('Planilla_General_07-12-2012_8_3'!H724,"AAAAAH3+3gs=")</f>
        <v>#VALUE!</v>
      </c>
      <c r="M49" t="e">
        <f>AND('Planilla_General_07-12-2012_8_3'!I724,"AAAAAH3+3gw=")</f>
        <v>#VALUE!</v>
      </c>
      <c r="N49" t="e">
        <f>AND('Planilla_General_07-12-2012_8_3'!J724,"AAAAAH3+3g0=")</f>
        <v>#VALUE!</v>
      </c>
      <c r="O49" t="e">
        <f>AND('Planilla_General_07-12-2012_8_3'!K724,"AAAAAH3+3g4=")</f>
        <v>#VALUE!</v>
      </c>
      <c r="P49" t="e">
        <f>AND('Planilla_General_07-12-2012_8_3'!L724,"AAAAAH3+3g8=")</f>
        <v>#VALUE!</v>
      </c>
      <c r="Q49" t="e">
        <f>AND('Planilla_General_07-12-2012_8_3'!M724,"AAAAAH3+3hA=")</f>
        <v>#VALUE!</v>
      </c>
      <c r="R49" t="e">
        <f>AND('Planilla_General_07-12-2012_8_3'!N724,"AAAAAH3+3hE=")</f>
        <v>#VALUE!</v>
      </c>
      <c r="S49" t="e">
        <f>AND('Planilla_General_07-12-2012_8_3'!O724,"AAAAAH3+3hI=")</f>
        <v>#VALUE!</v>
      </c>
      <c r="T49" t="e">
        <f>AND('Planilla_General_07-12-2012_8_3'!P724,"AAAAAH3+3hM=")</f>
        <v>#VALUE!</v>
      </c>
      <c r="U49">
        <f>IF('Planilla_General_07-12-2012_8_3'!725:725,"AAAAAH3+3hQ=",0)</f>
        <v>0</v>
      </c>
      <c r="V49" t="e">
        <f>AND('Planilla_General_07-12-2012_8_3'!A725,"AAAAAH3+3hU=")</f>
        <v>#VALUE!</v>
      </c>
      <c r="W49" t="e">
        <f>AND('Planilla_General_07-12-2012_8_3'!B725,"AAAAAH3+3hY=")</f>
        <v>#VALUE!</v>
      </c>
      <c r="X49" t="e">
        <f>AND('Planilla_General_07-12-2012_8_3'!C725,"AAAAAH3+3hc=")</f>
        <v>#VALUE!</v>
      </c>
      <c r="Y49" t="e">
        <f>AND('Planilla_General_07-12-2012_8_3'!D725,"AAAAAH3+3hg=")</f>
        <v>#VALUE!</v>
      </c>
      <c r="Z49" t="e">
        <f>AND('Planilla_General_07-12-2012_8_3'!E725,"AAAAAH3+3hk=")</f>
        <v>#VALUE!</v>
      </c>
      <c r="AA49" t="e">
        <f>AND('Planilla_General_07-12-2012_8_3'!F725,"AAAAAH3+3ho=")</f>
        <v>#VALUE!</v>
      </c>
      <c r="AB49" t="e">
        <f>AND('Planilla_General_07-12-2012_8_3'!G725,"AAAAAH3+3hs=")</f>
        <v>#VALUE!</v>
      </c>
      <c r="AC49" t="e">
        <f>AND('Planilla_General_07-12-2012_8_3'!H725,"AAAAAH3+3hw=")</f>
        <v>#VALUE!</v>
      </c>
      <c r="AD49" t="e">
        <f>AND('Planilla_General_07-12-2012_8_3'!I725,"AAAAAH3+3h0=")</f>
        <v>#VALUE!</v>
      </c>
      <c r="AE49" t="e">
        <f>AND('Planilla_General_07-12-2012_8_3'!J725,"AAAAAH3+3h4=")</f>
        <v>#VALUE!</v>
      </c>
      <c r="AF49" t="e">
        <f>AND('Planilla_General_07-12-2012_8_3'!K725,"AAAAAH3+3h8=")</f>
        <v>#VALUE!</v>
      </c>
      <c r="AG49" t="e">
        <f>AND('Planilla_General_07-12-2012_8_3'!L725,"AAAAAH3+3iA=")</f>
        <v>#VALUE!</v>
      </c>
      <c r="AH49" t="e">
        <f>AND('Planilla_General_07-12-2012_8_3'!M725,"AAAAAH3+3iE=")</f>
        <v>#VALUE!</v>
      </c>
      <c r="AI49" t="e">
        <f>AND('Planilla_General_07-12-2012_8_3'!N725,"AAAAAH3+3iI=")</f>
        <v>#VALUE!</v>
      </c>
      <c r="AJ49" t="e">
        <f>AND('Planilla_General_07-12-2012_8_3'!O725,"AAAAAH3+3iM=")</f>
        <v>#VALUE!</v>
      </c>
      <c r="AK49" t="e">
        <f>AND('Planilla_General_07-12-2012_8_3'!P725,"AAAAAH3+3iQ=")</f>
        <v>#VALUE!</v>
      </c>
      <c r="AL49">
        <f>IF('Planilla_General_07-12-2012_8_3'!726:726,"AAAAAH3+3iU=",0)</f>
        <v>0</v>
      </c>
      <c r="AM49" t="e">
        <f>AND('Planilla_General_07-12-2012_8_3'!A726,"AAAAAH3+3iY=")</f>
        <v>#VALUE!</v>
      </c>
      <c r="AN49" t="e">
        <f>AND('Planilla_General_07-12-2012_8_3'!B726,"AAAAAH3+3ic=")</f>
        <v>#VALUE!</v>
      </c>
      <c r="AO49" t="e">
        <f>AND('Planilla_General_07-12-2012_8_3'!C726,"AAAAAH3+3ig=")</f>
        <v>#VALUE!</v>
      </c>
      <c r="AP49" t="e">
        <f>AND('Planilla_General_07-12-2012_8_3'!D726,"AAAAAH3+3ik=")</f>
        <v>#VALUE!</v>
      </c>
      <c r="AQ49" t="e">
        <f>AND('Planilla_General_07-12-2012_8_3'!E726,"AAAAAH3+3io=")</f>
        <v>#VALUE!</v>
      </c>
      <c r="AR49" t="e">
        <f>AND('Planilla_General_07-12-2012_8_3'!F726,"AAAAAH3+3is=")</f>
        <v>#VALUE!</v>
      </c>
      <c r="AS49" t="e">
        <f>AND('Planilla_General_07-12-2012_8_3'!G726,"AAAAAH3+3iw=")</f>
        <v>#VALUE!</v>
      </c>
      <c r="AT49" t="e">
        <f>AND('Planilla_General_07-12-2012_8_3'!H726,"AAAAAH3+3i0=")</f>
        <v>#VALUE!</v>
      </c>
      <c r="AU49" t="e">
        <f>AND('Planilla_General_07-12-2012_8_3'!I726,"AAAAAH3+3i4=")</f>
        <v>#VALUE!</v>
      </c>
      <c r="AV49" t="e">
        <f>AND('Planilla_General_07-12-2012_8_3'!J726,"AAAAAH3+3i8=")</f>
        <v>#VALUE!</v>
      </c>
      <c r="AW49" t="e">
        <f>AND('Planilla_General_07-12-2012_8_3'!K726,"AAAAAH3+3jA=")</f>
        <v>#VALUE!</v>
      </c>
      <c r="AX49" t="e">
        <f>AND('Planilla_General_07-12-2012_8_3'!L726,"AAAAAH3+3jE=")</f>
        <v>#VALUE!</v>
      </c>
      <c r="AY49" t="e">
        <f>AND('Planilla_General_07-12-2012_8_3'!M726,"AAAAAH3+3jI=")</f>
        <v>#VALUE!</v>
      </c>
      <c r="AZ49" t="e">
        <f>AND('Planilla_General_07-12-2012_8_3'!N726,"AAAAAH3+3jM=")</f>
        <v>#VALUE!</v>
      </c>
      <c r="BA49" t="e">
        <f>AND('Planilla_General_07-12-2012_8_3'!O726,"AAAAAH3+3jQ=")</f>
        <v>#VALUE!</v>
      </c>
      <c r="BB49" t="e">
        <f>AND('Planilla_General_07-12-2012_8_3'!P726,"AAAAAH3+3jU=")</f>
        <v>#VALUE!</v>
      </c>
      <c r="BC49">
        <f>IF('Planilla_General_07-12-2012_8_3'!727:727,"AAAAAH3+3jY=",0)</f>
        <v>0</v>
      </c>
      <c r="BD49" t="e">
        <f>AND('Planilla_General_07-12-2012_8_3'!A727,"AAAAAH3+3jc=")</f>
        <v>#VALUE!</v>
      </c>
      <c r="BE49" t="e">
        <f>AND('Planilla_General_07-12-2012_8_3'!B727,"AAAAAH3+3jg=")</f>
        <v>#VALUE!</v>
      </c>
      <c r="BF49" t="e">
        <f>AND('Planilla_General_07-12-2012_8_3'!C727,"AAAAAH3+3jk=")</f>
        <v>#VALUE!</v>
      </c>
      <c r="BG49" t="e">
        <f>AND('Planilla_General_07-12-2012_8_3'!D727,"AAAAAH3+3jo=")</f>
        <v>#VALUE!</v>
      </c>
      <c r="BH49" t="e">
        <f>AND('Planilla_General_07-12-2012_8_3'!E727,"AAAAAH3+3js=")</f>
        <v>#VALUE!</v>
      </c>
      <c r="BI49" t="e">
        <f>AND('Planilla_General_07-12-2012_8_3'!F727,"AAAAAH3+3jw=")</f>
        <v>#VALUE!</v>
      </c>
      <c r="BJ49" t="e">
        <f>AND('Planilla_General_07-12-2012_8_3'!G727,"AAAAAH3+3j0=")</f>
        <v>#VALUE!</v>
      </c>
      <c r="BK49" t="e">
        <f>AND('Planilla_General_07-12-2012_8_3'!H727,"AAAAAH3+3j4=")</f>
        <v>#VALUE!</v>
      </c>
      <c r="BL49" t="e">
        <f>AND('Planilla_General_07-12-2012_8_3'!I727,"AAAAAH3+3j8=")</f>
        <v>#VALUE!</v>
      </c>
      <c r="BM49" t="e">
        <f>AND('Planilla_General_07-12-2012_8_3'!J727,"AAAAAH3+3kA=")</f>
        <v>#VALUE!</v>
      </c>
      <c r="BN49" t="e">
        <f>AND('Planilla_General_07-12-2012_8_3'!K727,"AAAAAH3+3kE=")</f>
        <v>#VALUE!</v>
      </c>
      <c r="BO49" t="e">
        <f>AND('Planilla_General_07-12-2012_8_3'!L727,"AAAAAH3+3kI=")</f>
        <v>#VALUE!</v>
      </c>
      <c r="BP49" t="e">
        <f>AND('Planilla_General_07-12-2012_8_3'!M727,"AAAAAH3+3kM=")</f>
        <v>#VALUE!</v>
      </c>
      <c r="BQ49" t="e">
        <f>AND('Planilla_General_07-12-2012_8_3'!N727,"AAAAAH3+3kQ=")</f>
        <v>#VALUE!</v>
      </c>
      <c r="BR49" t="e">
        <f>AND('Planilla_General_07-12-2012_8_3'!O727,"AAAAAH3+3kU=")</f>
        <v>#VALUE!</v>
      </c>
      <c r="BS49" t="e">
        <f>AND('Planilla_General_07-12-2012_8_3'!P727,"AAAAAH3+3kY=")</f>
        <v>#VALUE!</v>
      </c>
      <c r="BT49">
        <f>IF('Planilla_General_07-12-2012_8_3'!728:728,"AAAAAH3+3kc=",0)</f>
        <v>0</v>
      </c>
      <c r="BU49" t="e">
        <f>AND('Planilla_General_07-12-2012_8_3'!A728,"AAAAAH3+3kg=")</f>
        <v>#VALUE!</v>
      </c>
      <c r="BV49" t="e">
        <f>AND('Planilla_General_07-12-2012_8_3'!B728,"AAAAAH3+3kk=")</f>
        <v>#VALUE!</v>
      </c>
      <c r="BW49" t="e">
        <f>AND('Planilla_General_07-12-2012_8_3'!C728,"AAAAAH3+3ko=")</f>
        <v>#VALUE!</v>
      </c>
      <c r="BX49" t="e">
        <f>AND('Planilla_General_07-12-2012_8_3'!D728,"AAAAAH3+3ks=")</f>
        <v>#VALUE!</v>
      </c>
      <c r="BY49" t="e">
        <f>AND('Planilla_General_07-12-2012_8_3'!E728,"AAAAAH3+3kw=")</f>
        <v>#VALUE!</v>
      </c>
      <c r="BZ49" t="e">
        <f>AND('Planilla_General_07-12-2012_8_3'!F728,"AAAAAH3+3k0=")</f>
        <v>#VALUE!</v>
      </c>
      <c r="CA49" t="e">
        <f>AND('Planilla_General_07-12-2012_8_3'!G728,"AAAAAH3+3k4=")</f>
        <v>#VALUE!</v>
      </c>
      <c r="CB49" t="e">
        <f>AND('Planilla_General_07-12-2012_8_3'!H728,"AAAAAH3+3k8=")</f>
        <v>#VALUE!</v>
      </c>
      <c r="CC49" t="e">
        <f>AND('Planilla_General_07-12-2012_8_3'!I728,"AAAAAH3+3lA=")</f>
        <v>#VALUE!</v>
      </c>
      <c r="CD49" t="e">
        <f>AND('Planilla_General_07-12-2012_8_3'!J728,"AAAAAH3+3lE=")</f>
        <v>#VALUE!</v>
      </c>
      <c r="CE49" t="e">
        <f>AND('Planilla_General_07-12-2012_8_3'!K728,"AAAAAH3+3lI=")</f>
        <v>#VALUE!</v>
      </c>
      <c r="CF49" t="e">
        <f>AND('Planilla_General_07-12-2012_8_3'!L728,"AAAAAH3+3lM=")</f>
        <v>#VALUE!</v>
      </c>
      <c r="CG49" t="e">
        <f>AND('Planilla_General_07-12-2012_8_3'!M728,"AAAAAH3+3lQ=")</f>
        <v>#VALUE!</v>
      </c>
      <c r="CH49" t="e">
        <f>AND('Planilla_General_07-12-2012_8_3'!N728,"AAAAAH3+3lU=")</f>
        <v>#VALUE!</v>
      </c>
      <c r="CI49" t="e">
        <f>AND('Planilla_General_07-12-2012_8_3'!O728,"AAAAAH3+3lY=")</f>
        <v>#VALUE!</v>
      </c>
      <c r="CJ49" t="e">
        <f>AND('Planilla_General_07-12-2012_8_3'!P728,"AAAAAH3+3lc=")</f>
        <v>#VALUE!</v>
      </c>
      <c r="CK49">
        <f>IF('Planilla_General_07-12-2012_8_3'!729:729,"AAAAAH3+3lg=",0)</f>
        <v>0</v>
      </c>
      <c r="CL49" t="e">
        <f>AND('Planilla_General_07-12-2012_8_3'!A729,"AAAAAH3+3lk=")</f>
        <v>#VALUE!</v>
      </c>
      <c r="CM49" t="e">
        <f>AND('Planilla_General_07-12-2012_8_3'!B729,"AAAAAH3+3lo=")</f>
        <v>#VALUE!</v>
      </c>
      <c r="CN49" t="e">
        <f>AND('Planilla_General_07-12-2012_8_3'!C729,"AAAAAH3+3ls=")</f>
        <v>#VALUE!</v>
      </c>
      <c r="CO49" t="e">
        <f>AND('Planilla_General_07-12-2012_8_3'!D729,"AAAAAH3+3lw=")</f>
        <v>#VALUE!</v>
      </c>
      <c r="CP49" t="e">
        <f>AND('Planilla_General_07-12-2012_8_3'!E729,"AAAAAH3+3l0=")</f>
        <v>#VALUE!</v>
      </c>
      <c r="CQ49" t="e">
        <f>AND('Planilla_General_07-12-2012_8_3'!F729,"AAAAAH3+3l4=")</f>
        <v>#VALUE!</v>
      </c>
      <c r="CR49" t="e">
        <f>AND('Planilla_General_07-12-2012_8_3'!G729,"AAAAAH3+3l8=")</f>
        <v>#VALUE!</v>
      </c>
      <c r="CS49" t="e">
        <f>AND('Planilla_General_07-12-2012_8_3'!H729,"AAAAAH3+3mA=")</f>
        <v>#VALUE!</v>
      </c>
      <c r="CT49" t="e">
        <f>AND('Planilla_General_07-12-2012_8_3'!I729,"AAAAAH3+3mE=")</f>
        <v>#VALUE!</v>
      </c>
      <c r="CU49" t="e">
        <f>AND('Planilla_General_07-12-2012_8_3'!J729,"AAAAAH3+3mI=")</f>
        <v>#VALUE!</v>
      </c>
      <c r="CV49" t="e">
        <f>AND('Planilla_General_07-12-2012_8_3'!K729,"AAAAAH3+3mM=")</f>
        <v>#VALUE!</v>
      </c>
      <c r="CW49" t="e">
        <f>AND('Planilla_General_07-12-2012_8_3'!L729,"AAAAAH3+3mQ=")</f>
        <v>#VALUE!</v>
      </c>
      <c r="CX49" t="e">
        <f>AND('Planilla_General_07-12-2012_8_3'!M729,"AAAAAH3+3mU=")</f>
        <v>#VALUE!</v>
      </c>
      <c r="CY49" t="e">
        <f>AND('Planilla_General_07-12-2012_8_3'!N729,"AAAAAH3+3mY=")</f>
        <v>#VALUE!</v>
      </c>
      <c r="CZ49" t="e">
        <f>AND('Planilla_General_07-12-2012_8_3'!O729,"AAAAAH3+3mc=")</f>
        <v>#VALUE!</v>
      </c>
      <c r="DA49" t="e">
        <f>AND('Planilla_General_07-12-2012_8_3'!P729,"AAAAAH3+3mg=")</f>
        <v>#VALUE!</v>
      </c>
      <c r="DB49">
        <f>IF('Planilla_General_07-12-2012_8_3'!730:730,"AAAAAH3+3mk=",0)</f>
        <v>0</v>
      </c>
      <c r="DC49" t="e">
        <f>AND('Planilla_General_07-12-2012_8_3'!A730,"AAAAAH3+3mo=")</f>
        <v>#VALUE!</v>
      </c>
      <c r="DD49" t="e">
        <f>AND('Planilla_General_07-12-2012_8_3'!B730,"AAAAAH3+3ms=")</f>
        <v>#VALUE!</v>
      </c>
      <c r="DE49" t="e">
        <f>AND('Planilla_General_07-12-2012_8_3'!C730,"AAAAAH3+3mw=")</f>
        <v>#VALUE!</v>
      </c>
      <c r="DF49" t="e">
        <f>AND('Planilla_General_07-12-2012_8_3'!D730,"AAAAAH3+3m0=")</f>
        <v>#VALUE!</v>
      </c>
      <c r="DG49" t="e">
        <f>AND('Planilla_General_07-12-2012_8_3'!E730,"AAAAAH3+3m4=")</f>
        <v>#VALUE!</v>
      </c>
      <c r="DH49" t="e">
        <f>AND('Planilla_General_07-12-2012_8_3'!F730,"AAAAAH3+3m8=")</f>
        <v>#VALUE!</v>
      </c>
      <c r="DI49" t="e">
        <f>AND('Planilla_General_07-12-2012_8_3'!G730,"AAAAAH3+3nA=")</f>
        <v>#VALUE!</v>
      </c>
      <c r="DJ49" t="e">
        <f>AND('Planilla_General_07-12-2012_8_3'!H730,"AAAAAH3+3nE=")</f>
        <v>#VALUE!</v>
      </c>
      <c r="DK49" t="e">
        <f>AND('Planilla_General_07-12-2012_8_3'!I730,"AAAAAH3+3nI=")</f>
        <v>#VALUE!</v>
      </c>
      <c r="DL49" t="e">
        <f>AND('Planilla_General_07-12-2012_8_3'!J730,"AAAAAH3+3nM=")</f>
        <v>#VALUE!</v>
      </c>
      <c r="DM49" t="e">
        <f>AND('Planilla_General_07-12-2012_8_3'!K730,"AAAAAH3+3nQ=")</f>
        <v>#VALUE!</v>
      </c>
      <c r="DN49" t="e">
        <f>AND('Planilla_General_07-12-2012_8_3'!L730,"AAAAAH3+3nU=")</f>
        <v>#VALUE!</v>
      </c>
      <c r="DO49" t="e">
        <f>AND('Planilla_General_07-12-2012_8_3'!M730,"AAAAAH3+3nY=")</f>
        <v>#VALUE!</v>
      </c>
      <c r="DP49" t="e">
        <f>AND('Planilla_General_07-12-2012_8_3'!N730,"AAAAAH3+3nc=")</f>
        <v>#VALUE!</v>
      </c>
      <c r="DQ49" t="e">
        <f>AND('Planilla_General_07-12-2012_8_3'!O730,"AAAAAH3+3ng=")</f>
        <v>#VALUE!</v>
      </c>
      <c r="DR49" t="e">
        <f>AND('Planilla_General_07-12-2012_8_3'!P730,"AAAAAH3+3nk=")</f>
        <v>#VALUE!</v>
      </c>
      <c r="DS49">
        <f>IF('Planilla_General_07-12-2012_8_3'!731:731,"AAAAAH3+3no=",0)</f>
        <v>0</v>
      </c>
      <c r="DT49" t="e">
        <f>AND('Planilla_General_07-12-2012_8_3'!A731,"AAAAAH3+3ns=")</f>
        <v>#VALUE!</v>
      </c>
      <c r="DU49" t="e">
        <f>AND('Planilla_General_07-12-2012_8_3'!B731,"AAAAAH3+3nw=")</f>
        <v>#VALUE!</v>
      </c>
      <c r="DV49" t="e">
        <f>AND('Planilla_General_07-12-2012_8_3'!C731,"AAAAAH3+3n0=")</f>
        <v>#VALUE!</v>
      </c>
      <c r="DW49" t="e">
        <f>AND('Planilla_General_07-12-2012_8_3'!D731,"AAAAAH3+3n4=")</f>
        <v>#VALUE!</v>
      </c>
      <c r="DX49" t="e">
        <f>AND('Planilla_General_07-12-2012_8_3'!E731,"AAAAAH3+3n8=")</f>
        <v>#VALUE!</v>
      </c>
      <c r="DY49" t="e">
        <f>AND('Planilla_General_07-12-2012_8_3'!F731,"AAAAAH3+3oA=")</f>
        <v>#VALUE!</v>
      </c>
      <c r="DZ49" t="e">
        <f>AND('Planilla_General_07-12-2012_8_3'!G731,"AAAAAH3+3oE=")</f>
        <v>#VALUE!</v>
      </c>
      <c r="EA49" t="e">
        <f>AND('Planilla_General_07-12-2012_8_3'!H731,"AAAAAH3+3oI=")</f>
        <v>#VALUE!</v>
      </c>
      <c r="EB49" t="e">
        <f>AND('Planilla_General_07-12-2012_8_3'!I731,"AAAAAH3+3oM=")</f>
        <v>#VALUE!</v>
      </c>
      <c r="EC49" t="e">
        <f>AND('Planilla_General_07-12-2012_8_3'!J731,"AAAAAH3+3oQ=")</f>
        <v>#VALUE!</v>
      </c>
      <c r="ED49" t="e">
        <f>AND('Planilla_General_07-12-2012_8_3'!K731,"AAAAAH3+3oU=")</f>
        <v>#VALUE!</v>
      </c>
      <c r="EE49" t="e">
        <f>AND('Planilla_General_07-12-2012_8_3'!L731,"AAAAAH3+3oY=")</f>
        <v>#VALUE!</v>
      </c>
      <c r="EF49" t="e">
        <f>AND('Planilla_General_07-12-2012_8_3'!M731,"AAAAAH3+3oc=")</f>
        <v>#VALUE!</v>
      </c>
      <c r="EG49" t="e">
        <f>AND('Planilla_General_07-12-2012_8_3'!N731,"AAAAAH3+3og=")</f>
        <v>#VALUE!</v>
      </c>
      <c r="EH49" t="e">
        <f>AND('Planilla_General_07-12-2012_8_3'!O731,"AAAAAH3+3ok=")</f>
        <v>#VALUE!</v>
      </c>
      <c r="EI49" t="e">
        <f>AND('Planilla_General_07-12-2012_8_3'!P731,"AAAAAH3+3oo=")</f>
        <v>#VALUE!</v>
      </c>
      <c r="EJ49">
        <f>IF('Planilla_General_07-12-2012_8_3'!732:732,"AAAAAH3+3os=",0)</f>
        <v>0</v>
      </c>
      <c r="EK49" t="e">
        <f>AND('Planilla_General_07-12-2012_8_3'!A732,"AAAAAH3+3ow=")</f>
        <v>#VALUE!</v>
      </c>
      <c r="EL49" t="e">
        <f>AND('Planilla_General_07-12-2012_8_3'!B732,"AAAAAH3+3o0=")</f>
        <v>#VALUE!</v>
      </c>
      <c r="EM49" t="e">
        <f>AND('Planilla_General_07-12-2012_8_3'!C732,"AAAAAH3+3o4=")</f>
        <v>#VALUE!</v>
      </c>
      <c r="EN49" t="e">
        <f>AND('Planilla_General_07-12-2012_8_3'!D732,"AAAAAH3+3o8=")</f>
        <v>#VALUE!</v>
      </c>
      <c r="EO49" t="e">
        <f>AND('Planilla_General_07-12-2012_8_3'!E732,"AAAAAH3+3pA=")</f>
        <v>#VALUE!</v>
      </c>
      <c r="EP49" t="e">
        <f>AND('Planilla_General_07-12-2012_8_3'!F732,"AAAAAH3+3pE=")</f>
        <v>#VALUE!</v>
      </c>
      <c r="EQ49" t="e">
        <f>AND('Planilla_General_07-12-2012_8_3'!G732,"AAAAAH3+3pI=")</f>
        <v>#VALUE!</v>
      </c>
      <c r="ER49" t="e">
        <f>AND('Planilla_General_07-12-2012_8_3'!H732,"AAAAAH3+3pM=")</f>
        <v>#VALUE!</v>
      </c>
      <c r="ES49" t="e">
        <f>AND('Planilla_General_07-12-2012_8_3'!I732,"AAAAAH3+3pQ=")</f>
        <v>#VALUE!</v>
      </c>
      <c r="ET49" t="e">
        <f>AND('Planilla_General_07-12-2012_8_3'!J732,"AAAAAH3+3pU=")</f>
        <v>#VALUE!</v>
      </c>
      <c r="EU49" t="e">
        <f>AND('Planilla_General_07-12-2012_8_3'!K732,"AAAAAH3+3pY=")</f>
        <v>#VALUE!</v>
      </c>
      <c r="EV49" t="e">
        <f>AND('Planilla_General_07-12-2012_8_3'!L732,"AAAAAH3+3pc=")</f>
        <v>#VALUE!</v>
      </c>
      <c r="EW49" t="e">
        <f>AND('Planilla_General_07-12-2012_8_3'!M732,"AAAAAH3+3pg=")</f>
        <v>#VALUE!</v>
      </c>
      <c r="EX49" t="e">
        <f>AND('Planilla_General_07-12-2012_8_3'!N732,"AAAAAH3+3pk=")</f>
        <v>#VALUE!</v>
      </c>
      <c r="EY49" t="e">
        <f>AND('Planilla_General_07-12-2012_8_3'!O732,"AAAAAH3+3po=")</f>
        <v>#VALUE!</v>
      </c>
      <c r="EZ49" t="e">
        <f>AND('Planilla_General_07-12-2012_8_3'!P732,"AAAAAH3+3ps=")</f>
        <v>#VALUE!</v>
      </c>
      <c r="FA49">
        <f>IF('Planilla_General_07-12-2012_8_3'!733:733,"AAAAAH3+3pw=",0)</f>
        <v>0</v>
      </c>
      <c r="FB49" t="e">
        <f>AND('Planilla_General_07-12-2012_8_3'!A733,"AAAAAH3+3p0=")</f>
        <v>#VALUE!</v>
      </c>
      <c r="FC49" t="e">
        <f>AND('Planilla_General_07-12-2012_8_3'!B733,"AAAAAH3+3p4=")</f>
        <v>#VALUE!</v>
      </c>
      <c r="FD49" t="e">
        <f>AND('Planilla_General_07-12-2012_8_3'!C733,"AAAAAH3+3p8=")</f>
        <v>#VALUE!</v>
      </c>
      <c r="FE49" t="e">
        <f>AND('Planilla_General_07-12-2012_8_3'!D733,"AAAAAH3+3qA=")</f>
        <v>#VALUE!</v>
      </c>
      <c r="FF49" t="e">
        <f>AND('Planilla_General_07-12-2012_8_3'!E733,"AAAAAH3+3qE=")</f>
        <v>#VALUE!</v>
      </c>
      <c r="FG49" t="e">
        <f>AND('Planilla_General_07-12-2012_8_3'!F733,"AAAAAH3+3qI=")</f>
        <v>#VALUE!</v>
      </c>
      <c r="FH49" t="e">
        <f>AND('Planilla_General_07-12-2012_8_3'!G733,"AAAAAH3+3qM=")</f>
        <v>#VALUE!</v>
      </c>
      <c r="FI49" t="e">
        <f>AND('Planilla_General_07-12-2012_8_3'!H733,"AAAAAH3+3qQ=")</f>
        <v>#VALUE!</v>
      </c>
      <c r="FJ49" t="e">
        <f>AND('Planilla_General_07-12-2012_8_3'!I733,"AAAAAH3+3qU=")</f>
        <v>#VALUE!</v>
      </c>
      <c r="FK49" t="e">
        <f>AND('Planilla_General_07-12-2012_8_3'!J733,"AAAAAH3+3qY=")</f>
        <v>#VALUE!</v>
      </c>
      <c r="FL49" t="e">
        <f>AND('Planilla_General_07-12-2012_8_3'!K733,"AAAAAH3+3qc=")</f>
        <v>#VALUE!</v>
      </c>
      <c r="FM49" t="e">
        <f>AND('Planilla_General_07-12-2012_8_3'!L733,"AAAAAH3+3qg=")</f>
        <v>#VALUE!</v>
      </c>
      <c r="FN49" t="e">
        <f>AND('Planilla_General_07-12-2012_8_3'!M733,"AAAAAH3+3qk=")</f>
        <v>#VALUE!</v>
      </c>
      <c r="FO49" t="e">
        <f>AND('Planilla_General_07-12-2012_8_3'!N733,"AAAAAH3+3qo=")</f>
        <v>#VALUE!</v>
      </c>
      <c r="FP49" t="e">
        <f>AND('Planilla_General_07-12-2012_8_3'!O733,"AAAAAH3+3qs=")</f>
        <v>#VALUE!</v>
      </c>
      <c r="FQ49" t="e">
        <f>AND('Planilla_General_07-12-2012_8_3'!P733,"AAAAAH3+3qw=")</f>
        <v>#VALUE!</v>
      </c>
      <c r="FR49">
        <f>IF('Planilla_General_07-12-2012_8_3'!734:734,"AAAAAH3+3q0=",0)</f>
        <v>0</v>
      </c>
      <c r="FS49" t="e">
        <f>AND('Planilla_General_07-12-2012_8_3'!A734,"AAAAAH3+3q4=")</f>
        <v>#VALUE!</v>
      </c>
      <c r="FT49" t="e">
        <f>AND('Planilla_General_07-12-2012_8_3'!B734,"AAAAAH3+3q8=")</f>
        <v>#VALUE!</v>
      </c>
      <c r="FU49" t="e">
        <f>AND('Planilla_General_07-12-2012_8_3'!C734,"AAAAAH3+3rA=")</f>
        <v>#VALUE!</v>
      </c>
      <c r="FV49" t="e">
        <f>AND('Planilla_General_07-12-2012_8_3'!D734,"AAAAAH3+3rE=")</f>
        <v>#VALUE!</v>
      </c>
      <c r="FW49" t="e">
        <f>AND('Planilla_General_07-12-2012_8_3'!E734,"AAAAAH3+3rI=")</f>
        <v>#VALUE!</v>
      </c>
      <c r="FX49" t="e">
        <f>AND('Planilla_General_07-12-2012_8_3'!F734,"AAAAAH3+3rM=")</f>
        <v>#VALUE!</v>
      </c>
      <c r="FY49" t="e">
        <f>AND('Planilla_General_07-12-2012_8_3'!G734,"AAAAAH3+3rQ=")</f>
        <v>#VALUE!</v>
      </c>
      <c r="FZ49" t="e">
        <f>AND('Planilla_General_07-12-2012_8_3'!H734,"AAAAAH3+3rU=")</f>
        <v>#VALUE!</v>
      </c>
      <c r="GA49" t="e">
        <f>AND('Planilla_General_07-12-2012_8_3'!I734,"AAAAAH3+3rY=")</f>
        <v>#VALUE!</v>
      </c>
      <c r="GB49" t="e">
        <f>AND('Planilla_General_07-12-2012_8_3'!J734,"AAAAAH3+3rc=")</f>
        <v>#VALUE!</v>
      </c>
      <c r="GC49" t="e">
        <f>AND('Planilla_General_07-12-2012_8_3'!K734,"AAAAAH3+3rg=")</f>
        <v>#VALUE!</v>
      </c>
      <c r="GD49" t="e">
        <f>AND('Planilla_General_07-12-2012_8_3'!L734,"AAAAAH3+3rk=")</f>
        <v>#VALUE!</v>
      </c>
      <c r="GE49" t="e">
        <f>AND('Planilla_General_07-12-2012_8_3'!M734,"AAAAAH3+3ro=")</f>
        <v>#VALUE!</v>
      </c>
      <c r="GF49" t="e">
        <f>AND('Planilla_General_07-12-2012_8_3'!N734,"AAAAAH3+3rs=")</f>
        <v>#VALUE!</v>
      </c>
      <c r="GG49" t="e">
        <f>AND('Planilla_General_07-12-2012_8_3'!O734,"AAAAAH3+3rw=")</f>
        <v>#VALUE!</v>
      </c>
      <c r="GH49" t="e">
        <f>AND('Planilla_General_07-12-2012_8_3'!P734,"AAAAAH3+3r0=")</f>
        <v>#VALUE!</v>
      </c>
      <c r="GI49">
        <f>IF('Planilla_General_07-12-2012_8_3'!735:735,"AAAAAH3+3r4=",0)</f>
        <v>0</v>
      </c>
      <c r="GJ49" t="e">
        <f>AND('Planilla_General_07-12-2012_8_3'!A735,"AAAAAH3+3r8=")</f>
        <v>#VALUE!</v>
      </c>
      <c r="GK49" t="e">
        <f>AND('Planilla_General_07-12-2012_8_3'!B735,"AAAAAH3+3sA=")</f>
        <v>#VALUE!</v>
      </c>
      <c r="GL49" t="e">
        <f>AND('Planilla_General_07-12-2012_8_3'!C735,"AAAAAH3+3sE=")</f>
        <v>#VALUE!</v>
      </c>
      <c r="GM49" t="e">
        <f>AND('Planilla_General_07-12-2012_8_3'!D735,"AAAAAH3+3sI=")</f>
        <v>#VALUE!</v>
      </c>
      <c r="GN49" t="e">
        <f>AND('Planilla_General_07-12-2012_8_3'!E735,"AAAAAH3+3sM=")</f>
        <v>#VALUE!</v>
      </c>
      <c r="GO49" t="e">
        <f>AND('Planilla_General_07-12-2012_8_3'!F735,"AAAAAH3+3sQ=")</f>
        <v>#VALUE!</v>
      </c>
      <c r="GP49" t="e">
        <f>AND('Planilla_General_07-12-2012_8_3'!G735,"AAAAAH3+3sU=")</f>
        <v>#VALUE!</v>
      </c>
      <c r="GQ49" t="e">
        <f>AND('Planilla_General_07-12-2012_8_3'!H735,"AAAAAH3+3sY=")</f>
        <v>#VALUE!</v>
      </c>
      <c r="GR49" t="e">
        <f>AND('Planilla_General_07-12-2012_8_3'!I735,"AAAAAH3+3sc=")</f>
        <v>#VALUE!</v>
      </c>
      <c r="GS49" t="e">
        <f>AND('Planilla_General_07-12-2012_8_3'!J735,"AAAAAH3+3sg=")</f>
        <v>#VALUE!</v>
      </c>
      <c r="GT49" t="e">
        <f>AND('Planilla_General_07-12-2012_8_3'!K735,"AAAAAH3+3sk=")</f>
        <v>#VALUE!</v>
      </c>
      <c r="GU49" t="e">
        <f>AND('Planilla_General_07-12-2012_8_3'!L735,"AAAAAH3+3so=")</f>
        <v>#VALUE!</v>
      </c>
      <c r="GV49" t="e">
        <f>AND('Planilla_General_07-12-2012_8_3'!M735,"AAAAAH3+3ss=")</f>
        <v>#VALUE!</v>
      </c>
      <c r="GW49" t="e">
        <f>AND('Planilla_General_07-12-2012_8_3'!N735,"AAAAAH3+3sw=")</f>
        <v>#VALUE!</v>
      </c>
      <c r="GX49" t="e">
        <f>AND('Planilla_General_07-12-2012_8_3'!O735,"AAAAAH3+3s0=")</f>
        <v>#VALUE!</v>
      </c>
      <c r="GY49" t="e">
        <f>AND('Planilla_General_07-12-2012_8_3'!P735,"AAAAAH3+3s4=")</f>
        <v>#VALUE!</v>
      </c>
      <c r="GZ49">
        <f>IF('Planilla_General_07-12-2012_8_3'!736:736,"AAAAAH3+3s8=",0)</f>
        <v>0</v>
      </c>
      <c r="HA49" t="e">
        <f>AND('Planilla_General_07-12-2012_8_3'!A736,"AAAAAH3+3tA=")</f>
        <v>#VALUE!</v>
      </c>
      <c r="HB49" t="e">
        <f>AND('Planilla_General_07-12-2012_8_3'!B736,"AAAAAH3+3tE=")</f>
        <v>#VALUE!</v>
      </c>
      <c r="HC49" t="e">
        <f>AND('Planilla_General_07-12-2012_8_3'!C736,"AAAAAH3+3tI=")</f>
        <v>#VALUE!</v>
      </c>
      <c r="HD49" t="e">
        <f>AND('Planilla_General_07-12-2012_8_3'!D736,"AAAAAH3+3tM=")</f>
        <v>#VALUE!</v>
      </c>
      <c r="HE49" t="e">
        <f>AND('Planilla_General_07-12-2012_8_3'!E736,"AAAAAH3+3tQ=")</f>
        <v>#VALUE!</v>
      </c>
      <c r="HF49" t="e">
        <f>AND('Planilla_General_07-12-2012_8_3'!F736,"AAAAAH3+3tU=")</f>
        <v>#VALUE!</v>
      </c>
      <c r="HG49" t="e">
        <f>AND('Planilla_General_07-12-2012_8_3'!G736,"AAAAAH3+3tY=")</f>
        <v>#VALUE!</v>
      </c>
      <c r="HH49" t="e">
        <f>AND('Planilla_General_07-12-2012_8_3'!H736,"AAAAAH3+3tc=")</f>
        <v>#VALUE!</v>
      </c>
      <c r="HI49" t="e">
        <f>AND('Planilla_General_07-12-2012_8_3'!I736,"AAAAAH3+3tg=")</f>
        <v>#VALUE!</v>
      </c>
      <c r="HJ49" t="e">
        <f>AND('Planilla_General_07-12-2012_8_3'!J736,"AAAAAH3+3tk=")</f>
        <v>#VALUE!</v>
      </c>
      <c r="HK49" t="e">
        <f>AND('Planilla_General_07-12-2012_8_3'!K736,"AAAAAH3+3to=")</f>
        <v>#VALUE!</v>
      </c>
      <c r="HL49" t="e">
        <f>AND('Planilla_General_07-12-2012_8_3'!L736,"AAAAAH3+3ts=")</f>
        <v>#VALUE!</v>
      </c>
      <c r="HM49" t="e">
        <f>AND('Planilla_General_07-12-2012_8_3'!M736,"AAAAAH3+3tw=")</f>
        <v>#VALUE!</v>
      </c>
      <c r="HN49" t="e">
        <f>AND('Planilla_General_07-12-2012_8_3'!N736,"AAAAAH3+3t0=")</f>
        <v>#VALUE!</v>
      </c>
      <c r="HO49" t="e">
        <f>AND('Planilla_General_07-12-2012_8_3'!O736,"AAAAAH3+3t4=")</f>
        <v>#VALUE!</v>
      </c>
      <c r="HP49" t="e">
        <f>AND('Planilla_General_07-12-2012_8_3'!P736,"AAAAAH3+3t8=")</f>
        <v>#VALUE!</v>
      </c>
      <c r="HQ49">
        <f>IF('Planilla_General_07-12-2012_8_3'!737:737,"AAAAAH3+3uA=",0)</f>
        <v>0</v>
      </c>
      <c r="HR49" t="e">
        <f>AND('Planilla_General_07-12-2012_8_3'!A737,"AAAAAH3+3uE=")</f>
        <v>#VALUE!</v>
      </c>
      <c r="HS49" t="e">
        <f>AND('Planilla_General_07-12-2012_8_3'!B737,"AAAAAH3+3uI=")</f>
        <v>#VALUE!</v>
      </c>
      <c r="HT49" t="e">
        <f>AND('Planilla_General_07-12-2012_8_3'!C737,"AAAAAH3+3uM=")</f>
        <v>#VALUE!</v>
      </c>
      <c r="HU49" t="e">
        <f>AND('Planilla_General_07-12-2012_8_3'!D737,"AAAAAH3+3uQ=")</f>
        <v>#VALUE!</v>
      </c>
      <c r="HV49" t="e">
        <f>AND('Planilla_General_07-12-2012_8_3'!E737,"AAAAAH3+3uU=")</f>
        <v>#VALUE!</v>
      </c>
      <c r="HW49" t="e">
        <f>AND('Planilla_General_07-12-2012_8_3'!F737,"AAAAAH3+3uY=")</f>
        <v>#VALUE!</v>
      </c>
      <c r="HX49" t="e">
        <f>AND('Planilla_General_07-12-2012_8_3'!G737,"AAAAAH3+3uc=")</f>
        <v>#VALUE!</v>
      </c>
      <c r="HY49" t="e">
        <f>AND('Planilla_General_07-12-2012_8_3'!H737,"AAAAAH3+3ug=")</f>
        <v>#VALUE!</v>
      </c>
      <c r="HZ49" t="e">
        <f>AND('Planilla_General_07-12-2012_8_3'!I737,"AAAAAH3+3uk=")</f>
        <v>#VALUE!</v>
      </c>
      <c r="IA49" t="e">
        <f>AND('Planilla_General_07-12-2012_8_3'!J737,"AAAAAH3+3uo=")</f>
        <v>#VALUE!</v>
      </c>
      <c r="IB49" t="e">
        <f>AND('Planilla_General_07-12-2012_8_3'!K737,"AAAAAH3+3us=")</f>
        <v>#VALUE!</v>
      </c>
      <c r="IC49" t="e">
        <f>AND('Planilla_General_07-12-2012_8_3'!L737,"AAAAAH3+3uw=")</f>
        <v>#VALUE!</v>
      </c>
      <c r="ID49" t="e">
        <f>AND('Planilla_General_07-12-2012_8_3'!M737,"AAAAAH3+3u0=")</f>
        <v>#VALUE!</v>
      </c>
      <c r="IE49" t="e">
        <f>AND('Planilla_General_07-12-2012_8_3'!N737,"AAAAAH3+3u4=")</f>
        <v>#VALUE!</v>
      </c>
      <c r="IF49" t="e">
        <f>AND('Planilla_General_07-12-2012_8_3'!O737,"AAAAAH3+3u8=")</f>
        <v>#VALUE!</v>
      </c>
      <c r="IG49" t="e">
        <f>AND('Planilla_General_07-12-2012_8_3'!P737,"AAAAAH3+3vA=")</f>
        <v>#VALUE!</v>
      </c>
      <c r="IH49">
        <f>IF('Planilla_General_07-12-2012_8_3'!738:738,"AAAAAH3+3vE=",0)</f>
        <v>0</v>
      </c>
      <c r="II49" t="e">
        <f>AND('Planilla_General_07-12-2012_8_3'!A738,"AAAAAH3+3vI=")</f>
        <v>#VALUE!</v>
      </c>
      <c r="IJ49" t="e">
        <f>AND('Planilla_General_07-12-2012_8_3'!B738,"AAAAAH3+3vM=")</f>
        <v>#VALUE!</v>
      </c>
      <c r="IK49" t="e">
        <f>AND('Planilla_General_07-12-2012_8_3'!C738,"AAAAAH3+3vQ=")</f>
        <v>#VALUE!</v>
      </c>
      <c r="IL49" t="e">
        <f>AND('Planilla_General_07-12-2012_8_3'!D738,"AAAAAH3+3vU=")</f>
        <v>#VALUE!</v>
      </c>
      <c r="IM49" t="e">
        <f>AND('Planilla_General_07-12-2012_8_3'!E738,"AAAAAH3+3vY=")</f>
        <v>#VALUE!</v>
      </c>
      <c r="IN49" t="e">
        <f>AND('Planilla_General_07-12-2012_8_3'!F738,"AAAAAH3+3vc=")</f>
        <v>#VALUE!</v>
      </c>
      <c r="IO49" t="e">
        <f>AND('Planilla_General_07-12-2012_8_3'!G738,"AAAAAH3+3vg=")</f>
        <v>#VALUE!</v>
      </c>
      <c r="IP49" t="e">
        <f>AND('Planilla_General_07-12-2012_8_3'!H738,"AAAAAH3+3vk=")</f>
        <v>#VALUE!</v>
      </c>
      <c r="IQ49" t="e">
        <f>AND('Planilla_General_07-12-2012_8_3'!I738,"AAAAAH3+3vo=")</f>
        <v>#VALUE!</v>
      </c>
      <c r="IR49" t="e">
        <f>AND('Planilla_General_07-12-2012_8_3'!J738,"AAAAAH3+3vs=")</f>
        <v>#VALUE!</v>
      </c>
      <c r="IS49" t="e">
        <f>AND('Planilla_General_07-12-2012_8_3'!K738,"AAAAAH3+3vw=")</f>
        <v>#VALUE!</v>
      </c>
      <c r="IT49" t="e">
        <f>AND('Planilla_General_07-12-2012_8_3'!L738,"AAAAAH3+3v0=")</f>
        <v>#VALUE!</v>
      </c>
      <c r="IU49" t="e">
        <f>AND('Planilla_General_07-12-2012_8_3'!M738,"AAAAAH3+3v4=")</f>
        <v>#VALUE!</v>
      </c>
      <c r="IV49" t="e">
        <f>AND('Planilla_General_07-12-2012_8_3'!N738,"AAAAAH3+3v8=")</f>
        <v>#VALUE!</v>
      </c>
    </row>
    <row r="50" spans="1:256" x14ac:dyDescent="0.25">
      <c r="A50" t="e">
        <f>AND('Planilla_General_07-12-2012_8_3'!O738,"AAAAAH/3NgA=")</f>
        <v>#VALUE!</v>
      </c>
      <c r="B50" t="e">
        <f>AND('Planilla_General_07-12-2012_8_3'!P738,"AAAAAH/3NgE=")</f>
        <v>#VALUE!</v>
      </c>
      <c r="C50" t="str">
        <f>IF('Planilla_General_07-12-2012_8_3'!739:739,"AAAAAH/3NgI=",0)</f>
        <v>AAAAAH/3NgI=</v>
      </c>
      <c r="D50" t="e">
        <f>AND('Planilla_General_07-12-2012_8_3'!A739,"AAAAAH/3NgM=")</f>
        <v>#VALUE!</v>
      </c>
      <c r="E50" t="e">
        <f>AND('Planilla_General_07-12-2012_8_3'!B739,"AAAAAH/3NgQ=")</f>
        <v>#VALUE!</v>
      </c>
      <c r="F50" t="e">
        <f>AND('Planilla_General_07-12-2012_8_3'!C739,"AAAAAH/3NgU=")</f>
        <v>#VALUE!</v>
      </c>
      <c r="G50" t="e">
        <f>AND('Planilla_General_07-12-2012_8_3'!D739,"AAAAAH/3NgY=")</f>
        <v>#VALUE!</v>
      </c>
      <c r="H50" t="e">
        <f>AND('Planilla_General_07-12-2012_8_3'!E739,"AAAAAH/3Ngc=")</f>
        <v>#VALUE!</v>
      </c>
      <c r="I50" t="e">
        <f>AND('Planilla_General_07-12-2012_8_3'!F739,"AAAAAH/3Ngg=")</f>
        <v>#VALUE!</v>
      </c>
      <c r="J50" t="e">
        <f>AND('Planilla_General_07-12-2012_8_3'!G739,"AAAAAH/3Ngk=")</f>
        <v>#VALUE!</v>
      </c>
      <c r="K50" t="e">
        <f>AND('Planilla_General_07-12-2012_8_3'!H739,"AAAAAH/3Ngo=")</f>
        <v>#VALUE!</v>
      </c>
      <c r="L50" t="e">
        <f>AND('Planilla_General_07-12-2012_8_3'!I739,"AAAAAH/3Ngs=")</f>
        <v>#VALUE!</v>
      </c>
      <c r="M50" t="e">
        <f>AND('Planilla_General_07-12-2012_8_3'!J739,"AAAAAH/3Ngw=")</f>
        <v>#VALUE!</v>
      </c>
      <c r="N50" t="e">
        <f>AND('Planilla_General_07-12-2012_8_3'!K739,"AAAAAH/3Ng0=")</f>
        <v>#VALUE!</v>
      </c>
      <c r="O50" t="e">
        <f>AND('Planilla_General_07-12-2012_8_3'!L739,"AAAAAH/3Ng4=")</f>
        <v>#VALUE!</v>
      </c>
      <c r="P50" t="e">
        <f>AND('Planilla_General_07-12-2012_8_3'!M739,"AAAAAH/3Ng8=")</f>
        <v>#VALUE!</v>
      </c>
      <c r="Q50" t="e">
        <f>AND('Planilla_General_07-12-2012_8_3'!N739,"AAAAAH/3NhA=")</f>
        <v>#VALUE!</v>
      </c>
      <c r="R50" t="e">
        <f>AND('Planilla_General_07-12-2012_8_3'!O739,"AAAAAH/3NhE=")</f>
        <v>#VALUE!</v>
      </c>
      <c r="S50" t="e">
        <f>AND('Planilla_General_07-12-2012_8_3'!P739,"AAAAAH/3NhI=")</f>
        <v>#VALUE!</v>
      </c>
      <c r="T50">
        <f>IF('Planilla_General_07-12-2012_8_3'!740:740,"AAAAAH/3NhM=",0)</f>
        <v>0</v>
      </c>
      <c r="U50" t="e">
        <f>AND('Planilla_General_07-12-2012_8_3'!A740,"AAAAAH/3NhQ=")</f>
        <v>#VALUE!</v>
      </c>
      <c r="V50" t="e">
        <f>AND('Planilla_General_07-12-2012_8_3'!B740,"AAAAAH/3NhU=")</f>
        <v>#VALUE!</v>
      </c>
      <c r="W50" t="e">
        <f>AND('Planilla_General_07-12-2012_8_3'!C740,"AAAAAH/3NhY=")</f>
        <v>#VALUE!</v>
      </c>
      <c r="X50" t="e">
        <f>AND('Planilla_General_07-12-2012_8_3'!D740,"AAAAAH/3Nhc=")</f>
        <v>#VALUE!</v>
      </c>
      <c r="Y50" t="e">
        <f>AND('Planilla_General_07-12-2012_8_3'!E740,"AAAAAH/3Nhg=")</f>
        <v>#VALUE!</v>
      </c>
      <c r="Z50" t="e">
        <f>AND('Planilla_General_07-12-2012_8_3'!F740,"AAAAAH/3Nhk=")</f>
        <v>#VALUE!</v>
      </c>
      <c r="AA50" t="e">
        <f>AND('Planilla_General_07-12-2012_8_3'!G740,"AAAAAH/3Nho=")</f>
        <v>#VALUE!</v>
      </c>
      <c r="AB50" t="e">
        <f>AND('Planilla_General_07-12-2012_8_3'!H740,"AAAAAH/3Nhs=")</f>
        <v>#VALUE!</v>
      </c>
      <c r="AC50" t="e">
        <f>AND('Planilla_General_07-12-2012_8_3'!I740,"AAAAAH/3Nhw=")</f>
        <v>#VALUE!</v>
      </c>
      <c r="AD50" t="e">
        <f>AND('Planilla_General_07-12-2012_8_3'!J740,"AAAAAH/3Nh0=")</f>
        <v>#VALUE!</v>
      </c>
      <c r="AE50" t="e">
        <f>AND('Planilla_General_07-12-2012_8_3'!K740,"AAAAAH/3Nh4=")</f>
        <v>#VALUE!</v>
      </c>
      <c r="AF50" t="e">
        <f>AND('Planilla_General_07-12-2012_8_3'!L740,"AAAAAH/3Nh8=")</f>
        <v>#VALUE!</v>
      </c>
      <c r="AG50" t="e">
        <f>AND('Planilla_General_07-12-2012_8_3'!M740,"AAAAAH/3NiA=")</f>
        <v>#VALUE!</v>
      </c>
      <c r="AH50" t="e">
        <f>AND('Planilla_General_07-12-2012_8_3'!N740,"AAAAAH/3NiE=")</f>
        <v>#VALUE!</v>
      </c>
      <c r="AI50" t="e">
        <f>AND('Planilla_General_07-12-2012_8_3'!O740,"AAAAAH/3NiI=")</f>
        <v>#VALUE!</v>
      </c>
      <c r="AJ50" t="e">
        <f>AND('Planilla_General_07-12-2012_8_3'!P740,"AAAAAH/3NiM=")</f>
        <v>#VALUE!</v>
      </c>
      <c r="AK50">
        <f>IF('Planilla_General_07-12-2012_8_3'!741:741,"AAAAAH/3NiQ=",0)</f>
        <v>0</v>
      </c>
      <c r="AL50" t="e">
        <f>AND('Planilla_General_07-12-2012_8_3'!A741,"AAAAAH/3NiU=")</f>
        <v>#VALUE!</v>
      </c>
      <c r="AM50" t="e">
        <f>AND('Planilla_General_07-12-2012_8_3'!B741,"AAAAAH/3NiY=")</f>
        <v>#VALUE!</v>
      </c>
      <c r="AN50" t="e">
        <f>AND('Planilla_General_07-12-2012_8_3'!C741,"AAAAAH/3Nic=")</f>
        <v>#VALUE!</v>
      </c>
      <c r="AO50" t="e">
        <f>AND('Planilla_General_07-12-2012_8_3'!D741,"AAAAAH/3Nig=")</f>
        <v>#VALUE!</v>
      </c>
      <c r="AP50" t="e">
        <f>AND('Planilla_General_07-12-2012_8_3'!E741,"AAAAAH/3Nik=")</f>
        <v>#VALUE!</v>
      </c>
      <c r="AQ50" t="e">
        <f>AND('Planilla_General_07-12-2012_8_3'!F741,"AAAAAH/3Nio=")</f>
        <v>#VALUE!</v>
      </c>
      <c r="AR50" t="e">
        <f>AND('Planilla_General_07-12-2012_8_3'!G741,"AAAAAH/3Nis=")</f>
        <v>#VALUE!</v>
      </c>
      <c r="AS50" t="e">
        <f>AND('Planilla_General_07-12-2012_8_3'!H741,"AAAAAH/3Niw=")</f>
        <v>#VALUE!</v>
      </c>
      <c r="AT50" t="e">
        <f>AND('Planilla_General_07-12-2012_8_3'!I741,"AAAAAH/3Ni0=")</f>
        <v>#VALUE!</v>
      </c>
      <c r="AU50" t="e">
        <f>AND('Planilla_General_07-12-2012_8_3'!J741,"AAAAAH/3Ni4=")</f>
        <v>#VALUE!</v>
      </c>
      <c r="AV50" t="e">
        <f>AND('Planilla_General_07-12-2012_8_3'!K741,"AAAAAH/3Ni8=")</f>
        <v>#VALUE!</v>
      </c>
      <c r="AW50" t="e">
        <f>AND('Planilla_General_07-12-2012_8_3'!L741,"AAAAAH/3NjA=")</f>
        <v>#VALUE!</v>
      </c>
      <c r="AX50" t="e">
        <f>AND('Planilla_General_07-12-2012_8_3'!M741,"AAAAAH/3NjE=")</f>
        <v>#VALUE!</v>
      </c>
      <c r="AY50" t="e">
        <f>AND('Planilla_General_07-12-2012_8_3'!N741,"AAAAAH/3NjI=")</f>
        <v>#VALUE!</v>
      </c>
      <c r="AZ50" t="e">
        <f>AND('Planilla_General_07-12-2012_8_3'!O741,"AAAAAH/3NjM=")</f>
        <v>#VALUE!</v>
      </c>
      <c r="BA50" t="e">
        <f>AND('Planilla_General_07-12-2012_8_3'!P741,"AAAAAH/3NjQ=")</f>
        <v>#VALUE!</v>
      </c>
      <c r="BB50">
        <f>IF('Planilla_General_07-12-2012_8_3'!742:742,"AAAAAH/3NjU=",0)</f>
        <v>0</v>
      </c>
      <c r="BC50" t="e">
        <f>AND('Planilla_General_07-12-2012_8_3'!A742,"AAAAAH/3NjY=")</f>
        <v>#VALUE!</v>
      </c>
      <c r="BD50" t="e">
        <f>AND('Planilla_General_07-12-2012_8_3'!B742,"AAAAAH/3Njc=")</f>
        <v>#VALUE!</v>
      </c>
      <c r="BE50" t="e">
        <f>AND('Planilla_General_07-12-2012_8_3'!C742,"AAAAAH/3Njg=")</f>
        <v>#VALUE!</v>
      </c>
      <c r="BF50" t="e">
        <f>AND('Planilla_General_07-12-2012_8_3'!D742,"AAAAAH/3Njk=")</f>
        <v>#VALUE!</v>
      </c>
      <c r="BG50" t="e">
        <f>AND('Planilla_General_07-12-2012_8_3'!E742,"AAAAAH/3Njo=")</f>
        <v>#VALUE!</v>
      </c>
      <c r="BH50" t="e">
        <f>AND('Planilla_General_07-12-2012_8_3'!F742,"AAAAAH/3Njs=")</f>
        <v>#VALUE!</v>
      </c>
      <c r="BI50" t="e">
        <f>AND('Planilla_General_07-12-2012_8_3'!G742,"AAAAAH/3Njw=")</f>
        <v>#VALUE!</v>
      </c>
      <c r="BJ50" t="e">
        <f>AND('Planilla_General_07-12-2012_8_3'!H742,"AAAAAH/3Nj0=")</f>
        <v>#VALUE!</v>
      </c>
      <c r="BK50" t="e">
        <f>AND('Planilla_General_07-12-2012_8_3'!I742,"AAAAAH/3Nj4=")</f>
        <v>#VALUE!</v>
      </c>
      <c r="BL50" t="e">
        <f>AND('Planilla_General_07-12-2012_8_3'!J742,"AAAAAH/3Nj8=")</f>
        <v>#VALUE!</v>
      </c>
      <c r="BM50" t="e">
        <f>AND('Planilla_General_07-12-2012_8_3'!K742,"AAAAAH/3NkA=")</f>
        <v>#VALUE!</v>
      </c>
      <c r="BN50" t="e">
        <f>AND('Planilla_General_07-12-2012_8_3'!L742,"AAAAAH/3NkE=")</f>
        <v>#VALUE!</v>
      </c>
      <c r="BO50" t="e">
        <f>AND('Planilla_General_07-12-2012_8_3'!M742,"AAAAAH/3NkI=")</f>
        <v>#VALUE!</v>
      </c>
      <c r="BP50" t="e">
        <f>AND('Planilla_General_07-12-2012_8_3'!N742,"AAAAAH/3NkM=")</f>
        <v>#VALUE!</v>
      </c>
      <c r="BQ50" t="e">
        <f>AND('Planilla_General_07-12-2012_8_3'!O742,"AAAAAH/3NkQ=")</f>
        <v>#VALUE!</v>
      </c>
      <c r="BR50" t="e">
        <f>AND('Planilla_General_07-12-2012_8_3'!P742,"AAAAAH/3NkU=")</f>
        <v>#VALUE!</v>
      </c>
      <c r="BS50">
        <f>IF('Planilla_General_07-12-2012_8_3'!743:743,"AAAAAH/3NkY=",0)</f>
        <v>0</v>
      </c>
      <c r="BT50" t="e">
        <f>AND('Planilla_General_07-12-2012_8_3'!A743,"AAAAAH/3Nkc=")</f>
        <v>#VALUE!</v>
      </c>
      <c r="BU50" t="e">
        <f>AND('Planilla_General_07-12-2012_8_3'!B743,"AAAAAH/3Nkg=")</f>
        <v>#VALUE!</v>
      </c>
      <c r="BV50" t="e">
        <f>AND('Planilla_General_07-12-2012_8_3'!C743,"AAAAAH/3Nkk=")</f>
        <v>#VALUE!</v>
      </c>
      <c r="BW50" t="e">
        <f>AND('Planilla_General_07-12-2012_8_3'!D743,"AAAAAH/3Nko=")</f>
        <v>#VALUE!</v>
      </c>
      <c r="BX50" t="e">
        <f>AND('Planilla_General_07-12-2012_8_3'!E743,"AAAAAH/3Nks=")</f>
        <v>#VALUE!</v>
      </c>
      <c r="BY50" t="e">
        <f>AND('Planilla_General_07-12-2012_8_3'!F743,"AAAAAH/3Nkw=")</f>
        <v>#VALUE!</v>
      </c>
      <c r="BZ50" t="e">
        <f>AND('Planilla_General_07-12-2012_8_3'!G743,"AAAAAH/3Nk0=")</f>
        <v>#VALUE!</v>
      </c>
      <c r="CA50" t="e">
        <f>AND('Planilla_General_07-12-2012_8_3'!H743,"AAAAAH/3Nk4=")</f>
        <v>#VALUE!</v>
      </c>
      <c r="CB50" t="e">
        <f>AND('Planilla_General_07-12-2012_8_3'!I743,"AAAAAH/3Nk8=")</f>
        <v>#VALUE!</v>
      </c>
      <c r="CC50" t="e">
        <f>AND('Planilla_General_07-12-2012_8_3'!J743,"AAAAAH/3NlA=")</f>
        <v>#VALUE!</v>
      </c>
      <c r="CD50" t="e">
        <f>AND('Planilla_General_07-12-2012_8_3'!K743,"AAAAAH/3NlE=")</f>
        <v>#VALUE!</v>
      </c>
      <c r="CE50" t="e">
        <f>AND('Planilla_General_07-12-2012_8_3'!L743,"AAAAAH/3NlI=")</f>
        <v>#VALUE!</v>
      </c>
      <c r="CF50" t="e">
        <f>AND('Planilla_General_07-12-2012_8_3'!M743,"AAAAAH/3NlM=")</f>
        <v>#VALUE!</v>
      </c>
      <c r="CG50" t="e">
        <f>AND('Planilla_General_07-12-2012_8_3'!N743,"AAAAAH/3NlQ=")</f>
        <v>#VALUE!</v>
      </c>
      <c r="CH50" t="e">
        <f>AND('Planilla_General_07-12-2012_8_3'!O743,"AAAAAH/3NlU=")</f>
        <v>#VALUE!</v>
      </c>
      <c r="CI50" t="e">
        <f>AND('Planilla_General_07-12-2012_8_3'!P743,"AAAAAH/3NlY=")</f>
        <v>#VALUE!</v>
      </c>
      <c r="CJ50">
        <f>IF('Planilla_General_07-12-2012_8_3'!744:744,"AAAAAH/3Nlc=",0)</f>
        <v>0</v>
      </c>
      <c r="CK50" t="e">
        <f>AND('Planilla_General_07-12-2012_8_3'!A744,"AAAAAH/3Nlg=")</f>
        <v>#VALUE!</v>
      </c>
      <c r="CL50" t="e">
        <f>AND('Planilla_General_07-12-2012_8_3'!B744,"AAAAAH/3Nlk=")</f>
        <v>#VALUE!</v>
      </c>
      <c r="CM50" t="e">
        <f>AND('Planilla_General_07-12-2012_8_3'!C744,"AAAAAH/3Nlo=")</f>
        <v>#VALUE!</v>
      </c>
      <c r="CN50" t="e">
        <f>AND('Planilla_General_07-12-2012_8_3'!D744,"AAAAAH/3Nls=")</f>
        <v>#VALUE!</v>
      </c>
      <c r="CO50" t="e">
        <f>AND('Planilla_General_07-12-2012_8_3'!E744,"AAAAAH/3Nlw=")</f>
        <v>#VALUE!</v>
      </c>
      <c r="CP50" t="e">
        <f>AND('Planilla_General_07-12-2012_8_3'!F744,"AAAAAH/3Nl0=")</f>
        <v>#VALUE!</v>
      </c>
      <c r="CQ50" t="e">
        <f>AND('Planilla_General_07-12-2012_8_3'!G744,"AAAAAH/3Nl4=")</f>
        <v>#VALUE!</v>
      </c>
      <c r="CR50" t="e">
        <f>AND('Planilla_General_07-12-2012_8_3'!H744,"AAAAAH/3Nl8=")</f>
        <v>#VALUE!</v>
      </c>
      <c r="CS50" t="e">
        <f>AND('Planilla_General_07-12-2012_8_3'!I744,"AAAAAH/3NmA=")</f>
        <v>#VALUE!</v>
      </c>
      <c r="CT50" t="e">
        <f>AND('Planilla_General_07-12-2012_8_3'!J744,"AAAAAH/3NmE=")</f>
        <v>#VALUE!</v>
      </c>
      <c r="CU50" t="e">
        <f>AND('Planilla_General_07-12-2012_8_3'!K744,"AAAAAH/3NmI=")</f>
        <v>#VALUE!</v>
      </c>
      <c r="CV50" t="e">
        <f>AND('Planilla_General_07-12-2012_8_3'!L744,"AAAAAH/3NmM=")</f>
        <v>#VALUE!</v>
      </c>
      <c r="CW50" t="e">
        <f>AND('Planilla_General_07-12-2012_8_3'!M744,"AAAAAH/3NmQ=")</f>
        <v>#VALUE!</v>
      </c>
      <c r="CX50" t="e">
        <f>AND('Planilla_General_07-12-2012_8_3'!N744,"AAAAAH/3NmU=")</f>
        <v>#VALUE!</v>
      </c>
      <c r="CY50" t="e">
        <f>AND('Planilla_General_07-12-2012_8_3'!O744,"AAAAAH/3NmY=")</f>
        <v>#VALUE!</v>
      </c>
      <c r="CZ50" t="e">
        <f>AND('Planilla_General_07-12-2012_8_3'!P744,"AAAAAH/3Nmc=")</f>
        <v>#VALUE!</v>
      </c>
      <c r="DA50">
        <f>IF('Planilla_General_07-12-2012_8_3'!745:745,"AAAAAH/3Nmg=",0)</f>
        <v>0</v>
      </c>
      <c r="DB50" t="e">
        <f>AND('Planilla_General_07-12-2012_8_3'!A745,"AAAAAH/3Nmk=")</f>
        <v>#VALUE!</v>
      </c>
      <c r="DC50" t="e">
        <f>AND('Planilla_General_07-12-2012_8_3'!B745,"AAAAAH/3Nmo=")</f>
        <v>#VALUE!</v>
      </c>
      <c r="DD50" t="e">
        <f>AND('Planilla_General_07-12-2012_8_3'!C745,"AAAAAH/3Nms=")</f>
        <v>#VALUE!</v>
      </c>
      <c r="DE50" t="e">
        <f>AND('Planilla_General_07-12-2012_8_3'!D745,"AAAAAH/3Nmw=")</f>
        <v>#VALUE!</v>
      </c>
      <c r="DF50" t="e">
        <f>AND('Planilla_General_07-12-2012_8_3'!E745,"AAAAAH/3Nm0=")</f>
        <v>#VALUE!</v>
      </c>
      <c r="DG50" t="e">
        <f>AND('Planilla_General_07-12-2012_8_3'!F745,"AAAAAH/3Nm4=")</f>
        <v>#VALUE!</v>
      </c>
      <c r="DH50" t="e">
        <f>AND('Planilla_General_07-12-2012_8_3'!G745,"AAAAAH/3Nm8=")</f>
        <v>#VALUE!</v>
      </c>
      <c r="DI50" t="e">
        <f>AND('Planilla_General_07-12-2012_8_3'!H745,"AAAAAH/3NnA=")</f>
        <v>#VALUE!</v>
      </c>
      <c r="DJ50" t="e">
        <f>AND('Planilla_General_07-12-2012_8_3'!I745,"AAAAAH/3NnE=")</f>
        <v>#VALUE!</v>
      </c>
      <c r="DK50" t="e">
        <f>AND('Planilla_General_07-12-2012_8_3'!J745,"AAAAAH/3NnI=")</f>
        <v>#VALUE!</v>
      </c>
      <c r="DL50" t="e">
        <f>AND('Planilla_General_07-12-2012_8_3'!K745,"AAAAAH/3NnM=")</f>
        <v>#VALUE!</v>
      </c>
      <c r="DM50" t="e">
        <f>AND('Planilla_General_07-12-2012_8_3'!L745,"AAAAAH/3NnQ=")</f>
        <v>#VALUE!</v>
      </c>
      <c r="DN50" t="e">
        <f>AND('Planilla_General_07-12-2012_8_3'!M745,"AAAAAH/3NnU=")</f>
        <v>#VALUE!</v>
      </c>
      <c r="DO50" t="e">
        <f>AND('Planilla_General_07-12-2012_8_3'!N745,"AAAAAH/3NnY=")</f>
        <v>#VALUE!</v>
      </c>
      <c r="DP50" t="e">
        <f>AND('Planilla_General_07-12-2012_8_3'!O745,"AAAAAH/3Nnc=")</f>
        <v>#VALUE!</v>
      </c>
      <c r="DQ50" t="e">
        <f>AND('Planilla_General_07-12-2012_8_3'!P745,"AAAAAH/3Nng=")</f>
        <v>#VALUE!</v>
      </c>
      <c r="DR50">
        <f>IF('Planilla_General_07-12-2012_8_3'!746:746,"AAAAAH/3Nnk=",0)</f>
        <v>0</v>
      </c>
      <c r="DS50" t="e">
        <f>AND('Planilla_General_07-12-2012_8_3'!A746,"AAAAAH/3Nno=")</f>
        <v>#VALUE!</v>
      </c>
      <c r="DT50" t="e">
        <f>AND('Planilla_General_07-12-2012_8_3'!B746,"AAAAAH/3Nns=")</f>
        <v>#VALUE!</v>
      </c>
      <c r="DU50" t="e">
        <f>AND('Planilla_General_07-12-2012_8_3'!C746,"AAAAAH/3Nnw=")</f>
        <v>#VALUE!</v>
      </c>
      <c r="DV50" t="e">
        <f>AND('Planilla_General_07-12-2012_8_3'!D746,"AAAAAH/3Nn0=")</f>
        <v>#VALUE!</v>
      </c>
      <c r="DW50" t="e">
        <f>AND('Planilla_General_07-12-2012_8_3'!E746,"AAAAAH/3Nn4=")</f>
        <v>#VALUE!</v>
      </c>
      <c r="DX50" t="e">
        <f>AND('Planilla_General_07-12-2012_8_3'!F746,"AAAAAH/3Nn8=")</f>
        <v>#VALUE!</v>
      </c>
      <c r="DY50" t="e">
        <f>AND('Planilla_General_07-12-2012_8_3'!G746,"AAAAAH/3NoA=")</f>
        <v>#VALUE!</v>
      </c>
      <c r="DZ50" t="e">
        <f>AND('Planilla_General_07-12-2012_8_3'!H746,"AAAAAH/3NoE=")</f>
        <v>#VALUE!</v>
      </c>
      <c r="EA50" t="e">
        <f>AND('Planilla_General_07-12-2012_8_3'!I746,"AAAAAH/3NoI=")</f>
        <v>#VALUE!</v>
      </c>
      <c r="EB50" t="e">
        <f>AND('Planilla_General_07-12-2012_8_3'!J746,"AAAAAH/3NoM=")</f>
        <v>#VALUE!</v>
      </c>
      <c r="EC50" t="e">
        <f>AND('Planilla_General_07-12-2012_8_3'!K746,"AAAAAH/3NoQ=")</f>
        <v>#VALUE!</v>
      </c>
      <c r="ED50" t="e">
        <f>AND('Planilla_General_07-12-2012_8_3'!L746,"AAAAAH/3NoU=")</f>
        <v>#VALUE!</v>
      </c>
      <c r="EE50" t="e">
        <f>AND('Planilla_General_07-12-2012_8_3'!M746,"AAAAAH/3NoY=")</f>
        <v>#VALUE!</v>
      </c>
      <c r="EF50" t="e">
        <f>AND('Planilla_General_07-12-2012_8_3'!N746,"AAAAAH/3Noc=")</f>
        <v>#VALUE!</v>
      </c>
      <c r="EG50" t="e">
        <f>AND('Planilla_General_07-12-2012_8_3'!O746,"AAAAAH/3Nog=")</f>
        <v>#VALUE!</v>
      </c>
      <c r="EH50" t="e">
        <f>AND('Planilla_General_07-12-2012_8_3'!P746,"AAAAAH/3Nok=")</f>
        <v>#VALUE!</v>
      </c>
      <c r="EI50">
        <f>IF('Planilla_General_07-12-2012_8_3'!747:747,"AAAAAH/3Noo=",0)</f>
        <v>0</v>
      </c>
      <c r="EJ50" t="e">
        <f>AND('Planilla_General_07-12-2012_8_3'!A747,"AAAAAH/3Nos=")</f>
        <v>#VALUE!</v>
      </c>
      <c r="EK50" t="e">
        <f>AND('Planilla_General_07-12-2012_8_3'!B747,"AAAAAH/3Now=")</f>
        <v>#VALUE!</v>
      </c>
      <c r="EL50" t="e">
        <f>AND('Planilla_General_07-12-2012_8_3'!C747,"AAAAAH/3No0=")</f>
        <v>#VALUE!</v>
      </c>
      <c r="EM50" t="e">
        <f>AND('Planilla_General_07-12-2012_8_3'!D747,"AAAAAH/3No4=")</f>
        <v>#VALUE!</v>
      </c>
      <c r="EN50" t="e">
        <f>AND('Planilla_General_07-12-2012_8_3'!E747,"AAAAAH/3No8=")</f>
        <v>#VALUE!</v>
      </c>
      <c r="EO50" t="e">
        <f>AND('Planilla_General_07-12-2012_8_3'!F747,"AAAAAH/3NpA=")</f>
        <v>#VALUE!</v>
      </c>
      <c r="EP50" t="e">
        <f>AND('Planilla_General_07-12-2012_8_3'!G747,"AAAAAH/3NpE=")</f>
        <v>#VALUE!</v>
      </c>
      <c r="EQ50" t="e">
        <f>AND('Planilla_General_07-12-2012_8_3'!H747,"AAAAAH/3NpI=")</f>
        <v>#VALUE!</v>
      </c>
      <c r="ER50" t="e">
        <f>AND('Planilla_General_07-12-2012_8_3'!I747,"AAAAAH/3NpM=")</f>
        <v>#VALUE!</v>
      </c>
      <c r="ES50" t="e">
        <f>AND('Planilla_General_07-12-2012_8_3'!J747,"AAAAAH/3NpQ=")</f>
        <v>#VALUE!</v>
      </c>
      <c r="ET50" t="e">
        <f>AND('Planilla_General_07-12-2012_8_3'!K747,"AAAAAH/3NpU=")</f>
        <v>#VALUE!</v>
      </c>
      <c r="EU50" t="e">
        <f>AND('Planilla_General_07-12-2012_8_3'!L747,"AAAAAH/3NpY=")</f>
        <v>#VALUE!</v>
      </c>
      <c r="EV50" t="e">
        <f>AND('Planilla_General_07-12-2012_8_3'!M747,"AAAAAH/3Npc=")</f>
        <v>#VALUE!</v>
      </c>
      <c r="EW50" t="e">
        <f>AND('Planilla_General_07-12-2012_8_3'!N747,"AAAAAH/3Npg=")</f>
        <v>#VALUE!</v>
      </c>
      <c r="EX50" t="e">
        <f>AND('Planilla_General_07-12-2012_8_3'!O747,"AAAAAH/3Npk=")</f>
        <v>#VALUE!</v>
      </c>
      <c r="EY50" t="e">
        <f>AND('Planilla_General_07-12-2012_8_3'!P747,"AAAAAH/3Npo=")</f>
        <v>#VALUE!</v>
      </c>
      <c r="EZ50">
        <f>IF('Planilla_General_07-12-2012_8_3'!748:748,"AAAAAH/3Nps=",0)</f>
        <v>0</v>
      </c>
      <c r="FA50" t="e">
        <f>AND('Planilla_General_07-12-2012_8_3'!A748,"AAAAAH/3Npw=")</f>
        <v>#VALUE!</v>
      </c>
      <c r="FB50" t="e">
        <f>AND('Planilla_General_07-12-2012_8_3'!B748,"AAAAAH/3Np0=")</f>
        <v>#VALUE!</v>
      </c>
      <c r="FC50" t="e">
        <f>AND('Planilla_General_07-12-2012_8_3'!C748,"AAAAAH/3Np4=")</f>
        <v>#VALUE!</v>
      </c>
      <c r="FD50" t="e">
        <f>AND('Planilla_General_07-12-2012_8_3'!D748,"AAAAAH/3Np8=")</f>
        <v>#VALUE!</v>
      </c>
      <c r="FE50" t="e">
        <f>AND('Planilla_General_07-12-2012_8_3'!E748,"AAAAAH/3NqA=")</f>
        <v>#VALUE!</v>
      </c>
      <c r="FF50" t="e">
        <f>AND('Planilla_General_07-12-2012_8_3'!F748,"AAAAAH/3NqE=")</f>
        <v>#VALUE!</v>
      </c>
      <c r="FG50" t="e">
        <f>AND('Planilla_General_07-12-2012_8_3'!G748,"AAAAAH/3NqI=")</f>
        <v>#VALUE!</v>
      </c>
      <c r="FH50" t="e">
        <f>AND('Planilla_General_07-12-2012_8_3'!H748,"AAAAAH/3NqM=")</f>
        <v>#VALUE!</v>
      </c>
      <c r="FI50" t="e">
        <f>AND('Planilla_General_07-12-2012_8_3'!I748,"AAAAAH/3NqQ=")</f>
        <v>#VALUE!</v>
      </c>
      <c r="FJ50" t="e">
        <f>AND('Planilla_General_07-12-2012_8_3'!J748,"AAAAAH/3NqU=")</f>
        <v>#VALUE!</v>
      </c>
      <c r="FK50" t="e">
        <f>AND('Planilla_General_07-12-2012_8_3'!K748,"AAAAAH/3NqY=")</f>
        <v>#VALUE!</v>
      </c>
      <c r="FL50" t="e">
        <f>AND('Planilla_General_07-12-2012_8_3'!L748,"AAAAAH/3Nqc=")</f>
        <v>#VALUE!</v>
      </c>
      <c r="FM50" t="e">
        <f>AND('Planilla_General_07-12-2012_8_3'!M748,"AAAAAH/3Nqg=")</f>
        <v>#VALUE!</v>
      </c>
      <c r="FN50" t="e">
        <f>AND('Planilla_General_07-12-2012_8_3'!N748,"AAAAAH/3Nqk=")</f>
        <v>#VALUE!</v>
      </c>
      <c r="FO50" t="e">
        <f>AND('Planilla_General_07-12-2012_8_3'!O748,"AAAAAH/3Nqo=")</f>
        <v>#VALUE!</v>
      </c>
      <c r="FP50" t="e">
        <f>AND('Planilla_General_07-12-2012_8_3'!P748,"AAAAAH/3Nqs=")</f>
        <v>#VALUE!</v>
      </c>
      <c r="FQ50">
        <f>IF('Planilla_General_07-12-2012_8_3'!749:749,"AAAAAH/3Nqw=",0)</f>
        <v>0</v>
      </c>
      <c r="FR50" t="e">
        <f>AND('Planilla_General_07-12-2012_8_3'!A749,"AAAAAH/3Nq0=")</f>
        <v>#VALUE!</v>
      </c>
      <c r="FS50" t="e">
        <f>AND('Planilla_General_07-12-2012_8_3'!B749,"AAAAAH/3Nq4=")</f>
        <v>#VALUE!</v>
      </c>
      <c r="FT50" t="e">
        <f>AND('Planilla_General_07-12-2012_8_3'!C749,"AAAAAH/3Nq8=")</f>
        <v>#VALUE!</v>
      </c>
      <c r="FU50" t="e">
        <f>AND('Planilla_General_07-12-2012_8_3'!D749,"AAAAAH/3NrA=")</f>
        <v>#VALUE!</v>
      </c>
      <c r="FV50" t="e">
        <f>AND('Planilla_General_07-12-2012_8_3'!E749,"AAAAAH/3NrE=")</f>
        <v>#VALUE!</v>
      </c>
      <c r="FW50" t="e">
        <f>AND('Planilla_General_07-12-2012_8_3'!F749,"AAAAAH/3NrI=")</f>
        <v>#VALUE!</v>
      </c>
      <c r="FX50" t="e">
        <f>AND('Planilla_General_07-12-2012_8_3'!G749,"AAAAAH/3NrM=")</f>
        <v>#VALUE!</v>
      </c>
      <c r="FY50" t="e">
        <f>AND('Planilla_General_07-12-2012_8_3'!H749,"AAAAAH/3NrQ=")</f>
        <v>#VALUE!</v>
      </c>
      <c r="FZ50" t="e">
        <f>AND('Planilla_General_07-12-2012_8_3'!I749,"AAAAAH/3NrU=")</f>
        <v>#VALUE!</v>
      </c>
      <c r="GA50" t="e">
        <f>AND('Planilla_General_07-12-2012_8_3'!J749,"AAAAAH/3NrY=")</f>
        <v>#VALUE!</v>
      </c>
      <c r="GB50" t="e">
        <f>AND('Planilla_General_07-12-2012_8_3'!K749,"AAAAAH/3Nrc=")</f>
        <v>#VALUE!</v>
      </c>
      <c r="GC50" t="e">
        <f>AND('Planilla_General_07-12-2012_8_3'!L749,"AAAAAH/3Nrg=")</f>
        <v>#VALUE!</v>
      </c>
      <c r="GD50" t="e">
        <f>AND('Planilla_General_07-12-2012_8_3'!M749,"AAAAAH/3Nrk=")</f>
        <v>#VALUE!</v>
      </c>
      <c r="GE50" t="e">
        <f>AND('Planilla_General_07-12-2012_8_3'!N749,"AAAAAH/3Nro=")</f>
        <v>#VALUE!</v>
      </c>
      <c r="GF50" t="e">
        <f>AND('Planilla_General_07-12-2012_8_3'!O749,"AAAAAH/3Nrs=")</f>
        <v>#VALUE!</v>
      </c>
      <c r="GG50" t="e">
        <f>AND('Planilla_General_07-12-2012_8_3'!P749,"AAAAAH/3Nrw=")</f>
        <v>#VALUE!</v>
      </c>
      <c r="GH50">
        <f>IF('Planilla_General_07-12-2012_8_3'!750:750,"AAAAAH/3Nr0=",0)</f>
        <v>0</v>
      </c>
      <c r="GI50" t="e">
        <f>AND('Planilla_General_07-12-2012_8_3'!A750,"AAAAAH/3Nr4=")</f>
        <v>#VALUE!</v>
      </c>
      <c r="GJ50" t="e">
        <f>AND('Planilla_General_07-12-2012_8_3'!B750,"AAAAAH/3Nr8=")</f>
        <v>#VALUE!</v>
      </c>
      <c r="GK50" t="e">
        <f>AND('Planilla_General_07-12-2012_8_3'!C750,"AAAAAH/3NsA=")</f>
        <v>#VALUE!</v>
      </c>
      <c r="GL50" t="e">
        <f>AND('Planilla_General_07-12-2012_8_3'!D750,"AAAAAH/3NsE=")</f>
        <v>#VALUE!</v>
      </c>
      <c r="GM50" t="e">
        <f>AND('Planilla_General_07-12-2012_8_3'!E750,"AAAAAH/3NsI=")</f>
        <v>#VALUE!</v>
      </c>
      <c r="GN50" t="e">
        <f>AND('Planilla_General_07-12-2012_8_3'!F750,"AAAAAH/3NsM=")</f>
        <v>#VALUE!</v>
      </c>
      <c r="GO50" t="e">
        <f>AND('Planilla_General_07-12-2012_8_3'!G750,"AAAAAH/3NsQ=")</f>
        <v>#VALUE!</v>
      </c>
      <c r="GP50" t="e">
        <f>AND('Planilla_General_07-12-2012_8_3'!H750,"AAAAAH/3NsU=")</f>
        <v>#VALUE!</v>
      </c>
      <c r="GQ50" t="e">
        <f>AND('Planilla_General_07-12-2012_8_3'!I750,"AAAAAH/3NsY=")</f>
        <v>#VALUE!</v>
      </c>
      <c r="GR50" t="e">
        <f>AND('Planilla_General_07-12-2012_8_3'!J750,"AAAAAH/3Nsc=")</f>
        <v>#VALUE!</v>
      </c>
      <c r="GS50" t="e">
        <f>AND('Planilla_General_07-12-2012_8_3'!K750,"AAAAAH/3Nsg=")</f>
        <v>#VALUE!</v>
      </c>
      <c r="GT50" t="e">
        <f>AND('Planilla_General_07-12-2012_8_3'!L750,"AAAAAH/3Nsk=")</f>
        <v>#VALUE!</v>
      </c>
      <c r="GU50" t="e">
        <f>AND('Planilla_General_07-12-2012_8_3'!M750,"AAAAAH/3Nso=")</f>
        <v>#VALUE!</v>
      </c>
      <c r="GV50" t="e">
        <f>AND('Planilla_General_07-12-2012_8_3'!N750,"AAAAAH/3Nss=")</f>
        <v>#VALUE!</v>
      </c>
      <c r="GW50" t="e">
        <f>AND('Planilla_General_07-12-2012_8_3'!O750,"AAAAAH/3Nsw=")</f>
        <v>#VALUE!</v>
      </c>
      <c r="GX50" t="e">
        <f>AND('Planilla_General_07-12-2012_8_3'!P750,"AAAAAH/3Ns0=")</f>
        <v>#VALUE!</v>
      </c>
      <c r="GY50">
        <f>IF('Planilla_General_07-12-2012_8_3'!751:751,"AAAAAH/3Ns4=",0)</f>
        <v>0</v>
      </c>
      <c r="GZ50" t="e">
        <f>AND('Planilla_General_07-12-2012_8_3'!A751,"AAAAAH/3Ns8=")</f>
        <v>#VALUE!</v>
      </c>
      <c r="HA50" t="e">
        <f>AND('Planilla_General_07-12-2012_8_3'!B751,"AAAAAH/3NtA=")</f>
        <v>#VALUE!</v>
      </c>
      <c r="HB50" t="e">
        <f>AND('Planilla_General_07-12-2012_8_3'!C751,"AAAAAH/3NtE=")</f>
        <v>#VALUE!</v>
      </c>
      <c r="HC50" t="e">
        <f>AND('Planilla_General_07-12-2012_8_3'!D751,"AAAAAH/3NtI=")</f>
        <v>#VALUE!</v>
      </c>
      <c r="HD50" t="e">
        <f>AND('Planilla_General_07-12-2012_8_3'!E751,"AAAAAH/3NtM=")</f>
        <v>#VALUE!</v>
      </c>
      <c r="HE50" t="e">
        <f>AND('Planilla_General_07-12-2012_8_3'!F751,"AAAAAH/3NtQ=")</f>
        <v>#VALUE!</v>
      </c>
      <c r="HF50" t="e">
        <f>AND('Planilla_General_07-12-2012_8_3'!G751,"AAAAAH/3NtU=")</f>
        <v>#VALUE!</v>
      </c>
      <c r="HG50" t="e">
        <f>AND('Planilla_General_07-12-2012_8_3'!H751,"AAAAAH/3NtY=")</f>
        <v>#VALUE!</v>
      </c>
      <c r="HH50" t="e">
        <f>AND('Planilla_General_07-12-2012_8_3'!I751,"AAAAAH/3Ntc=")</f>
        <v>#VALUE!</v>
      </c>
      <c r="HI50" t="e">
        <f>AND('Planilla_General_07-12-2012_8_3'!J751,"AAAAAH/3Ntg=")</f>
        <v>#VALUE!</v>
      </c>
      <c r="HJ50" t="e">
        <f>AND('Planilla_General_07-12-2012_8_3'!K751,"AAAAAH/3Ntk=")</f>
        <v>#VALUE!</v>
      </c>
      <c r="HK50" t="e">
        <f>AND('Planilla_General_07-12-2012_8_3'!L751,"AAAAAH/3Nto=")</f>
        <v>#VALUE!</v>
      </c>
      <c r="HL50" t="e">
        <f>AND('Planilla_General_07-12-2012_8_3'!M751,"AAAAAH/3Nts=")</f>
        <v>#VALUE!</v>
      </c>
      <c r="HM50" t="e">
        <f>AND('Planilla_General_07-12-2012_8_3'!N751,"AAAAAH/3Ntw=")</f>
        <v>#VALUE!</v>
      </c>
      <c r="HN50" t="e">
        <f>AND('Planilla_General_07-12-2012_8_3'!O751,"AAAAAH/3Nt0=")</f>
        <v>#VALUE!</v>
      </c>
      <c r="HO50" t="e">
        <f>AND('Planilla_General_07-12-2012_8_3'!P751,"AAAAAH/3Nt4=")</f>
        <v>#VALUE!</v>
      </c>
      <c r="HP50">
        <f>IF('Planilla_General_07-12-2012_8_3'!752:752,"AAAAAH/3Nt8=",0)</f>
        <v>0</v>
      </c>
      <c r="HQ50" t="e">
        <f>AND('Planilla_General_07-12-2012_8_3'!A752,"AAAAAH/3NuA=")</f>
        <v>#VALUE!</v>
      </c>
      <c r="HR50" t="e">
        <f>AND('Planilla_General_07-12-2012_8_3'!B752,"AAAAAH/3NuE=")</f>
        <v>#VALUE!</v>
      </c>
      <c r="HS50" t="e">
        <f>AND('Planilla_General_07-12-2012_8_3'!C752,"AAAAAH/3NuI=")</f>
        <v>#VALUE!</v>
      </c>
      <c r="HT50" t="e">
        <f>AND('Planilla_General_07-12-2012_8_3'!D752,"AAAAAH/3NuM=")</f>
        <v>#VALUE!</v>
      </c>
      <c r="HU50" t="e">
        <f>AND('Planilla_General_07-12-2012_8_3'!E752,"AAAAAH/3NuQ=")</f>
        <v>#VALUE!</v>
      </c>
      <c r="HV50" t="e">
        <f>AND('Planilla_General_07-12-2012_8_3'!F752,"AAAAAH/3NuU=")</f>
        <v>#VALUE!</v>
      </c>
      <c r="HW50" t="e">
        <f>AND('Planilla_General_07-12-2012_8_3'!G752,"AAAAAH/3NuY=")</f>
        <v>#VALUE!</v>
      </c>
      <c r="HX50" t="e">
        <f>AND('Planilla_General_07-12-2012_8_3'!H752,"AAAAAH/3Nuc=")</f>
        <v>#VALUE!</v>
      </c>
      <c r="HY50" t="e">
        <f>AND('Planilla_General_07-12-2012_8_3'!I752,"AAAAAH/3Nug=")</f>
        <v>#VALUE!</v>
      </c>
      <c r="HZ50" t="e">
        <f>AND('Planilla_General_07-12-2012_8_3'!J752,"AAAAAH/3Nuk=")</f>
        <v>#VALUE!</v>
      </c>
      <c r="IA50" t="e">
        <f>AND('Planilla_General_07-12-2012_8_3'!K752,"AAAAAH/3Nuo=")</f>
        <v>#VALUE!</v>
      </c>
      <c r="IB50" t="e">
        <f>AND('Planilla_General_07-12-2012_8_3'!L752,"AAAAAH/3Nus=")</f>
        <v>#VALUE!</v>
      </c>
      <c r="IC50" t="e">
        <f>AND('Planilla_General_07-12-2012_8_3'!M752,"AAAAAH/3Nuw=")</f>
        <v>#VALUE!</v>
      </c>
      <c r="ID50" t="e">
        <f>AND('Planilla_General_07-12-2012_8_3'!N752,"AAAAAH/3Nu0=")</f>
        <v>#VALUE!</v>
      </c>
      <c r="IE50" t="e">
        <f>AND('Planilla_General_07-12-2012_8_3'!O752,"AAAAAH/3Nu4=")</f>
        <v>#VALUE!</v>
      </c>
      <c r="IF50" t="e">
        <f>AND('Planilla_General_07-12-2012_8_3'!P752,"AAAAAH/3Nu8=")</f>
        <v>#VALUE!</v>
      </c>
      <c r="IG50">
        <f>IF('Planilla_General_07-12-2012_8_3'!753:753,"AAAAAH/3NvA=",0)</f>
        <v>0</v>
      </c>
      <c r="IH50" t="e">
        <f>AND('Planilla_General_07-12-2012_8_3'!A753,"AAAAAH/3NvE=")</f>
        <v>#VALUE!</v>
      </c>
      <c r="II50" t="e">
        <f>AND('Planilla_General_07-12-2012_8_3'!B753,"AAAAAH/3NvI=")</f>
        <v>#VALUE!</v>
      </c>
      <c r="IJ50" t="e">
        <f>AND('Planilla_General_07-12-2012_8_3'!C753,"AAAAAH/3NvM=")</f>
        <v>#VALUE!</v>
      </c>
      <c r="IK50" t="e">
        <f>AND('Planilla_General_07-12-2012_8_3'!D753,"AAAAAH/3NvQ=")</f>
        <v>#VALUE!</v>
      </c>
      <c r="IL50" t="e">
        <f>AND('Planilla_General_07-12-2012_8_3'!E753,"AAAAAH/3NvU=")</f>
        <v>#VALUE!</v>
      </c>
      <c r="IM50" t="e">
        <f>AND('Planilla_General_07-12-2012_8_3'!F753,"AAAAAH/3NvY=")</f>
        <v>#VALUE!</v>
      </c>
      <c r="IN50" t="e">
        <f>AND('Planilla_General_07-12-2012_8_3'!G753,"AAAAAH/3Nvc=")</f>
        <v>#VALUE!</v>
      </c>
      <c r="IO50" t="e">
        <f>AND('Planilla_General_07-12-2012_8_3'!H753,"AAAAAH/3Nvg=")</f>
        <v>#VALUE!</v>
      </c>
      <c r="IP50" t="e">
        <f>AND('Planilla_General_07-12-2012_8_3'!I753,"AAAAAH/3Nvk=")</f>
        <v>#VALUE!</v>
      </c>
      <c r="IQ50" t="e">
        <f>AND('Planilla_General_07-12-2012_8_3'!J753,"AAAAAH/3Nvo=")</f>
        <v>#VALUE!</v>
      </c>
      <c r="IR50" t="e">
        <f>AND('Planilla_General_07-12-2012_8_3'!K753,"AAAAAH/3Nvs=")</f>
        <v>#VALUE!</v>
      </c>
      <c r="IS50" t="e">
        <f>AND('Planilla_General_07-12-2012_8_3'!L753,"AAAAAH/3Nvw=")</f>
        <v>#VALUE!</v>
      </c>
      <c r="IT50" t="e">
        <f>AND('Planilla_General_07-12-2012_8_3'!M753,"AAAAAH/3Nv0=")</f>
        <v>#VALUE!</v>
      </c>
      <c r="IU50" t="e">
        <f>AND('Planilla_General_07-12-2012_8_3'!N753,"AAAAAH/3Nv4=")</f>
        <v>#VALUE!</v>
      </c>
      <c r="IV50" t="e">
        <f>AND('Planilla_General_07-12-2012_8_3'!O753,"AAAAAH/3Nv8=")</f>
        <v>#VALUE!</v>
      </c>
    </row>
    <row r="51" spans="1:256" x14ac:dyDescent="0.25">
      <c r="A51" t="e">
        <f>AND('Planilla_General_07-12-2012_8_3'!P753,"AAAAAG93/QA=")</f>
        <v>#VALUE!</v>
      </c>
      <c r="B51" t="e">
        <f>IF('Planilla_General_07-12-2012_8_3'!754:754,"AAAAAG93/QE=",0)</f>
        <v>#VALUE!</v>
      </c>
      <c r="C51" t="e">
        <f>AND('Planilla_General_07-12-2012_8_3'!A754,"AAAAAG93/QI=")</f>
        <v>#VALUE!</v>
      </c>
      <c r="D51" t="e">
        <f>AND('Planilla_General_07-12-2012_8_3'!B754,"AAAAAG93/QM=")</f>
        <v>#VALUE!</v>
      </c>
      <c r="E51" t="e">
        <f>AND('Planilla_General_07-12-2012_8_3'!C754,"AAAAAG93/QQ=")</f>
        <v>#VALUE!</v>
      </c>
      <c r="F51" t="e">
        <f>AND('Planilla_General_07-12-2012_8_3'!D754,"AAAAAG93/QU=")</f>
        <v>#VALUE!</v>
      </c>
      <c r="G51" t="e">
        <f>AND('Planilla_General_07-12-2012_8_3'!E754,"AAAAAG93/QY=")</f>
        <v>#VALUE!</v>
      </c>
      <c r="H51" t="e">
        <f>AND('Planilla_General_07-12-2012_8_3'!F754,"AAAAAG93/Qc=")</f>
        <v>#VALUE!</v>
      </c>
      <c r="I51" t="e">
        <f>AND('Planilla_General_07-12-2012_8_3'!G754,"AAAAAG93/Qg=")</f>
        <v>#VALUE!</v>
      </c>
      <c r="J51" t="e">
        <f>AND('Planilla_General_07-12-2012_8_3'!H754,"AAAAAG93/Qk=")</f>
        <v>#VALUE!</v>
      </c>
      <c r="K51" t="e">
        <f>AND('Planilla_General_07-12-2012_8_3'!I754,"AAAAAG93/Qo=")</f>
        <v>#VALUE!</v>
      </c>
      <c r="L51" t="e">
        <f>AND('Planilla_General_07-12-2012_8_3'!J754,"AAAAAG93/Qs=")</f>
        <v>#VALUE!</v>
      </c>
      <c r="M51" t="e">
        <f>AND('Planilla_General_07-12-2012_8_3'!K754,"AAAAAG93/Qw=")</f>
        <v>#VALUE!</v>
      </c>
      <c r="N51" t="e">
        <f>AND('Planilla_General_07-12-2012_8_3'!L754,"AAAAAG93/Q0=")</f>
        <v>#VALUE!</v>
      </c>
      <c r="O51" t="e">
        <f>AND('Planilla_General_07-12-2012_8_3'!M754,"AAAAAG93/Q4=")</f>
        <v>#VALUE!</v>
      </c>
      <c r="P51" t="e">
        <f>AND('Planilla_General_07-12-2012_8_3'!N754,"AAAAAG93/Q8=")</f>
        <v>#VALUE!</v>
      </c>
      <c r="Q51" t="e">
        <f>AND('Planilla_General_07-12-2012_8_3'!O754,"AAAAAG93/RA=")</f>
        <v>#VALUE!</v>
      </c>
      <c r="R51" t="e">
        <f>AND('Planilla_General_07-12-2012_8_3'!P754,"AAAAAG93/RE=")</f>
        <v>#VALUE!</v>
      </c>
      <c r="S51">
        <f>IF('Planilla_General_07-12-2012_8_3'!755:755,"AAAAAG93/RI=",0)</f>
        <v>0</v>
      </c>
      <c r="T51" t="e">
        <f>AND('Planilla_General_07-12-2012_8_3'!A755,"AAAAAG93/RM=")</f>
        <v>#VALUE!</v>
      </c>
      <c r="U51" t="e">
        <f>AND('Planilla_General_07-12-2012_8_3'!B755,"AAAAAG93/RQ=")</f>
        <v>#VALUE!</v>
      </c>
      <c r="V51" t="e">
        <f>AND('Planilla_General_07-12-2012_8_3'!C755,"AAAAAG93/RU=")</f>
        <v>#VALUE!</v>
      </c>
      <c r="W51" t="e">
        <f>AND('Planilla_General_07-12-2012_8_3'!D755,"AAAAAG93/RY=")</f>
        <v>#VALUE!</v>
      </c>
      <c r="X51" t="e">
        <f>AND('Planilla_General_07-12-2012_8_3'!E755,"AAAAAG93/Rc=")</f>
        <v>#VALUE!</v>
      </c>
      <c r="Y51" t="e">
        <f>AND('Planilla_General_07-12-2012_8_3'!F755,"AAAAAG93/Rg=")</f>
        <v>#VALUE!</v>
      </c>
      <c r="Z51" t="e">
        <f>AND('Planilla_General_07-12-2012_8_3'!G755,"AAAAAG93/Rk=")</f>
        <v>#VALUE!</v>
      </c>
      <c r="AA51" t="e">
        <f>AND('Planilla_General_07-12-2012_8_3'!H755,"AAAAAG93/Ro=")</f>
        <v>#VALUE!</v>
      </c>
      <c r="AB51" t="e">
        <f>AND('Planilla_General_07-12-2012_8_3'!I755,"AAAAAG93/Rs=")</f>
        <v>#VALUE!</v>
      </c>
      <c r="AC51" t="e">
        <f>AND('Planilla_General_07-12-2012_8_3'!J755,"AAAAAG93/Rw=")</f>
        <v>#VALUE!</v>
      </c>
      <c r="AD51" t="e">
        <f>AND('Planilla_General_07-12-2012_8_3'!K755,"AAAAAG93/R0=")</f>
        <v>#VALUE!</v>
      </c>
      <c r="AE51" t="e">
        <f>AND('Planilla_General_07-12-2012_8_3'!L755,"AAAAAG93/R4=")</f>
        <v>#VALUE!</v>
      </c>
      <c r="AF51" t="e">
        <f>AND('Planilla_General_07-12-2012_8_3'!M755,"AAAAAG93/R8=")</f>
        <v>#VALUE!</v>
      </c>
      <c r="AG51" t="e">
        <f>AND('Planilla_General_07-12-2012_8_3'!N755,"AAAAAG93/SA=")</f>
        <v>#VALUE!</v>
      </c>
      <c r="AH51" t="e">
        <f>AND('Planilla_General_07-12-2012_8_3'!O755,"AAAAAG93/SE=")</f>
        <v>#VALUE!</v>
      </c>
      <c r="AI51" t="e">
        <f>AND('Planilla_General_07-12-2012_8_3'!P755,"AAAAAG93/SI=")</f>
        <v>#VALUE!</v>
      </c>
      <c r="AJ51">
        <f>IF('Planilla_General_07-12-2012_8_3'!756:756,"AAAAAG93/SM=",0)</f>
        <v>0</v>
      </c>
      <c r="AK51" t="e">
        <f>AND('Planilla_General_07-12-2012_8_3'!A756,"AAAAAG93/SQ=")</f>
        <v>#VALUE!</v>
      </c>
      <c r="AL51" t="e">
        <f>AND('Planilla_General_07-12-2012_8_3'!B756,"AAAAAG93/SU=")</f>
        <v>#VALUE!</v>
      </c>
      <c r="AM51" t="e">
        <f>AND('Planilla_General_07-12-2012_8_3'!C756,"AAAAAG93/SY=")</f>
        <v>#VALUE!</v>
      </c>
      <c r="AN51" t="e">
        <f>AND('Planilla_General_07-12-2012_8_3'!D756,"AAAAAG93/Sc=")</f>
        <v>#VALUE!</v>
      </c>
      <c r="AO51" t="e">
        <f>AND('Planilla_General_07-12-2012_8_3'!E756,"AAAAAG93/Sg=")</f>
        <v>#VALUE!</v>
      </c>
      <c r="AP51" t="e">
        <f>AND('Planilla_General_07-12-2012_8_3'!F756,"AAAAAG93/Sk=")</f>
        <v>#VALUE!</v>
      </c>
      <c r="AQ51" t="e">
        <f>AND('Planilla_General_07-12-2012_8_3'!G756,"AAAAAG93/So=")</f>
        <v>#VALUE!</v>
      </c>
      <c r="AR51" t="e">
        <f>AND('Planilla_General_07-12-2012_8_3'!H756,"AAAAAG93/Ss=")</f>
        <v>#VALUE!</v>
      </c>
      <c r="AS51" t="e">
        <f>AND('Planilla_General_07-12-2012_8_3'!I756,"AAAAAG93/Sw=")</f>
        <v>#VALUE!</v>
      </c>
      <c r="AT51" t="e">
        <f>AND('Planilla_General_07-12-2012_8_3'!J756,"AAAAAG93/S0=")</f>
        <v>#VALUE!</v>
      </c>
      <c r="AU51" t="e">
        <f>AND('Planilla_General_07-12-2012_8_3'!K756,"AAAAAG93/S4=")</f>
        <v>#VALUE!</v>
      </c>
      <c r="AV51" t="e">
        <f>AND('Planilla_General_07-12-2012_8_3'!L756,"AAAAAG93/S8=")</f>
        <v>#VALUE!</v>
      </c>
      <c r="AW51" t="e">
        <f>AND('Planilla_General_07-12-2012_8_3'!M756,"AAAAAG93/TA=")</f>
        <v>#VALUE!</v>
      </c>
      <c r="AX51" t="e">
        <f>AND('Planilla_General_07-12-2012_8_3'!N756,"AAAAAG93/TE=")</f>
        <v>#VALUE!</v>
      </c>
      <c r="AY51" t="e">
        <f>AND('Planilla_General_07-12-2012_8_3'!O756,"AAAAAG93/TI=")</f>
        <v>#VALUE!</v>
      </c>
      <c r="AZ51" t="e">
        <f>AND('Planilla_General_07-12-2012_8_3'!P756,"AAAAAG93/TM=")</f>
        <v>#VALUE!</v>
      </c>
      <c r="BA51">
        <f>IF('Planilla_General_07-12-2012_8_3'!757:757,"AAAAAG93/TQ=",0)</f>
        <v>0</v>
      </c>
      <c r="BB51" t="e">
        <f>AND('Planilla_General_07-12-2012_8_3'!A757,"AAAAAG93/TU=")</f>
        <v>#VALUE!</v>
      </c>
      <c r="BC51" t="e">
        <f>AND('Planilla_General_07-12-2012_8_3'!B757,"AAAAAG93/TY=")</f>
        <v>#VALUE!</v>
      </c>
      <c r="BD51" t="e">
        <f>AND('Planilla_General_07-12-2012_8_3'!C757,"AAAAAG93/Tc=")</f>
        <v>#VALUE!</v>
      </c>
      <c r="BE51" t="e">
        <f>AND('Planilla_General_07-12-2012_8_3'!D757,"AAAAAG93/Tg=")</f>
        <v>#VALUE!</v>
      </c>
      <c r="BF51" t="e">
        <f>AND('Planilla_General_07-12-2012_8_3'!E757,"AAAAAG93/Tk=")</f>
        <v>#VALUE!</v>
      </c>
      <c r="BG51" t="e">
        <f>AND('Planilla_General_07-12-2012_8_3'!F757,"AAAAAG93/To=")</f>
        <v>#VALUE!</v>
      </c>
      <c r="BH51" t="e">
        <f>AND('Planilla_General_07-12-2012_8_3'!G757,"AAAAAG93/Ts=")</f>
        <v>#VALUE!</v>
      </c>
      <c r="BI51" t="e">
        <f>AND('Planilla_General_07-12-2012_8_3'!H757,"AAAAAG93/Tw=")</f>
        <v>#VALUE!</v>
      </c>
      <c r="BJ51" t="e">
        <f>AND('Planilla_General_07-12-2012_8_3'!I757,"AAAAAG93/T0=")</f>
        <v>#VALUE!</v>
      </c>
      <c r="BK51" t="e">
        <f>AND('Planilla_General_07-12-2012_8_3'!J757,"AAAAAG93/T4=")</f>
        <v>#VALUE!</v>
      </c>
      <c r="BL51" t="e">
        <f>AND('Planilla_General_07-12-2012_8_3'!K757,"AAAAAG93/T8=")</f>
        <v>#VALUE!</v>
      </c>
      <c r="BM51" t="e">
        <f>AND('Planilla_General_07-12-2012_8_3'!L757,"AAAAAG93/UA=")</f>
        <v>#VALUE!</v>
      </c>
      <c r="BN51" t="e">
        <f>AND('Planilla_General_07-12-2012_8_3'!M757,"AAAAAG93/UE=")</f>
        <v>#VALUE!</v>
      </c>
      <c r="BO51" t="e">
        <f>AND('Planilla_General_07-12-2012_8_3'!N757,"AAAAAG93/UI=")</f>
        <v>#VALUE!</v>
      </c>
      <c r="BP51" t="e">
        <f>AND('Planilla_General_07-12-2012_8_3'!O757,"AAAAAG93/UM=")</f>
        <v>#VALUE!</v>
      </c>
      <c r="BQ51" t="e">
        <f>AND('Planilla_General_07-12-2012_8_3'!P757,"AAAAAG93/UQ=")</f>
        <v>#VALUE!</v>
      </c>
      <c r="BR51">
        <f>IF('Planilla_General_07-12-2012_8_3'!758:758,"AAAAAG93/UU=",0)</f>
        <v>0</v>
      </c>
      <c r="BS51" t="e">
        <f>AND('Planilla_General_07-12-2012_8_3'!A758,"AAAAAG93/UY=")</f>
        <v>#VALUE!</v>
      </c>
      <c r="BT51" t="e">
        <f>AND('Planilla_General_07-12-2012_8_3'!B758,"AAAAAG93/Uc=")</f>
        <v>#VALUE!</v>
      </c>
      <c r="BU51" t="e">
        <f>AND('Planilla_General_07-12-2012_8_3'!C758,"AAAAAG93/Ug=")</f>
        <v>#VALUE!</v>
      </c>
      <c r="BV51" t="e">
        <f>AND('Planilla_General_07-12-2012_8_3'!D758,"AAAAAG93/Uk=")</f>
        <v>#VALUE!</v>
      </c>
      <c r="BW51" t="e">
        <f>AND('Planilla_General_07-12-2012_8_3'!E758,"AAAAAG93/Uo=")</f>
        <v>#VALUE!</v>
      </c>
      <c r="BX51" t="e">
        <f>AND('Planilla_General_07-12-2012_8_3'!F758,"AAAAAG93/Us=")</f>
        <v>#VALUE!</v>
      </c>
      <c r="BY51" t="e">
        <f>AND('Planilla_General_07-12-2012_8_3'!G758,"AAAAAG93/Uw=")</f>
        <v>#VALUE!</v>
      </c>
      <c r="BZ51" t="e">
        <f>AND('Planilla_General_07-12-2012_8_3'!H758,"AAAAAG93/U0=")</f>
        <v>#VALUE!</v>
      </c>
      <c r="CA51" t="e">
        <f>AND('Planilla_General_07-12-2012_8_3'!I758,"AAAAAG93/U4=")</f>
        <v>#VALUE!</v>
      </c>
      <c r="CB51" t="e">
        <f>AND('Planilla_General_07-12-2012_8_3'!J758,"AAAAAG93/U8=")</f>
        <v>#VALUE!</v>
      </c>
      <c r="CC51" t="e">
        <f>AND('Planilla_General_07-12-2012_8_3'!K758,"AAAAAG93/VA=")</f>
        <v>#VALUE!</v>
      </c>
      <c r="CD51" t="e">
        <f>AND('Planilla_General_07-12-2012_8_3'!L758,"AAAAAG93/VE=")</f>
        <v>#VALUE!</v>
      </c>
      <c r="CE51" t="e">
        <f>AND('Planilla_General_07-12-2012_8_3'!M758,"AAAAAG93/VI=")</f>
        <v>#VALUE!</v>
      </c>
      <c r="CF51" t="e">
        <f>AND('Planilla_General_07-12-2012_8_3'!N758,"AAAAAG93/VM=")</f>
        <v>#VALUE!</v>
      </c>
      <c r="CG51" t="e">
        <f>AND('Planilla_General_07-12-2012_8_3'!O758,"AAAAAG93/VQ=")</f>
        <v>#VALUE!</v>
      </c>
      <c r="CH51" t="e">
        <f>AND('Planilla_General_07-12-2012_8_3'!P758,"AAAAAG93/VU=")</f>
        <v>#VALUE!</v>
      </c>
      <c r="CI51">
        <f>IF('Planilla_General_07-12-2012_8_3'!759:759,"AAAAAG93/VY=",0)</f>
        <v>0</v>
      </c>
      <c r="CJ51" t="e">
        <f>AND('Planilla_General_07-12-2012_8_3'!A759,"AAAAAG93/Vc=")</f>
        <v>#VALUE!</v>
      </c>
      <c r="CK51" t="e">
        <f>AND('Planilla_General_07-12-2012_8_3'!B759,"AAAAAG93/Vg=")</f>
        <v>#VALUE!</v>
      </c>
      <c r="CL51" t="e">
        <f>AND('Planilla_General_07-12-2012_8_3'!C759,"AAAAAG93/Vk=")</f>
        <v>#VALUE!</v>
      </c>
      <c r="CM51" t="e">
        <f>AND('Planilla_General_07-12-2012_8_3'!D759,"AAAAAG93/Vo=")</f>
        <v>#VALUE!</v>
      </c>
      <c r="CN51" t="e">
        <f>AND('Planilla_General_07-12-2012_8_3'!E759,"AAAAAG93/Vs=")</f>
        <v>#VALUE!</v>
      </c>
      <c r="CO51" t="e">
        <f>AND('Planilla_General_07-12-2012_8_3'!F759,"AAAAAG93/Vw=")</f>
        <v>#VALUE!</v>
      </c>
      <c r="CP51" t="e">
        <f>AND('Planilla_General_07-12-2012_8_3'!G759,"AAAAAG93/V0=")</f>
        <v>#VALUE!</v>
      </c>
      <c r="CQ51" t="e">
        <f>AND('Planilla_General_07-12-2012_8_3'!H759,"AAAAAG93/V4=")</f>
        <v>#VALUE!</v>
      </c>
      <c r="CR51" t="e">
        <f>AND('Planilla_General_07-12-2012_8_3'!I759,"AAAAAG93/V8=")</f>
        <v>#VALUE!</v>
      </c>
      <c r="CS51" t="e">
        <f>AND('Planilla_General_07-12-2012_8_3'!J759,"AAAAAG93/WA=")</f>
        <v>#VALUE!</v>
      </c>
      <c r="CT51" t="e">
        <f>AND('Planilla_General_07-12-2012_8_3'!K759,"AAAAAG93/WE=")</f>
        <v>#VALUE!</v>
      </c>
      <c r="CU51" t="e">
        <f>AND('Planilla_General_07-12-2012_8_3'!L759,"AAAAAG93/WI=")</f>
        <v>#VALUE!</v>
      </c>
      <c r="CV51" t="e">
        <f>AND('Planilla_General_07-12-2012_8_3'!M759,"AAAAAG93/WM=")</f>
        <v>#VALUE!</v>
      </c>
      <c r="CW51" t="e">
        <f>AND('Planilla_General_07-12-2012_8_3'!N759,"AAAAAG93/WQ=")</f>
        <v>#VALUE!</v>
      </c>
      <c r="CX51" t="e">
        <f>AND('Planilla_General_07-12-2012_8_3'!O759,"AAAAAG93/WU=")</f>
        <v>#VALUE!</v>
      </c>
      <c r="CY51" t="e">
        <f>AND('Planilla_General_07-12-2012_8_3'!P759,"AAAAAG93/WY=")</f>
        <v>#VALUE!</v>
      </c>
      <c r="CZ51">
        <f>IF('Planilla_General_07-12-2012_8_3'!760:760,"AAAAAG93/Wc=",0)</f>
        <v>0</v>
      </c>
      <c r="DA51" t="e">
        <f>AND('Planilla_General_07-12-2012_8_3'!A760,"AAAAAG93/Wg=")</f>
        <v>#VALUE!</v>
      </c>
      <c r="DB51" t="e">
        <f>AND('Planilla_General_07-12-2012_8_3'!B760,"AAAAAG93/Wk=")</f>
        <v>#VALUE!</v>
      </c>
      <c r="DC51" t="e">
        <f>AND('Planilla_General_07-12-2012_8_3'!C760,"AAAAAG93/Wo=")</f>
        <v>#VALUE!</v>
      </c>
      <c r="DD51" t="e">
        <f>AND('Planilla_General_07-12-2012_8_3'!D760,"AAAAAG93/Ws=")</f>
        <v>#VALUE!</v>
      </c>
      <c r="DE51" t="e">
        <f>AND('Planilla_General_07-12-2012_8_3'!E760,"AAAAAG93/Ww=")</f>
        <v>#VALUE!</v>
      </c>
      <c r="DF51" t="e">
        <f>AND('Planilla_General_07-12-2012_8_3'!F760,"AAAAAG93/W0=")</f>
        <v>#VALUE!</v>
      </c>
      <c r="DG51" t="e">
        <f>AND('Planilla_General_07-12-2012_8_3'!G760,"AAAAAG93/W4=")</f>
        <v>#VALUE!</v>
      </c>
      <c r="DH51" t="e">
        <f>AND('Planilla_General_07-12-2012_8_3'!H760,"AAAAAG93/W8=")</f>
        <v>#VALUE!</v>
      </c>
      <c r="DI51" t="e">
        <f>AND('Planilla_General_07-12-2012_8_3'!I760,"AAAAAG93/XA=")</f>
        <v>#VALUE!</v>
      </c>
      <c r="DJ51" t="e">
        <f>AND('Planilla_General_07-12-2012_8_3'!J760,"AAAAAG93/XE=")</f>
        <v>#VALUE!</v>
      </c>
      <c r="DK51" t="e">
        <f>AND('Planilla_General_07-12-2012_8_3'!K760,"AAAAAG93/XI=")</f>
        <v>#VALUE!</v>
      </c>
      <c r="DL51" t="e">
        <f>AND('Planilla_General_07-12-2012_8_3'!L760,"AAAAAG93/XM=")</f>
        <v>#VALUE!</v>
      </c>
      <c r="DM51" t="e">
        <f>AND('Planilla_General_07-12-2012_8_3'!M760,"AAAAAG93/XQ=")</f>
        <v>#VALUE!</v>
      </c>
      <c r="DN51" t="e">
        <f>AND('Planilla_General_07-12-2012_8_3'!N760,"AAAAAG93/XU=")</f>
        <v>#VALUE!</v>
      </c>
      <c r="DO51" t="e">
        <f>AND('Planilla_General_07-12-2012_8_3'!O760,"AAAAAG93/XY=")</f>
        <v>#VALUE!</v>
      </c>
      <c r="DP51" t="e">
        <f>AND('Planilla_General_07-12-2012_8_3'!P760,"AAAAAG93/Xc=")</f>
        <v>#VALUE!</v>
      </c>
      <c r="DQ51">
        <f>IF('Planilla_General_07-12-2012_8_3'!761:761,"AAAAAG93/Xg=",0)</f>
        <v>0</v>
      </c>
      <c r="DR51" t="e">
        <f>AND('Planilla_General_07-12-2012_8_3'!A761,"AAAAAG93/Xk=")</f>
        <v>#VALUE!</v>
      </c>
      <c r="DS51" t="e">
        <f>AND('Planilla_General_07-12-2012_8_3'!B761,"AAAAAG93/Xo=")</f>
        <v>#VALUE!</v>
      </c>
      <c r="DT51" t="e">
        <f>AND('Planilla_General_07-12-2012_8_3'!C761,"AAAAAG93/Xs=")</f>
        <v>#VALUE!</v>
      </c>
      <c r="DU51" t="e">
        <f>AND('Planilla_General_07-12-2012_8_3'!D761,"AAAAAG93/Xw=")</f>
        <v>#VALUE!</v>
      </c>
      <c r="DV51" t="e">
        <f>AND('Planilla_General_07-12-2012_8_3'!E761,"AAAAAG93/X0=")</f>
        <v>#VALUE!</v>
      </c>
      <c r="DW51" t="e">
        <f>AND('Planilla_General_07-12-2012_8_3'!F761,"AAAAAG93/X4=")</f>
        <v>#VALUE!</v>
      </c>
      <c r="DX51" t="e">
        <f>AND('Planilla_General_07-12-2012_8_3'!G761,"AAAAAG93/X8=")</f>
        <v>#VALUE!</v>
      </c>
      <c r="DY51" t="e">
        <f>AND('Planilla_General_07-12-2012_8_3'!H761,"AAAAAG93/YA=")</f>
        <v>#VALUE!</v>
      </c>
      <c r="DZ51" t="e">
        <f>AND('Planilla_General_07-12-2012_8_3'!I761,"AAAAAG93/YE=")</f>
        <v>#VALUE!</v>
      </c>
      <c r="EA51" t="e">
        <f>AND('Planilla_General_07-12-2012_8_3'!J761,"AAAAAG93/YI=")</f>
        <v>#VALUE!</v>
      </c>
      <c r="EB51" t="e">
        <f>AND('Planilla_General_07-12-2012_8_3'!K761,"AAAAAG93/YM=")</f>
        <v>#VALUE!</v>
      </c>
      <c r="EC51" t="e">
        <f>AND('Planilla_General_07-12-2012_8_3'!L761,"AAAAAG93/YQ=")</f>
        <v>#VALUE!</v>
      </c>
      <c r="ED51" t="e">
        <f>AND('Planilla_General_07-12-2012_8_3'!M761,"AAAAAG93/YU=")</f>
        <v>#VALUE!</v>
      </c>
      <c r="EE51" t="e">
        <f>AND('Planilla_General_07-12-2012_8_3'!N761,"AAAAAG93/YY=")</f>
        <v>#VALUE!</v>
      </c>
      <c r="EF51" t="e">
        <f>AND('Planilla_General_07-12-2012_8_3'!O761,"AAAAAG93/Yc=")</f>
        <v>#VALUE!</v>
      </c>
      <c r="EG51" t="e">
        <f>AND('Planilla_General_07-12-2012_8_3'!P761,"AAAAAG93/Yg=")</f>
        <v>#VALUE!</v>
      </c>
      <c r="EH51">
        <f>IF('Planilla_General_07-12-2012_8_3'!762:762,"AAAAAG93/Yk=",0)</f>
        <v>0</v>
      </c>
      <c r="EI51" t="e">
        <f>AND('Planilla_General_07-12-2012_8_3'!A762,"AAAAAG93/Yo=")</f>
        <v>#VALUE!</v>
      </c>
      <c r="EJ51" t="e">
        <f>AND('Planilla_General_07-12-2012_8_3'!B762,"AAAAAG93/Ys=")</f>
        <v>#VALUE!</v>
      </c>
      <c r="EK51" t="e">
        <f>AND('Planilla_General_07-12-2012_8_3'!C762,"AAAAAG93/Yw=")</f>
        <v>#VALUE!</v>
      </c>
      <c r="EL51" t="e">
        <f>AND('Planilla_General_07-12-2012_8_3'!D762,"AAAAAG93/Y0=")</f>
        <v>#VALUE!</v>
      </c>
      <c r="EM51" t="e">
        <f>AND('Planilla_General_07-12-2012_8_3'!E762,"AAAAAG93/Y4=")</f>
        <v>#VALUE!</v>
      </c>
      <c r="EN51" t="e">
        <f>AND('Planilla_General_07-12-2012_8_3'!F762,"AAAAAG93/Y8=")</f>
        <v>#VALUE!</v>
      </c>
      <c r="EO51" t="e">
        <f>AND('Planilla_General_07-12-2012_8_3'!G762,"AAAAAG93/ZA=")</f>
        <v>#VALUE!</v>
      </c>
      <c r="EP51" t="e">
        <f>AND('Planilla_General_07-12-2012_8_3'!H762,"AAAAAG93/ZE=")</f>
        <v>#VALUE!</v>
      </c>
      <c r="EQ51" t="e">
        <f>AND('Planilla_General_07-12-2012_8_3'!I762,"AAAAAG93/ZI=")</f>
        <v>#VALUE!</v>
      </c>
      <c r="ER51" t="e">
        <f>AND('Planilla_General_07-12-2012_8_3'!J762,"AAAAAG93/ZM=")</f>
        <v>#VALUE!</v>
      </c>
      <c r="ES51" t="e">
        <f>AND('Planilla_General_07-12-2012_8_3'!K762,"AAAAAG93/ZQ=")</f>
        <v>#VALUE!</v>
      </c>
      <c r="ET51" t="e">
        <f>AND('Planilla_General_07-12-2012_8_3'!L762,"AAAAAG93/ZU=")</f>
        <v>#VALUE!</v>
      </c>
      <c r="EU51" t="e">
        <f>AND('Planilla_General_07-12-2012_8_3'!M762,"AAAAAG93/ZY=")</f>
        <v>#VALUE!</v>
      </c>
      <c r="EV51" t="e">
        <f>AND('Planilla_General_07-12-2012_8_3'!N762,"AAAAAG93/Zc=")</f>
        <v>#VALUE!</v>
      </c>
      <c r="EW51" t="e">
        <f>AND('Planilla_General_07-12-2012_8_3'!O762,"AAAAAG93/Zg=")</f>
        <v>#VALUE!</v>
      </c>
      <c r="EX51" t="e">
        <f>AND('Planilla_General_07-12-2012_8_3'!P762,"AAAAAG93/Zk=")</f>
        <v>#VALUE!</v>
      </c>
      <c r="EY51">
        <f>IF('Planilla_General_07-12-2012_8_3'!763:763,"AAAAAG93/Zo=",0)</f>
        <v>0</v>
      </c>
      <c r="EZ51" t="e">
        <f>AND('Planilla_General_07-12-2012_8_3'!A763,"AAAAAG93/Zs=")</f>
        <v>#VALUE!</v>
      </c>
      <c r="FA51" t="e">
        <f>AND('Planilla_General_07-12-2012_8_3'!B763,"AAAAAG93/Zw=")</f>
        <v>#VALUE!</v>
      </c>
      <c r="FB51" t="e">
        <f>AND('Planilla_General_07-12-2012_8_3'!C763,"AAAAAG93/Z0=")</f>
        <v>#VALUE!</v>
      </c>
      <c r="FC51" t="e">
        <f>AND('Planilla_General_07-12-2012_8_3'!D763,"AAAAAG93/Z4=")</f>
        <v>#VALUE!</v>
      </c>
      <c r="FD51" t="e">
        <f>AND('Planilla_General_07-12-2012_8_3'!E763,"AAAAAG93/Z8=")</f>
        <v>#VALUE!</v>
      </c>
      <c r="FE51" t="e">
        <f>AND('Planilla_General_07-12-2012_8_3'!F763,"AAAAAG93/aA=")</f>
        <v>#VALUE!</v>
      </c>
      <c r="FF51" t="e">
        <f>AND('Planilla_General_07-12-2012_8_3'!G763,"AAAAAG93/aE=")</f>
        <v>#VALUE!</v>
      </c>
      <c r="FG51" t="e">
        <f>AND('Planilla_General_07-12-2012_8_3'!H763,"AAAAAG93/aI=")</f>
        <v>#VALUE!</v>
      </c>
      <c r="FH51" t="e">
        <f>AND('Planilla_General_07-12-2012_8_3'!I763,"AAAAAG93/aM=")</f>
        <v>#VALUE!</v>
      </c>
      <c r="FI51" t="e">
        <f>AND('Planilla_General_07-12-2012_8_3'!J763,"AAAAAG93/aQ=")</f>
        <v>#VALUE!</v>
      </c>
      <c r="FJ51" t="e">
        <f>AND('Planilla_General_07-12-2012_8_3'!K763,"AAAAAG93/aU=")</f>
        <v>#VALUE!</v>
      </c>
      <c r="FK51" t="e">
        <f>AND('Planilla_General_07-12-2012_8_3'!L763,"AAAAAG93/aY=")</f>
        <v>#VALUE!</v>
      </c>
      <c r="FL51" t="e">
        <f>AND('Planilla_General_07-12-2012_8_3'!M763,"AAAAAG93/ac=")</f>
        <v>#VALUE!</v>
      </c>
      <c r="FM51" t="e">
        <f>AND('Planilla_General_07-12-2012_8_3'!N763,"AAAAAG93/ag=")</f>
        <v>#VALUE!</v>
      </c>
      <c r="FN51" t="e">
        <f>AND('Planilla_General_07-12-2012_8_3'!O763,"AAAAAG93/ak=")</f>
        <v>#VALUE!</v>
      </c>
      <c r="FO51" t="e">
        <f>AND('Planilla_General_07-12-2012_8_3'!P763,"AAAAAG93/ao=")</f>
        <v>#VALUE!</v>
      </c>
      <c r="FP51">
        <f>IF('Planilla_General_07-12-2012_8_3'!764:764,"AAAAAG93/as=",0)</f>
        <v>0</v>
      </c>
      <c r="FQ51" t="e">
        <f>AND('Planilla_General_07-12-2012_8_3'!A764,"AAAAAG93/aw=")</f>
        <v>#VALUE!</v>
      </c>
      <c r="FR51" t="e">
        <f>AND('Planilla_General_07-12-2012_8_3'!B764,"AAAAAG93/a0=")</f>
        <v>#VALUE!</v>
      </c>
      <c r="FS51" t="e">
        <f>AND('Planilla_General_07-12-2012_8_3'!C764,"AAAAAG93/a4=")</f>
        <v>#VALUE!</v>
      </c>
      <c r="FT51" t="e">
        <f>AND('Planilla_General_07-12-2012_8_3'!D764,"AAAAAG93/a8=")</f>
        <v>#VALUE!</v>
      </c>
      <c r="FU51" t="e">
        <f>AND('Planilla_General_07-12-2012_8_3'!E764,"AAAAAG93/bA=")</f>
        <v>#VALUE!</v>
      </c>
      <c r="FV51" t="e">
        <f>AND('Planilla_General_07-12-2012_8_3'!F764,"AAAAAG93/bE=")</f>
        <v>#VALUE!</v>
      </c>
      <c r="FW51" t="e">
        <f>AND('Planilla_General_07-12-2012_8_3'!G764,"AAAAAG93/bI=")</f>
        <v>#VALUE!</v>
      </c>
      <c r="FX51" t="e">
        <f>AND('Planilla_General_07-12-2012_8_3'!H764,"AAAAAG93/bM=")</f>
        <v>#VALUE!</v>
      </c>
      <c r="FY51" t="e">
        <f>AND('Planilla_General_07-12-2012_8_3'!I764,"AAAAAG93/bQ=")</f>
        <v>#VALUE!</v>
      </c>
      <c r="FZ51" t="e">
        <f>AND('Planilla_General_07-12-2012_8_3'!J764,"AAAAAG93/bU=")</f>
        <v>#VALUE!</v>
      </c>
      <c r="GA51" t="e">
        <f>AND('Planilla_General_07-12-2012_8_3'!K764,"AAAAAG93/bY=")</f>
        <v>#VALUE!</v>
      </c>
      <c r="GB51" t="e">
        <f>AND('Planilla_General_07-12-2012_8_3'!L764,"AAAAAG93/bc=")</f>
        <v>#VALUE!</v>
      </c>
      <c r="GC51" t="e">
        <f>AND('Planilla_General_07-12-2012_8_3'!M764,"AAAAAG93/bg=")</f>
        <v>#VALUE!</v>
      </c>
      <c r="GD51" t="e">
        <f>AND('Planilla_General_07-12-2012_8_3'!N764,"AAAAAG93/bk=")</f>
        <v>#VALUE!</v>
      </c>
      <c r="GE51" t="e">
        <f>AND('Planilla_General_07-12-2012_8_3'!O764,"AAAAAG93/bo=")</f>
        <v>#VALUE!</v>
      </c>
      <c r="GF51" t="e">
        <f>AND('Planilla_General_07-12-2012_8_3'!P764,"AAAAAG93/bs=")</f>
        <v>#VALUE!</v>
      </c>
      <c r="GG51">
        <f>IF('Planilla_General_07-12-2012_8_3'!765:765,"AAAAAG93/bw=",0)</f>
        <v>0</v>
      </c>
      <c r="GH51" t="e">
        <f>AND('Planilla_General_07-12-2012_8_3'!A765,"AAAAAG93/b0=")</f>
        <v>#VALUE!</v>
      </c>
      <c r="GI51" t="e">
        <f>AND('Planilla_General_07-12-2012_8_3'!B765,"AAAAAG93/b4=")</f>
        <v>#VALUE!</v>
      </c>
      <c r="GJ51" t="e">
        <f>AND('Planilla_General_07-12-2012_8_3'!C765,"AAAAAG93/b8=")</f>
        <v>#VALUE!</v>
      </c>
      <c r="GK51" t="e">
        <f>AND('Planilla_General_07-12-2012_8_3'!D765,"AAAAAG93/cA=")</f>
        <v>#VALUE!</v>
      </c>
      <c r="GL51" t="e">
        <f>AND('Planilla_General_07-12-2012_8_3'!E765,"AAAAAG93/cE=")</f>
        <v>#VALUE!</v>
      </c>
      <c r="GM51" t="e">
        <f>AND('Planilla_General_07-12-2012_8_3'!F765,"AAAAAG93/cI=")</f>
        <v>#VALUE!</v>
      </c>
      <c r="GN51" t="e">
        <f>AND('Planilla_General_07-12-2012_8_3'!G765,"AAAAAG93/cM=")</f>
        <v>#VALUE!</v>
      </c>
      <c r="GO51" t="e">
        <f>AND('Planilla_General_07-12-2012_8_3'!H765,"AAAAAG93/cQ=")</f>
        <v>#VALUE!</v>
      </c>
      <c r="GP51" t="e">
        <f>AND('Planilla_General_07-12-2012_8_3'!I765,"AAAAAG93/cU=")</f>
        <v>#VALUE!</v>
      </c>
      <c r="GQ51" t="e">
        <f>AND('Planilla_General_07-12-2012_8_3'!J765,"AAAAAG93/cY=")</f>
        <v>#VALUE!</v>
      </c>
      <c r="GR51" t="e">
        <f>AND('Planilla_General_07-12-2012_8_3'!K765,"AAAAAG93/cc=")</f>
        <v>#VALUE!</v>
      </c>
      <c r="GS51" t="e">
        <f>AND('Planilla_General_07-12-2012_8_3'!L765,"AAAAAG93/cg=")</f>
        <v>#VALUE!</v>
      </c>
      <c r="GT51" t="e">
        <f>AND('Planilla_General_07-12-2012_8_3'!M765,"AAAAAG93/ck=")</f>
        <v>#VALUE!</v>
      </c>
      <c r="GU51" t="e">
        <f>AND('Planilla_General_07-12-2012_8_3'!N765,"AAAAAG93/co=")</f>
        <v>#VALUE!</v>
      </c>
      <c r="GV51" t="e">
        <f>AND('Planilla_General_07-12-2012_8_3'!O765,"AAAAAG93/cs=")</f>
        <v>#VALUE!</v>
      </c>
      <c r="GW51" t="e">
        <f>AND('Planilla_General_07-12-2012_8_3'!P765,"AAAAAG93/cw=")</f>
        <v>#VALUE!</v>
      </c>
      <c r="GX51">
        <f>IF('Planilla_General_07-12-2012_8_3'!766:766,"AAAAAG93/c0=",0)</f>
        <v>0</v>
      </c>
      <c r="GY51" t="e">
        <f>AND('Planilla_General_07-12-2012_8_3'!A766,"AAAAAG93/c4=")</f>
        <v>#VALUE!</v>
      </c>
      <c r="GZ51" t="e">
        <f>AND('Planilla_General_07-12-2012_8_3'!B766,"AAAAAG93/c8=")</f>
        <v>#VALUE!</v>
      </c>
      <c r="HA51" t="e">
        <f>AND('Planilla_General_07-12-2012_8_3'!C766,"AAAAAG93/dA=")</f>
        <v>#VALUE!</v>
      </c>
      <c r="HB51" t="e">
        <f>AND('Planilla_General_07-12-2012_8_3'!D766,"AAAAAG93/dE=")</f>
        <v>#VALUE!</v>
      </c>
      <c r="HC51" t="e">
        <f>AND('Planilla_General_07-12-2012_8_3'!E766,"AAAAAG93/dI=")</f>
        <v>#VALUE!</v>
      </c>
      <c r="HD51" t="e">
        <f>AND('Planilla_General_07-12-2012_8_3'!F766,"AAAAAG93/dM=")</f>
        <v>#VALUE!</v>
      </c>
      <c r="HE51" t="e">
        <f>AND('Planilla_General_07-12-2012_8_3'!G766,"AAAAAG93/dQ=")</f>
        <v>#VALUE!</v>
      </c>
      <c r="HF51" t="e">
        <f>AND('Planilla_General_07-12-2012_8_3'!H766,"AAAAAG93/dU=")</f>
        <v>#VALUE!</v>
      </c>
      <c r="HG51" t="e">
        <f>AND('Planilla_General_07-12-2012_8_3'!I766,"AAAAAG93/dY=")</f>
        <v>#VALUE!</v>
      </c>
      <c r="HH51" t="e">
        <f>AND('Planilla_General_07-12-2012_8_3'!J766,"AAAAAG93/dc=")</f>
        <v>#VALUE!</v>
      </c>
      <c r="HI51" t="e">
        <f>AND('Planilla_General_07-12-2012_8_3'!K766,"AAAAAG93/dg=")</f>
        <v>#VALUE!</v>
      </c>
      <c r="HJ51" t="e">
        <f>AND('Planilla_General_07-12-2012_8_3'!L766,"AAAAAG93/dk=")</f>
        <v>#VALUE!</v>
      </c>
      <c r="HK51" t="e">
        <f>AND('Planilla_General_07-12-2012_8_3'!M766,"AAAAAG93/do=")</f>
        <v>#VALUE!</v>
      </c>
      <c r="HL51" t="e">
        <f>AND('Planilla_General_07-12-2012_8_3'!N766,"AAAAAG93/ds=")</f>
        <v>#VALUE!</v>
      </c>
      <c r="HM51" t="e">
        <f>AND('Planilla_General_07-12-2012_8_3'!O766,"AAAAAG93/dw=")</f>
        <v>#VALUE!</v>
      </c>
      <c r="HN51" t="e">
        <f>AND('Planilla_General_07-12-2012_8_3'!P766,"AAAAAG93/d0=")</f>
        <v>#VALUE!</v>
      </c>
      <c r="HO51">
        <f>IF('Planilla_General_07-12-2012_8_3'!767:767,"AAAAAG93/d4=",0)</f>
        <v>0</v>
      </c>
      <c r="HP51" t="e">
        <f>AND('Planilla_General_07-12-2012_8_3'!A767,"AAAAAG93/d8=")</f>
        <v>#VALUE!</v>
      </c>
      <c r="HQ51" t="e">
        <f>AND('Planilla_General_07-12-2012_8_3'!B767,"AAAAAG93/eA=")</f>
        <v>#VALUE!</v>
      </c>
      <c r="HR51" t="e">
        <f>AND('Planilla_General_07-12-2012_8_3'!C767,"AAAAAG93/eE=")</f>
        <v>#VALUE!</v>
      </c>
      <c r="HS51" t="e">
        <f>AND('Planilla_General_07-12-2012_8_3'!D767,"AAAAAG93/eI=")</f>
        <v>#VALUE!</v>
      </c>
      <c r="HT51" t="e">
        <f>AND('Planilla_General_07-12-2012_8_3'!E767,"AAAAAG93/eM=")</f>
        <v>#VALUE!</v>
      </c>
      <c r="HU51" t="e">
        <f>AND('Planilla_General_07-12-2012_8_3'!F767,"AAAAAG93/eQ=")</f>
        <v>#VALUE!</v>
      </c>
      <c r="HV51" t="e">
        <f>AND('Planilla_General_07-12-2012_8_3'!G767,"AAAAAG93/eU=")</f>
        <v>#VALUE!</v>
      </c>
      <c r="HW51" t="e">
        <f>AND('Planilla_General_07-12-2012_8_3'!H767,"AAAAAG93/eY=")</f>
        <v>#VALUE!</v>
      </c>
      <c r="HX51" t="e">
        <f>AND('Planilla_General_07-12-2012_8_3'!I767,"AAAAAG93/ec=")</f>
        <v>#VALUE!</v>
      </c>
      <c r="HY51" t="e">
        <f>AND('Planilla_General_07-12-2012_8_3'!J767,"AAAAAG93/eg=")</f>
        <v>#VALUE!</v>
      </c>
      <c r="HZ51" t="e">
        <f>AND('Planilla_General_07-12-2012_8_3'!K767,"AAAAAG93/ek=")</f>
        <v>#VALUE!</v>
      </c>
      <c r="IA51" t="e">
        <f>AND('Planilla_General_07-12-2012_8_3'!L767,"AAAAAG93/eo=")</f>
        <v>#VALUE!</v>
      </c>
      <c r="IB51" t="e">
        <f>AND('Planilla_General_07-12-2012_8_3'!M767,"AAAAAG93/es=")</f>
        <v>#VALUE!</v>
      </c>
      <c r="IC51" t="e">
        <f>AND('Planilla_General_07-12-2012_8_3'!N767,"AAAAAG93/ew=")</f>
        <v>#VALUE!</v>
      </c>
      <c r="ID51" t="e">
        <f>AND('Planilla_General_07-12-2012_8_3'!O767,"AAAAAG93/e0=")</f>
        <v>#VALUE!</v>
      </c>
      <c r="IE51" t="e">
        <f>AND('Planilla_General_07-12-2012_8_3'!P767,"AAAAAG93/e4=")</f>
        <v>#VALUE!</v>
      </c>
      <c r="IF51">
        <f>IF('Planilla_General_07-12-2012_8_3'!768:768,"AAAAAG93/e8=",0)</f>
        <v>0</v>
      </c>
      <c r="IG51" t="e">
        <f>AND('Planilla_General_07-12-2012_8_3'!A768,"AAAAAG93/fA=")</f>
        <v>#VALUE!</v>
      </c>
      <c r="IH51" t="e">
        <f>AND('Planilla_General_07-12-2012_8_3'!B768,"AAAAAG93/fE=")</f>
        <v>#VALUE!</v>
      </c>
      <c r="II51" t="e">
        <f>AND('Planilla_General_07-12-2012_8_3'!C768,"AAAAAG93/fI=")</f>
        <v>#VALUE!</v>
      </c>
      <c r="IJ51" t="e">
        <f>AND('Planilla_General_07-12-2012_8_3'!D768,"AAAAAG93/fM=")</f>
        <v>#VALUE!</v>
      </c>
      <c r="IK51" t="e">
        <f>AND('Planilla_General_07-12-2012_8_3'!E768,"AAAAAG93/fQ=")</f>
        <v>#VALUE!</v>
      </c>
      <c r="IL51" t="e">
        <f>AND('Planilla_General_07-12-2012_8_3'!F768,"AAAAAG93/fU=")</f>
        <v>#VALUE!</v>
      </c>
      <c r="IM51" t="e">
        <f>AND('Planilla_General_07-12-2012_8_3'!G768,"AAAAAG93/fY=")</f>
        <v>#VALUE!</v>
      </c>
      <c r="IN51" t="e">
        <f>AND('Planilla_General_07-12-2012_8_3'!H768,"AAAAAG93/fc=")</f>
        <v>#VALUE!</v>
      </c>
      <c r="IO51" t="e">
        <f>AND('Planilla_General_07-12-2012_8_3'!I768,"AAAAAG93/fg=")</f>
        <v>#VALUE!</v>
      </c>
      <c r="IP51" t="e">
        <f>AND('Planilla_General_07-12-2012_8_3'!J768,"AAAAAG93/fk=")</f>
        <v>#VALUE!</v>
      </c>
      <c r="IQ51" t="e">
        <f>AND('Planilla_General_07-12-2012_8_3'!K768,"AAAAAG93/fo=")</f>
        <v>#VALUE!</v>
      </c>
      <c r="IR51" t="e">
        <f>AND('Planilla_General_07-12-2012_8_3'!L768,"AAAAAG93/fs=")</f>
        <v>#VALUE!</v>
      </c>
      <c r="IS51" t="e">
        <f>AND('Planilla_General_07-12-2012_8_3'!M768,"AAAAAG93/fw=")</f>
        <v>#VALUE!</v>
      </c>
      <c r="IT51" t="e">
        <f>AND('Planilla_General_07-12-2012_8_3'!N768,"AAAAAG93/f0=")</f>
        <v>#VALUE!</v>
      </c>
      <c r="IU51" t="e">
        <f>AND('Planilla_General_07-12-2012_8_3'!O768,"AAAAAG93/f4=")</f>
        <v>#VALUE!</v>
      </c>
      <c r="IV51" t="e">
        <f>AND('Planilla_General_07-12-2012_8_3'!P768,"AAAAAG93/f8=")</f>
        <v>#VALUE!</v>
      </c>
    </row>
    <row r="52" spans="1:256" x14ac:dyDescent="0.25">
      <c r="A52" t="e">
        <f>IF('Planilla_General_07-12-2012_8_3'!769:769,"AAAAADfd9QA=",0)</f>
        <v>#VALUE!</v>
      </c>
      <c r="B52" t="e">
        <f>AND('Planilla_General_07-12-2012_8_3'!A769,"AAAAADfd9QE=")</f>
        <v>#VALUE!</v>
      </c>
      <c r="C52" t="e">
        <f>AND('Planilla_General_07-12-2012_8_3'!B769,"AAAAADfd9QI=")</f>
        <v>#VALUE!</v>
      </c>
      <c r="D52" t="e">
        <f>AND('Planilla_General_07-12-2012_8_3'!C769,"AAAAADfd9QM=")</f>
        <v>#VALUE!</v>
      </c>
      <c r="E52" t="e">
        <f>AND('Planilla_General_07-12-2012_8_3'!D769,"AAAAADfd9QQ=")</f>
        <v>#VALUE!</v>
      </c>
      <c r="F52" t="e">
        <f>AND('Planilla_General_07-12-2012_8_3'!E769,"AAAAADfd9QU=")</f>
        <v>#VALUE!</v>
      </c>
      <c r="G52" t="e">
        <f>AND('Planilla_General_07-12-2012_8_3'!F769,"AAAAADfd9QY=")</f>
        <v>#VALUE!</v>
      </c>
      <c r="H52" t="e">
        <f>AND('Planilla_General_07-12-2012_8_3'!G769,"AAAAADfd9Qc=")</f>
        <v>#VALUE!</v>
      </c>
      <c r="I52" t="e">
        <f>AND('Planilla_General_07-12-2012_8_3'!H769,"AAAAADfd9Qg=")</f>
        <v>#VALUE!</v>
      </c>
      <c r="J52" t="e">
        <f>AND('Planilla_General_07-12-2012_8_3'!I769,"AAAAADfd9Qk=")</f>
        <v>#VALUE!</v>
      </c>
      <c r="K52" t="e">
        <f>AND('Planilla_General_07-12-2012_8_3'!J769,"AAAAADfd9Qo=")</f>
        <v>#VALUE!</v>
      </c>
      <c r="L52" t="e">
        <f>AND('Planilla_General_07-12-2012_8_3'!K769,"AAAAADfd9Qs=")</f>
        <v>#VALUE!</v>
      </c>
      <c r="M52" t="e">
        <f>AND('Planilla_General_07-12-2012_8_3'!L769,"AAAAADfd9Qw=")</f>
        <v>#VALUE!</v>
      </c>
      <c r="N52" t="e">
        <f>AND('Planilla_General_07-12-2012_8_3'!M769,"AAAAADfd9Q0=")</f>
        <v>#VALUE!</v>
      </c>
      <c r="O52" t="e">
        <f>AND('Planilla_General_07-12-2012_8_3'!N769,"AAAAADfd9Q4=")</f>
        <v>#VALUE!</v>
      </c>
      <c r="P52" t="e">
        <f>AND('Planilla_General_07-12-2012_8_3'!O769,"AAAAADfd9Q8=")</f>
        <v>#VALUE!</v>
      </c>
      <c r="Q52" t="e">
        <f>AND('Planilla_General_07-12-2012_8_3'!P769,"AAAAADfd9RA=")</f>
        <v>#VALUE!</v>
      </c>
      <c r="R52">
        <f>IF('Planilla_General_07-12-2012_8_3'!770:770,"AAAAADfd9RE=",0)</f>
        <v>0</v>
      </c>
      <c r="S52" t="e">
        <f>AND('Planilla_General_07-12-2012_8_3'!A770,"AAAAADfd9RI=")</f>
        <v>#VALUE!</v>
      </c>
      <c r="T52" t="e">
        <f>AND('Planilla_General_07-12-2012_8_3'!B770,"AAAAADfd9RM=")</f>
        <v>#VALUE!</v>
      </c>
      <c r="U52" t="e">
        <f>AND('Planilla_General_07-12-2012_8_3'!C770,"AAAAADfd9RQ=")</f>
        <v>#VALUE!</v>
      </c>
      <c r="V52" t="e">
        <f>AND('Planilla_General_07-12-2012_8_3'!D770,"AAAAADfd9RU=")</f>
        <v>#VALUE!</v>
      </c>
      <c r="W52" t="e">
        <f>AND('Planilla_General_07-12-2012_8_3'!E770,"AAAAADfd9RY=")</f>
        <v>#VALUE!</v>
      </c>
      <c r="X52" t="e">
        <f>AND('Planilla_General_07-12-2012_8_3'!F770,"AAAAADfd9Rc=")</f>
        <v>#VALUE!</v>
      </c>
      <c r="Y52" t="e">
        <f>AND('Planilla_General_07-12-2012_8_3'!G770,"AAAAADfd9Rg=")</f>
        <v>#VALUE!</v>
      </c>
      <c r="Z52" t="e">
        <f>AND('Planilla_General_07-12-2012_8_3'!H770,"AAAAADfd9Rk=")</f>
        <v>#VALUE!</v>
      </c>
      <c r="AA52" t="e">
        <f>AND('Planilla_General_07-12-2012_8_3'!I770,"AAAAADfd9Ro=")</f>
        <v>#VALUE!</v>
      </c>
      <c r="AB52" t="e">
        <f>AND('Planilla_General_07-12-2012_8_3'!J770,"AAAAADfd9Rs=")</f>
        <v>#VALUE!</v>
      </c>
      <c r="AC52" t="e">
        <f>AND('Planilla_General_07-12-2012_8_3'!K770,"AAAAADfd9Rw=")</f>
        <v>#VALUE!</v>
      </c>
      <c r="AD52" t="e">
        <f>AND('Planilla_General_07-12-2012_8_3'!L770,"AAAAADfd9R0=")</f>
        <v>#VALUE!</v>
      </c>
      <c r="AE52" t="e">
        <f>AND('Planilla_General_07-12-2012_8_3'!M770,"AAAAADfd9R4=")</f>
        <v>#VALUE!</v>
      </c>
      <c r="AF52" t="e">
        <f>AND('Planilla_General_07-12-2012_8_3'!N770,"AAAAADfd9R8=")</f>
        <v>#VALUE!</v>
      </c>
      <c r="AG52" t="e">
        <f>AND('Planilla_General_07-12-2012_8_3'!O770,"AAAAADfd9SA=")</f>
        <v>#VALUE!</v>
      </c>
      <c r="AH52" t="e">
        <f>AND('Planilla_General_07-12-2012_8_3'!P770,"AAAAADfd9SE=")</f>
        <v>#VALUE!</v>
      </c>
      <c r="AI52">
        <f>IF('Planilla_General_07-12-2012_8_3'!771:771,"AAAAADfd9SI=",0)</f>
        <v>0</v>
      </c>
      <c r="AJ52" t="e">
        <f>AND('Planilla_General_07-12-2012_8_3'!A771,"AAAAADfd9SM=")</f>
        <v>#VALUE!</v>
      </c>
      <c r="AK52" t="e">
        <f>AND('Planilla_General_07-12-2012_8_3'!B771,"AAAAADfd9SQ=")</f>
        <v>#VALUE!</v>
      </c>
      <c r="AL52" t="e">
        <f>AND('Planilla_General_07-12-2012_8_3'!C771,"AAAAADfd9SU=")</f>
        <v>#VALUE!</v>
      </c>
      <c r="AM52" t="e">
        <f>AND('Planilla_General_07-12-2012_8_3'!D771,"AAAAADfd9SY=")</f>
        <v>#VALUE!</v>
      </c>
      <c r="AN52" t="e">
        <f>AND('Planilla_General_07-12-2012_8_3'!E771,"AAAAADfd9Sc=")</f>
        <v>#VALUE!</v>
      </c>
      <c r="AO52" t="e">
        <f>AND('Planilla_General_07-12-2012_8_3'!F771,"AAAAADfd9Sg=")</f>
        <v>#VALUE!</v>
      </c>
      <c r="AP52" t="e">
        <f>AND('Planilla_General_07-12-2012_8_3'!G771,"AAAAADfd9Sk=")</f>
        <v>#VALUE!</v>
      </c>
      <c r="AQ52" t="e">
        <f>AND('Planilla_General_07-12-2012_8_3'!H771,"AAAAADfd9So=")</f>
        <v>#VALUE!</v>
      </c>
      <c r="AR52" t="e">
        <f>AND('Planilla_General_07-12-2012_8_3'!I771,"AAAAADfd9Ss=")</f>
        <v>#VALUE!</v>
      </c>
      <c r="AS52" t="e">
        <f>AND('Planilla_General_07-12-2012_8_3'!J771,"AAAAADfd9Sw=")</f>
        <v>#VALUE!</v>
      </c>
      <c r="AT52" t="e">
        <f>AND('Planilla_General_07-12-2012_8_3'!K771,"AAAAADfd9S0=")</f>
        <v>#VALUE!</v>
      </c>
      <c r="AU52" t="e">
        <f>AND('Planilla_General_07-12-2012_8_3'!L771,"AAAAADfd9S4=")</f>
        <v>#VALUE!</v>
      </c>
      <c r="AV52" t="e">
        <f>AND('Planilla_General_07-12-2012_8_3'!M771,"AAAAADfd9S8=")</f>
        <v>#VALUE!</v>
      </c>
      <c r="AW52" t="e">
        <f>AND('Planilla_General_07-12-2012_8_3'!N771,"AAAAADfd9TA=")</f>
        <v>#VALUE!</v>
      </c>
      <c r="AX52" t="e">
        <f>AND('Planilla_General_07-12-2012_8_3'!O771,"AAAAADfd9TE=")</f>
        <v>#VALUE!</v>
      </c>
      <c r="AY52" t="e">
        <f>AND('Planilla_General_07-12-2012_8_3'!P771,"AAAAADfd9TI=")</f>
        <v>#VALUE!</v>
      </c>
      <c r="AZ52">
        <f>IF('Planilla_General_07-12-2012_8_3'!772:772,"AAAAADfd9TM=",0)</f>
        <v>0</v>
      </c>
      <c r="BA52" t="e">
        <f>AND('Planilla_General_07-12-2012_8_3'!A772,"AAAAADfd9TQ=")</f>
        <v>#VALUE!</v>
      </c>
      <c r="BB52" t="e">
        <f>AND('Planilla_General_07-12-2012_8_3'!B772,"AAAAADfd9TU=")</f>
        <v>#VALUE!</v>
      </c>
      <c r="BC52" t="e">
        <f>AND('Planilla_General_07-12-2012_8_3'!C772,"AAAAADfd9TY=")</f>
        <v>#VALUE!</v>
      </c>
      <c r="BD52" t="e">
        <f>AND('Planilla_General_07-12-2012_8_3'!D772,"AAAAADfd9Tc=")</f>
        <v>#VALUE!</v>
      </c>
      <c r="BE52" t="e">
        <f>AND('Planilla_General_07-12-2012_8_3'!E772,"AAAAADfd9Tg=")</f>
        <v>#VALUE!</v>
      </c>
      <c r="BF52" t="e">
        <f>AND('Planilla_General_07-12-2012_8_3'!F772,"AAAAADfd9Tk=")</f>
        <v>#VALUE!</v>
      </c>
      <c r="BG52" t="e">
        <f>AND('Planilla_General_07-12-2012_8_3'!G772,"AAAAADfd9To=")</f>
        <v>#VALUE!</v>
      </c>
      <c r="BH52" t="e">
        <f>AND('Planilla_General_07-12-2012_8_3'!H772,"AAAAADfd9Ts=")</f>
        <v>#VALUE!</v>
      </c>
      <c r="BI52" t="e">
        <f>AND('Planilla_General_07-12-2012_8_3'!I772,"AAAAADfd9Tw=")</f>
        <v>#VALUE!</v>
      </c>
      <c r="BJ52" t="e">
        <f>AND('Planilla_General_07-12-2012_8_3'!J772,"AAAAADfd9T0=")</f>
        <v>#VALUE!</v>
      </c>
      <c r="BK52" t="e">
        <f>AND('Planilla_General_07-12-2012_8_3'!K772,"AAAAADfd9T4=")</f>
        <v>#VALUE!</v>
      </c>
      <c r="BL52" t="e">
        <f>AND('Planilla_General_07-12-2012_8_3'!L772,"AAAAADfd9T8=")</f>
        <v>#VALUE!</v>
      </c>
      <c r="BM52" t="e">
        <f>AND('Planilla_General_07-12-2012_8_3'!M772,"AAAAADfd9UA=")</f>
        <v>#VALUE!</v>
      </c>
      <c r="BN52" t="e">
        <f>AND('Planilla_General_07-12-2012_8_3'!N772,"AAAAADfd9UE=")</f>
        <v>#VALUE!</v>
      </c>
      <c r="BO52" t="e">
        <f>AND('Planilla_General_07-12-2012_8_3'!O772,"AAAAADfd9UI=")</f>
        <v>#VALUE!</v>
      </c>
      <c r="BP52" t="e">
        <f>AND('Planilla_General_07-12-2012_8_3'!P772,"AAAAADfd9UM=")</f>
        <v>#VALUE!</v>
      </c>
      <c r="BQ52">
        <f>IF('Planilla_General_07-12-2012_8_3'!773:773,"AAAAADfd9UQ=",0)</f>
        <v>0</v>
      </c>
      <c r="BR52" t="e">
        <f>AND('Planilla_General_07-12-2012_8_3'!A773,"AAAAADfd9UU=")</f>
        <v>#VALUE!</v>
      </c>
      <c r="BS52" t="e">
        <f>AND('Planilla_General_07-12-2012_8_3'!B773,"AAAAADfd9UY=")</f>
        <v>#VALUE!</v>
      </c>
      <c r="BT52" t="e">
        <f>AND('Planilla_General_07-12-2012_8_3'!C773,"AAAAADfd9Uc=")</f>
        <v>#VALUE!</v>
      </c>
      <c r="BU52" t="e">
        <f>AND('Planilla_General_07-12-2012_8_3'!D773,"AAAAADfd9Ug=")</f>
        <v>#VALUE!</v>
      </c>
      <c r="BV52" t="e">
        <f>AND('Planilla_General_07-12-2012_8_3'!E773,"AAAAADfd9Uk=")</f>
        <v>#VALUE!</v>
      </c>
      <c r="BW52" t="e">
        <f>AND('Planilla_General_07-12-2012_8_3'!F773,"AAAAADfd9Uo=")</f>
        <v>#VALUE!</v>
      </c>
      <c r="BX52" t="e">
        <f>AND('Planilla_General_07-12-2012_8_3'!G773,"AAAAADfd9Us=")</f>
        <v>#VALUE!</v>
      </c>
      <c r="BY52" t="e">
        <f>AND('Planilla_General_07-12-2012_8_3'!H773,"AAAAADfd9Uw=")</f>
        <v>#VALUE!</v>
      </c>
      <c r="BZ52" t="e">
        <f>AND('Planilla_General_07-12-2012_8_3'!I773,"AAAAADfd9U0=")</f>
        <v>#VALUE!</v>
      </c>
      <c r="CA52" t="e">
        <f>AND('Planilla_General_07-12-2012_8_3'!J773,"AAAAADfd9U4=")</f>
        <v>#VALUE!</v>
      </c>
      <c r="CB52" t="e">
        <f>AND('Planilla_General_07-12-2012_8_3'!K773,"AAAAADfd9U8=")</f>
        <v>#VALUE!</v>
      </c>
      <c r="CC52" t="e">
        <f>AND('Planilla_General_07-12-2012_8_3'!L773,"AAAAADfd9VA=")</f>
        <v>#VALUE!</v>
      </c>
      <c r="CD52" t="e">
        <f>AND('Planilla_General_07-12-2012_8_3'!M773,"AAAAADfd9VE=")</f>
        <v>#VALUE!</v>
      </c>
      <c r="CE52" t="e">
        <f>AND('Planilla_General_07-12-2012_8_3'!N773,"AAAAADfd9VI=")</f>
        <v>#VALUE!</v>
      </c>
      <c r="CF52" t="e">
        <f>AND('Planilla_General_07-12-2012_8_3'!O773,"AAAAADfd9VM=")</f>
        <v>#VALUE!</v>
      </c>
      <c r="CG52" t="e">
        <f>AND('Planilla_General_07-12-2012_8_3'!P773,"AAAAADfd9VQ=")</f>
        <v>#VALUE!</v>
      </c>
      <c r="CH52">
        <f>IF('Planilla_General_07-12-2012_8_3'!774:774,"AAAAADfd9VU=",0)</f>
        <v>0</v>
      </c>
      <c r="CI52" t="e">
        <f>AND('Planilla_General_07-12-2012_8_3'!A774,"AAAAADfd9VY=")</f>
        <v>#VALUE!</v>
      </c>
      <c r="CJ52" t="e">
        <f>AND('Planilla_General_07-12-2012_8_3'!B774,"AAAAADfd9Vc=")</f>
        <v>#VALUE!</v>
      </c>
      <c r="CK52" t="e">
        <f>AND('Planilla_General_07-12-2012_8_3'!C774,"AAAAADfd9Vg=")</f>
        <v>#VALUE!</v>
      </c>
      <c r="CL52" t="e">
        <f>AND('Planilla_General_07-12-2012_8_3'!D774,"AAAAADfd9Vk=")</f>
        <v>#VALUE!</v>
      </c>
      <c r="CM52" t="e">
        <f>AND('Planilla_General_07-12-2012_8_3'!E774,"AAAAADfd9Vo=")</f>
        <v>#VALUE!</v>
      </c>
      <c r="CN52" t="e">
        <f>AND('Planilla_General_07-12-2012_8_3'!F774,"AAAAADfd9Vs=")</f>
        <v>#VALUE!</v>
      </c>
      <c r="CO52" t="e">
        <f>AND('Planilla_General_07-12-2012_8_3'!G774,"AAAAADfd9Vw=")</f>
        <v>#VALUE!</v>
      </c>
      <c r="CP52" t="e">
        <f>AND('Planilla_General_07-12-2012_8_3'!H774,"AAAAADfd9V0=")</f>
        <v>#VALUE!</v>
      </c>
      <c r="CQ52" t="e">
        <f>AND('Planilla_General_07-12-2012_8_3'!I774,"AAAAADfd9V4=")</f>
        <v>#VALUE!</v>
      </c>
      <c r="CR52" t="e">
        <f>AND('Planilla_General_07-12-2012_8_3'!J774,"AAAAADfd9V8=")</f>
        <v>#VALUE!</v>
      </c>
      <c r="CS52" t="e">
        <f>AND('Planilla_General_07-12-2012_8_3'!K774,"AAAAADfd9WA=")</f>
        <v>#VALUE!</v>
      </c>
      <c r="CT52" t="e">
        <f>AND('Planilla_General_07-12-2012_8_3'!L774,"AAAAADfd9WE=")</f>
        <v>#VALUE!</v>
      </c>
      <c r="CU52" t="e">
        <f>AND('Planilla_General_07-12-2012_8_3'!M774,"AAAAADfd9WI=")</f>
        <v>#VALUE!</v>
      </c>
      <c r="CV52" t="e">
        <f>AND('Planilla_General_07-12-2012_8_3'!N774,"AAAAADfd9WM=")</f>
        <v>#VALUE!</v>
      </c>
      <c r="CW52" t="e">
        <f>AND('Planilla_General_07-12-2012_8_3'!O774,"AAAAADfd9WQ=")</f>
        <v>#VALUE!</v>
      </c>
      <c r="CX52" t="e">
        <f>AND('Planilla_General_07-12-2012_8_3'!P774,"AAAAADfd9WU=")</f>
        <v>#VALUE!</v>
      </c>
      <c r="CY52">
        <f>IF('Planilla_General_07-12-2012_8_3'!775:775,"AAAAADfd9WY=",0)</f>
        <v>0</v>
      </c>
      <c r="CZ52" t="e">
        <f>AND('Planilla_General_07-12-2012_8_3'!A775,"AAAAADfd9Wc=")</f>
        <v>#VALUE!</v>
      </c>
      <c r="DA52" t="e">
        <f>AND('Planilla_General_07-12-2012_8_3'!B775,"AAAAADfd9Wg=")</f>
        <v>#VALUE!</v>
      </c>
      <c r="DB52" t="e">
        <f>AND('Planilla_General_07-12-2012_8_3'!C775,"AAAAADfd9Wk=")</f>
        <v>#VALUE!</v>
      </c>
      <c r="DC52" t="e">
        <f>AND('Planilla_General_07-12-2012_8_3'!D775,"AAAAADfd9Wo=")</f>
        <v>#VALUE!</v>
      </c>
      <c r="DD52" t="e">
        <f>AND('Planilla_General_07-12-2012_8_3'!E775,"AAAAADfd9Ws=")</f>
        <v>#VALUE!</v>
      </c>
      <c r="DE52" t="e">
        <f>AND('Planilla_General_07-12-2012_8_3'!F775,"AAAAADfd9Ww=")</f>
        <v>#VALUE!</v>
      </c>
      <c r="DF52" t="e">
        <f>AND('Planilla_General_07-12-2012_8_3'!G775,"AAAAADfd9W0=")</f>
        <v>#VALUE!</v>
      </c>
      <c r="DG52" t="e">
        <f>AND('Planilla_General_07-12-2012_8_3'!H775,"AAAAADfd9W4=")</f>
        <v>#VALUE!</v>
      </c>
      <c r="DH52" t="e">
        <f>AND('Planilla_General_07-12-2012_8_3'!I775,"AAAAADfd9W8=")</f>
        <v>#VALUE!</v>
      </c>
      <c r="DI52" t="e">
        <f>AND('Planilla_General_07-12-2012_8_3'!J775,"AAAAADfd9XA=")</f>
        <v>#VALUE!</v>
      </c>
      <c r="DJ52" t="e">
        <f>AND('Planilla_General_07-12-2012_8_3'!K775,"AAAAADfd9XE=")</f>
        <v>#VALUE!</v>
      </c>
      <c r="DK52" t="e">
        <f>AND('Planilla_General_07-12-2012_8_3'!L775,"AAAAADfd9XI=")</f>
        <v>#VALUE!</v>
      </c>
      <c r="DL52" t="e">
        <f>AND('Planilla_General_07-12-2012_8_3'!M775,"AAAAADfd9XM=")</f>
        <v>#VALUE!</v>
      </c>
      <c r="DM52" t="e">
        <f>AND('Planilla_General_07-12-2012_8_3'!N775,"AAAAADfd9XQ=")</f>
        <v>#VALUE!</v>
      </c>
      <c r="DN52" t="e">
        <f>AND('Planilla_General_07-12-2012_8_3'!O775,"AAAAADfd9XU=")</f>
        <v>#VALUE!</v>
      </c>
      <c r="DO52" t="e">
        <f>AND('Planilla_General_07-12-2012_8_3'!P775,"AAAAADfd9XY=")</f>
        <v>#VALUE!</v>
      </c>
      <c r="DP52">
        <f>IF('Planilla_General_07-12-2012_8_3'!776:776,"AAAAADfd9Xc=",0)</f>
        <v>0</v>
      </c>
      <c r="DQ52" t="e">
        <f>AND('Planilla_General_07-12-2012_8_3'!A776,"AAAAADfd9Xg=")</f>
        <v>#VALUE!</v>
      </c>
      <c r="DR52" t="e">
        <f>AND('Planilla_General_07-12-2012_8_3'!B776,"AAAAADfd9Xk=")</f>
        <v>#VALUE!</v>
      </c>
      <c r="DS52" t="e">
        <f>AND('Planilla_General_07-12-2012_8_3'!C776,"AAAAADfd9Xo=")</f>
        <v>#VALUE!</v>
      </c>
      <c r="DT52" t="e">
        <f>AND('Planilla_General_07-12-2012_8_3'!D776,"AAAAADfd9Xs=")</f>
        <v>#VALUE!</v>
      </c>
      <c r="DU52" t="e">
        <f>AND('Planilla_General_07-12-2012_8_3'!E776,"AAAAADfd9Xw=")</f>
        <v>#VALUE!</v>
      </c>
      <c r="DV52" t="e">
        <f>AND('Planilla_General_07-12-2012_8_3'!F776,"AAAAADfd9X0=")</f>
        <v>#VALUE!</v>
      </c>
      <c r="DW52" t="e">
        <f>AND('Planilla_General_07-12-2012_8_3'!G776,"AAAAADfd9X4=")</f>
        <v>#VALUE!</v>
      </c>
      <c r="DX52" t="e">
        <f>AND('Planilla_General_07-12-2012_8_3'!H776,"AAAAADfd9X8=")</f>
        <v>#VALUE!</v>
      </c>
      <c r="DY52" t="e">
        <f>AND('Planilla_General_07-12-2012_8_3'!I776,"AAAAADfd9YA=")</f>
        <v>#VALUE!</v>
      </c>
      <c r="DZ52" t="e">
        <f>AND('Planilla_General_07-12-2012_8_3'!J776,"AAAAADfd9YE=")</f>
        <v>#VALUE!</v>
      </c>
      <c r="EA52" t="e">
        <f>AND('Planilla_General_07-12-2012_8_3'!K776,"AAAAADfd9YI=")</f>
        <v>#VALUE!</v>
      </c>
      <c r="EB52" t="e">
        <f>AND('Planilla_General_07-12-2012_8_3'!L776,"AAAAADfd9YM=")</f>
        <v>#VALUE!</v>
      </c>
      <c r="EC52" t="e">
        <f>AND('Planilla_General_07-12-2012_8_3'!M776,"AAAAADfd9YQ=")</f>
        <v>#VALUE!</v>
      </c>
      <c r="ED52" t="e">
        <f>AND('Planilla_General_07-12-2012_8_3'!N776,"AAAAADfd9YU=")</f>
        <v>#VALUE!</v>
      </c>
      <c r="EE52" t="e">
        <f>AND('Planilla_General_07-12-2012_8_3'!O776,"AAAAADfd9YY=")</f>
        <v>#VALUE!</v>
      </c>
      <c r="EF52" t="e">
        <f>AND('Planilla_General_07-12-2012_8_3'!P776,"AAAAADfd9Yc=")</f>
        <v>#VALUE!</v>
      </c>
      <c r="EG52">
        <f>IF('Planilla_General_07-12-2012_8_3'!777:777,"AAAAADfd9Yg=",0)</f>
        <v>0</v>
      </c>
      <c r="EH52" t="e">
        <f>AND('Planilla_General_07-12-2012_8_3'!A777,"AAAAADfd9Yk=")</f>
        <v>#VALUE!</v>
      </c>
      <c r="EI52" t="e">
        <f>AND('Planilla_General_07-12-2012_8_3'!B777,"AAAAADfd9Yo=")</f>
        <v>#VALUE!</v>
      </c>
      <c r="EJ52" t="e">
        <f>AND('Planilla_General_07-12-2012_8_3'!C777,"AAAAADfd9Ys=")</f>
        <v>#VALUE!</v>
      </c>
      <c r="EK52" t="e">
        <f>AND('Planilla_General_07-12-2012_8_3'!D777,"AAAAADfd9Yw=")</f>
        <v>#VALUE!</v>
      </c>
      <c r="EL52" t="e">
        <f>AND('Planilla_General_07-12-2012_8_3'!E777,"AAAAADfd9Y0=")</f>
        <v>#VALUE!</v>
      </c>
      <c r="EM52" t="e">
        <f>AND('Planilla_General_07-12-2012_8_3'!F777,"AAAAADfd9Y4=")</f>
        <v>#VALUE!</v>
      </c>
      <c r="EN52" t="e">
        <f>AND('Planilla_General_07-12-2012_8_3'!G777,"AAAAADfd9Y8=")</f>
        <v>#VALUE!</v>
      </c>
      <c r="EO52" t="e">
        <f>AND('Planilla_General_07-12-2012_8_3'!H777,"AAAAADfd9ZA=")</f>
        <v>#VALUE!</v>
      </c>
      <c r="EP52" t="e">
        <f>AND('Planilla_General_07-12-2012_8_3'!I777,"AAAAADfd9ZE=")</f>
        <v>#VALUE!</v>
      </c>
      <c r="EQ52" t="e">
        <f>AND('Planilla_General_07-12-2012_8_3'!J777,"AAAAADfd9ZI=")</f>
        <v>#VALUE!</v>
      </c>
      <c r="ER52" t="e">
        <f>AND('Planilla_General_07-12-2012_8_3'!K777,"AAAAADfd9ZM=")</f>
        <v>#VALUE!</v>
      </c>
      <c r="ES52" t="e">
        <f>AND('Planilla_General_07-12-2012_8_3'!L777,"AAAAADfd9ZQ=")</f>
        <v>#VALUE!</v>
      </c>
      <c r="ET52" t="e">
        <f>AND('Planilla_General_07-12-2012_8_3'!M777,"AAAAADfd9ZU=")</f>
        <v>#VALUE!</v>
      </c>
      <c r="EU52" t="e">
        <f>AND('Planilla_General_07-12-2012_8_3'!N777,"AAAAADfd9ZY=")</f>
        <v>#VALUE!</v>
      </c>
      <c r="EV52" t="e">
        <f>AND('Planilla_General_07-12-2012_8_3'!O777,"AAAAADfd9Zc=")</f>
        <v>#VALUE!</v>
      </c>
      <c r="EW52" t="e">
        <f>AND('Planilla_General_07-12-2012_8_3'!P777,"AAAAADfd9Zg=")</f>
        <v>#VALUE!</v>
      </c>
      <c r="EX52">
        <f>IF('Planilla_General_07-12-2012_8_3'!778:778,"AAAAADfd9Zk=",0)</f>
        <v>0</v>
      </c>
      <c r="EY52" t="e">
        <f>AND('Planilla_General_07-12-2012_8_3'!A778,"AAAAADfd9Zo=")</f>
        <v>#VALUE!</v>
      </c>
      <c r="EZ52" t="e">
        <f>AND('Planilla_General_07-12-2012_8_3'!B778,"AAAAADfd9Zs=")</f>
        <v>#VALUE!</v>
      </c>
      <c r="FA52" t="e">
        <f>AND('Planilla_General_07-12-2012_8_3'!C778,"AAAAADfd9Zw=")</f>
        <v>#VALUE!</v>
      </c>
      <c r="FB52" t="e">
        <f>AND('Planilla_General_07-12-2012_8_3'!D778,"AAAAADfd9Z0=")</f>
        <v>#VALUE!</v>
      </c>
      <c r="FC52" t="e">
        <f>AND('Planilla_General_07-12-2012_8_3'!E778,"AAAAADfd9Z4=")</f>
        <v>#VALUE!</v>
      </c>
      <c r="FD52" t="e">
        <f>AND('Planilla_General_07-12-2012_8_3'!F778,"AAAAADfd9Z8=")</f>
        <v>#VALUE!</v>
      </c>
      <c r="FE52" t="e">
        <f>AND('Planilla_General_07-12-2012_8_3'!G778,"AAAAADfd9aA=")</f>
        <v>#VALUE!</v>
      </c>
      <c r="FF52" t="e">
        <f>AND('Planilla_General_07-12-2012_8_3'!H778,"AAAAADfd9aE=")</f>
        <v>#VALUE!</v>
      </c>
      <c r="FG52" t="e">
        <f>AND('Planilla_General_07-12-2012_8_3'!I778,"AAAAADfd9aI=")</f>
        <v>#VALUE!</v>
      </c>
      <c r="FH52" t="e">
        <f>AND('Planilla_General_07-12-2012_8_3'!J778,"AAAAADfd9aM=")</f>
        <v>#VALUE!</v>
      </c>
      <c r="FI52" t="e">
        <f>AND('Planilla_General_07-12-2012_8_3'!K778,"AAAAADfd9aQ=")</f>
        <v>#VALUE!</v>
      </c>
      <c r="FJ52" t="e">
        <f>AND('Planilla_General_07-12-2012_8_3'!L778,"AAAAADfd9aU=")</f>
        <v>#VALUE!</v>
      </c>
      <c r="FK52" t="e">
        <f>AND('Planilla_General_07-12-2012_8_3'!M778,"AAAAADfd9aY=")</f>
        <v>#VALUE!</v>
      </c>
      <c r="FL52" t="e">
        <f>AND('Planilla_General_07-12-2012_8_3'!N778,"AAAAADfd9ac=")</f>
        <v>#VALUE!</v>
      </c>
      <c r="FM52" t="e">
        <f>AND('Planilla_General_07-12-2012_8_3'!O778,"AAAAADfd9ag=")</f>
        <v>#VALUE!</v>
      </c>
      <c r="FN52" t="e">
        <f>AND('Planilla_General_07-12-2012_8_3'!P778,"AAAAADfd9ak=")</f>
        <v>#VALUE!</v>
      </c>
      <c r="FO52">
        <f>IF('Planilla_General_07-12-2012_8_3'!779:779,"AAAAADfd9ao=",0)</f>
        <v>0</v>
      </c>
      <c r="FP52" t="e">
        <f>AND('Planilla_General_07-12-2012_8_3'!A779,"AAAAADfd9as=")</f>
        <v>#VALUE!</v>
      </c>
      <c r="FQ52" t="e">
        <f>AND('Planilla_General_07-12-2012_8_3'!B779,"AAAAADfd9aw=")</f>
        <v>#VALUE!</v>
      </c>
      <c r="FR52" t="e">
        <f>AND('Planilla_General_07-12-2012_8_3'!C779,"AAAAADfd9a0=")</f>
        <v>#VALUE!</v>
      </c>
      <c r="FS52" t="e">
        <f>AND('Planilla_General_07-12-2012_8_3'!D779,"AAAAADfd9a4=")</f>
        <v>#VALUE!</v>
      </c>
      <c r="FT52" t="e">
        <f>AND('Planilla_General_07-12-2012_8_3'!E779,"AAAAADfd9a8=")</f>
        <v>#VALUE!</v>
      </c>
      <c r="FU52" t="e">
        <f>AND('Planilla_General_07-12-2012_8_3'!F779,"AAAAADfd9bA=")</f>
        <v>#VALUE!</v>
      </c>
      <c r="FV52" t="e">
        <f>AND('Planilla_General_07-12-2012_8_3'!G779,"AAAAADfd9bE=")</f>
        <v>#VALUE!</v>
      </c>
      <c r="FW52" t="e">
        <f>AND('Planilla_General_07-12-2012_8_3'!H779,"AAAAADfd9bI=")</f>
        <v>#VALUE!</v>
      </c>
      <c r="FX52" t="e">
        <f>AND('Planilla_General_07-12-2012_8_3'!I779,"AAAAADfd9bM=")</f>
        <v>#VALUE!</v>
      </c>
      <c r="FY52" t="e">
        <f>AND('Planilla_General_07-12-2012_8_3'!J779,"AAAAADfd9bQ=")</f>
        <v>#VALUE!</v>
      </c>
      <c r="FZ52" t="e">
        <f>AND('Planilla_General_07-12-2012_8_3'!K779,"AAAAADfd9bU=")</f>
        <v>#VALUE!</v>
      </c>
      <c r="GA52" t="e">
        <f>AND('Planilla_General_07-12-2012_8_3'!L779,"AAAAADfd9bY=")</f>
        <v>#VALUE!</v>
      </c>
      <c r="GB52" t="e">
        <f>AND('Planilla_General_07-12-2012_8_3'!M779,"AAAAADfd9bc=")</f>
        <v>#VALUE!</v>
      </c>
      <c r="GC52" t="e">
        <f>AND('Planilla_General_07-12-2012_8_3'!N779,"AAAAADfd9bg=")</f>
        <v>#VALUE!</v>
      </c>
      <c r="GD52" t="e">
        <f>AND('Planilla_General_07-12-2012_8_3'!O779,"AAAAADfd9bk=")</f>
        <v>#VALUE!</v>
      </c>
      <c r="GE52" t="e">
        <f>AND('Planilla_General_07-12-2012_8_3'!P779,"AAAAADfd9bo=")</f>
        <v>#VALUE!</v>
      </c>
      <c r="GF52">
        <f>IF('Planilla_General_07-12-2012_8_3'!780:780,"AAAAADfd9bs=",0)</f>
        <v>0</v>
      </c>
      <c r="GG52" t="e">
        <f>AND('Planilla_General_07-12-2012_8_3'!A780,"AAAAADfd9bw=")</f>
        <v>#VALUE!</v>
      </c>
      <c r="GH52" t="e">
        <f>AND('Planilla_General_07-12-2012_8_3'!B780,"AAAAADfd9b0=")</f>
        <v>#VALUE!</v>
      </c>
      <c r="GI52" t="e">
        <f>AND('Planilla_General_07-12-2012_8_3'!C780,"AAAAADfd9b4=")</f>
        <v>#VALUE!</v>
      </c>
      <c r="GJ52" t="e">
        <f>AND('Planilla_General_07-12-2012_8_3'!D780,"AAAAADfd9b8=")</f>
        <v>#VALUE!</v>
      </c>
      <c r="GK52" t="e">
        <f>AND('Planilla_General_07-12-2012_8_3'!E780,"AAAAADfd9cA=")</f>
        <v>#VALUE!</v>
      </c>
      <c r="GL52" t="e">
        <f>AND('Planilla_General_07-12-2012_8_3'!F780,"AAAAADfd9cE=")</f>
        <v>#VALUE!</v>
      </c>
      <c r="GM52" t="e">
        <f>AND('Planilla_General_07-12-2012_8_3'!G780,"AAAAADfd9cI=")</f>
        <v>#VALUE!</v>
      </c>
      <c r="GN52" t="e">
        <f>AND('Planilla_General_07-12-2012_8_3'!H780,"AAAAADfd9cM=")</f>
        <v>#VALUE!</v>
      </c>
      <c r="GO52" t="e">
        <f>AND('Planilla_General_07-12-2012_8_3'!I780,"AAAAADfd9cQ=")</f>
        <v>#VALUE!</v>
      </c>
      <c r="GP52" t="e">
        <f>AND('Planilla_General_07-12-2012_8_3'!J780,"AAAAADfd9cU=")</f>
        <v>#VALUE!</v>
      </c>
      <c r="GQ52" t="e">
        <f>AND('Planilla_General_07-12-2012_8_3'!K780,"AAAAADfd9cY=")</f>
        <v>#VALUE!</v>
      </c>
      <c r="GR52" t="e">
        <f>AND('Planilla_General_07-12-2012_8_3'!L780,"AAAAADfd9cc=")</f>
        <v>#VALUE!</v>
      </c>
      <c r="GS52" t="e">
        <f>AND('Planilla_General_07-12-2012_8_3'!M780,"AAAAADfd9cg=")</f>
        <v>#VALUE!</v>
      </c>
      <c r="GT52" t="e">
        <f>AND('Planilla_General_07-12-2012_8_3'!N780,"AAAAADfd9ck=")</f>
        <v>#VALUE!</v>
      </c>
      <c r="GU52" t="e">
        <f>AND('Planilla_General_07-12-2012_8_3'!O780,"AAAAADfd9co=")</f>
        <v>#VALUE!</v>
      </c>
      <c r="GV52" t="e">
        <f>AND('Planilla_General_07-12-2012_8_3'!P780,"AAAAADfd9cs=")</f>
        <v>#VALUE!</v>
      </c>
      <c r="GW52">
        <f>IF('Planilla_General_07-12-2012_8_3'!781:781,"AAAAADfd9cw=",0)</f>
        <v>0</v>
      </c>
      <c r="GX52" t="e">
        <f>AND('Planilla_General_07-12-2012_8_3'!A781,"AAAAADfd9c0=")</f>
        <v>#VALUE!</v>
      </c>
      <c r="GY52" t="e">
        <f>AND('Planilla_General_07-12-2012_8_3'!B781,"AAAAADfd9c4=")</f>
        <v>#VALUE!</v>
      </c>
      <c r="GZ52" t="e">
        <f>AND('Planilla_General_07-12-2012_8_3'!C781,"AAAAADfd9c8=")</f>
        <v>#VALUE!</v>
      </c>
      <c r="HA52" t="e">
        <f>AND('Planilla_General_07-12-2012_8_3'!D781,"AAAAADfd9dA=")</f>
        <v>#VALUE!</v>
      </c>
      <c r="HB52" t="e">
        <f>AND('Planilla_General_07-12-2012_8_3'!E781,"AAAAADfd9dE=")</f>
        <v>#VALUE!</v>
      </c>
      <c r="HC52" t="e">
        <f>AND('Planilla_General_07-12-2012_8_3'!F781,"AAAAADfd9dI=")</f>
        <v>#VALUE!</v>
      </c>
      <c r="HD52" t="e">
        <f>AND('Planilla_General_07-12-2012_8_3'!G781,"AAAAADfd9dM=")</f>
        <v>#VALUE!</v>
      </c>
      <c r="HE52" t="e">
        <f>AND('Planilla_General_07-12-2012_8_3'!H781,"AAAAADfd9dQ=")</f>
        <v>#VALUE!</v>
      </c>
      <c r="HF52" t="e">
        <f>AND('Planilla_General_07-12-2012_8_3'!I781,"AAAAADfd9dU=")</f>
        <v>#VALUE!</v>
      </c>
      <c r="HG52" t="e">
        <f>AND('Planilla_General_07-12-2012_8_3'!J781,"AAAAADfd9dY=")</f>
        <v>#VALUE!</v>
      </c>
      <c r="HH52" t="e">
        <f>AND('Planilla_General_07-12-2012_8_3'!K781,"AAAAADfd9dc=")</f>
        <v>#VALUE!</v>
      </c>
      <c r="HI52" t="e">
        <f>AND('Planilla_General_07-12-2012_8_3'!L781,"AAAAADfd9dg=")</f>
        <v>#VALUE!</v>
      </c>
      <c r="HJ52" t="e">
        <f>AND('Planilla_General_07-12-2012_8_3'!M781,"AAAAADfd9dk=")</f>
        <v>#VALUE!</v>
      </c>
      <c r="HK52" t="e">
        <f>AND('Planilla_General_07-12-2012_8_3'!N781,"AAAAADfd9do=")</f>
        <v>#VALUE!</v>
      </c>
      <c r="HL52" t="e">
        <f>AND('Planilla_General_07-12-2012_8_3'!O781,"AAAAADfd9ds=")</f>
        <v>#VALUE!</v>
      </c>
      <c r="HM52" t="e">
        <f>AND('Planilla_General_07-12-2012_8_3'!P781,"AAAAADfd9dw=")</f>
        <v>#VALUE!</v>
      </c>
      <c r="HN52">
        <f>IF('Planilla_General_07-12-2012_8_3'!782:782,"AAAAADfd9d0=",0)</f>
        <v>0</v>
      </c>
      <c r="HO52" t="e">
        <f>AND('Planilla_General_07-12-2012_8_3'!A782,"AAAAADfd9d4=")</f>
        <v>#VALUE!</v>
      </c>
      <c r="HP52" t="e">
        <f>AND('Planilla_General_07-12-2012_8_3'!B782,"AAAAADfd9d8=")</f>
        <v>#VALUE!</v>
      </c>
      <c r="HQ52" t="e">
        <f>AND('Planilla_General_07-12-2012_8_3'!C782,"AAAAADfd9eA=")</f>
        <v>#VALUE!</v>
      </c>
      <c r="HR52" t="e">
        <f>AND('Planilla_General_07-12-2012_8_3'!D782,"AAAAADfd9eE=")</f>
        <v>#VALUE!</v>
      </c>
      <c r="HS52" t="e">
        <f>AND('Planilla_General_07-12-2012_8_3'!E782,"AAAAADfd9eI=")</f>
        <v>#VALUE!</v>
      </c>
      <c r="HT52" t="e">
        <f>AND('Planilla_General_07-12-2012_8_3'!F782,"AAAAADfd9eM=")</f>
        <v>#VALUE!</v>
      </c>
      <c r="HU52" t="e">
        <f>AND('Planilla_General_07-12-2012_8_3'!G782,"AAAAADfd9eQ=")</f>
        <v>#VALUE!</v>
      </c>
      <c r="HV52" t="e">
        <f>AND('Planilla_General_07-12-2012_8_3'!H782,"AAAAADfd9eU=")</f>
        <v>#VALUE!</v>
      </c>
      <c r="HW52" t="e">
        <f>AND('Planilla_General_07-12-2012_8_3'!I782,"AAAAADfd9eY=")</f>
        <v>#VALUE!</v>
      </c>
      <c r="HX52" t="e">
        <f>AND('Planilla_General_07-12-2012_8_3'!J782,"AAAAADfd9ec=")</f>
        <v>#VALUE!</v>
      </c>
      <c r="HY52" t="e">
        <f>AND('Planilla_General_07-12-2012_8_3'!K782,"AAAAADfd9eg=")</f>
        <v>#VALUE!</v>
      </c>
      <c r="HZ52" t="e">
        <f>AND('Planilla_General_07-12-2012_8_3'!L782,"AAAAADfd9ek=")</f>
        <v>#VALUE!</v>
      </c>
      <c r="IA52" t="e">
        <f>AND('Planilla_General_07-12-2012_8_3'!M782,"AAAAADfd9eo=")</f>
        <v>#VALUE!</v>
      </c>
      <c r="IB52" t="e">
        <f>AND('Planilla_General_07-12-2012_8_3'!N782,"AAAAADfd9es=")</f>
        <v>#VALUE!</v>
      </c>
      <c r="IC52" t="e">
        <f>AND('Planilla_General_07-12-2012_8_3'!O782,"AAAAADfd9ew=")</f>
        <v>#VALUE!</v>
      </c>
      <c r="ID52" t="e">
        <f>AND('Planilla_General_07-12-2012_8_3'!P782,"AAAAADfd9e0=")</f>
        <v>#VALUE!</v>
      </c>
      <c r="IE52">
        <f>IF('Planilla_General_07-12-2012_8_3'!783:783,"AAAAADfd9e4=",0)</f>
        <v>0</v>
      </c>
      <c r="IF52" t="e">
        <f>AND('Planilla_General_07-12-2012_8_3'!A783,"AAAAADfd9e8=")</f>
        <v>#VALUE!</v>
      </c>
      <c r="IG52" t="e">
        <f>AND('Planilla_General_07-12-2012_8_3'!B783,"AAAAADfd9fA=")</f>
        <v>#VALUE!</v>
      </c>
      <c r="IH52" t="e">
        <f>AND('Planilla_General_07-12-2012_8_3'!C783,"AAAAADfd9fE=")</f>
        <v>#VALUE!</v>
      </c>
      <c r="II52" t="e">
        <f>AND('Planilla_General_07-12-2012_8_3'!D783,"AAAAADfd9fI=")</f>
        <v>#VALUE!</v>
      </c>
      <c r="IJ52" t="e">
        <f>AND('Planilla_General_07-12-2012_8_3'!E783,"AAAAADfd9fM=")</f>
        <v>#VALUE!</v>
      </c>
      <c r="IK52" t="e">
        <f>AND('Planilla_General_07-12-2012_8_3'!F783,"AAAAADfd9fQ=")</f>
        <v>#VALUE!</v>
      </c>
      <c r="IL52" t="e">
        <f>AND('Planilla_General_07-12-2012_8_3'!G783,"AAAAADfd9fU=")</f>
        <v>#VALUE!</v>
      </c>
      <c r="IM52" t="e">
        <f>AND('Planilla_General_07-12-2012_8_3'!H783,"AAAAADfd9fY=")</f>
        <v>#VALUE!</v>
      </c>
      <c r="IN52" t="e">
        <f>AND('Planilla_General_07-12-2012_8_3'!I783,"AAAAADfd9fc=")</f>
        <v>#VALUE!</v>
      </c>
      <c r="IO52" t="e">
        <f>AND('Planilla_General_07-12-2012_8_3'!J783,"AAAAADfd9fg=")</f>
        <v>#VALUE!</v>
      </c>
      <c r="IP52" t="e">
        <f>AND('Planilla_General_07-12-2012_8_3'!K783,"AAAAADfd9fk=")</f>
        <v>#VALUE!</v>
      </c>
      <c r="IQ52" t="e">
        <f>AND('Planilla_General_07-12-2012_8_3'!L783,"AAAAADfd9fo=")</f>
        <v>#VALUE!</v>
      </c>
      <c r="IR52" t="e">
        <f>AND('Planilla_General_07-12-2012_8_3'!M783,"AAAAADfd9fs=")</f>
        <v>#VALUE!</v>
      </c>
      <c r="IS52" t="e">
        <f>AND('Planilla_General_07-12-2012_8_3'!N783,"AAAAADfd9fw=")</f>
        <v>#VALUE!</v>
      </c>
      <c r="IT52" t="e">
        <f>AND('Planilla_General_07-12-2012_8_3'!O783,"AAAAADfd9f0=")</f>
        <v>#VALUE!</v>
      </c>
      <c r="IU52" t="e">
        <f>AND('Planilla_General_07-12-2012_8_3'!P783,"AAAAADfd9f4=")</f>
        <v>#VALUE!</v>
      </c>
      <c r="IV52">
        <f>IF('Planilla_General_07-12-2012_8_3'!784:784,"AAAAADfd9f8=",0)</f>
        <v>0</v>
      </c>
    </row>
    <row r="53" spans="1:256" x14ac:dyDescent="0.25">
      <c r="A53" t="e">
        <f>AND('Planilla_General_07-12-2012_8_3'!A784,"AAAAAH3z/gA=")</f>
        <v>#VALUE!</v>
      </c>
      <c r="B53" t="e">
        <f>AND('Planilla_General_07-12-2012_8_3'!B784,"AAAAAH3z/gE=")</f>
        <v>#VALUE!</v>
      </c>
      <c r="C53" t="e">
        <f>AND('Planilla_General_07-12-2012_8_3'!C784,"AAAAAH3z/gI=")</f>
        <v>#VALUE!</v>
      </c>
      <c r="D53" t="e">
        <f>AND('Planilla_General_07-12-2012_8_3'!D784,"AAAAAH3z/gM=")</f>
        <v>#VALUE!</v>
      </c>
      <c r="E53" t="e">
        <f>AND('Planilla_General_07-12-2012_8_3'!E784,"AAAAAH3z/gQ=")</f>
        <v>#VALUE!</v>
      </c>
      <c r="F53" t="e">
        <f>AND('Planilla_General_07-12-2012_8_3'!F784,"AAAAAH3z/gU=")</f>
        <v>#VALUE!</v>
      </c>
      <c r="G53" t="e">
        <f>AND('Planilla_General_07-12-2012_8_3'!G784,"AAAAAH3z/gY=")</f>
        <v>#VALUE!</v>
      </c>
      <c r="H53" t="e">
        <f>AND('Planilla_General_07-12-2012_8_3'!H784,"AAAAAH3z/gc=")</f>
        <v>#VALUE!</v>
      </c>
      <c r="I53" t="e">
        <f>AND('Planilla_General_07-12-2012_8_3'!I784,"AAAAAH3z/gg=")</f>
        <v>#VALUE!</v>
      </c>
      <c r="J53" t="e">
        <f>AND('Planilla_General_07-12-2012_8_3'!J784,"AAAAAH3z/gk=")</f>
        <v>#VALUE!</v>
      </c>
      <c r="K53" t="e">
        <f>AND('Planilla_General_07-12-2012_8_3'!K784,"AAAAAH3z/go=")</f>
        <v>#VALUE!</v>
      </c>
      <c r="L53" t="e">
        <f>AND('Planilla_General_07-12-2012_8_3'!L784,"AAAAAH3z/gs=")</f>
        <v>#VALUE!</v>
      </c>
      <c r="M53" t="e">
        <f>AND('Planilla_General_07-12-2012_8_3'!M784,"AAAAAH3z/gw=")</f>
        <v>#VALUE!</v>
      </c>
      <c r="N53" t="e">
        <f>AND('Planilla_General_07-12-2012_8_3'!N784,"AAAAAH3z/g0=")</f>
        <v>#VALUE!</v>
      </c>
      <c r="O53" t="e">
        <f>AND('Planilla_General_07-12-2012_8_3'!O784,"AAAAAH3z/g4=")</f>
        <v>#VALUE!</v>
      </c>
      <c r="P53" t="e">
        <f>AND('Planilla_General_07-12-2012_8_3'!P784,"AAAAAH3z/g8=")</f>
        <v>#VALUE!</v>
      </c>
      <c r="Q53">
        <f>IF('Planilla_General_07-12-2012_8_3'!785:785,"AAAAAH3z/hA=",0)</f>
        <v>0</v>
      </c>
      <c r="R53" t="e">
        <f>AND('Planilla_General_07-12-2012_8_3'!A785,"AAAAAH3z/hE=")</f>
        <v>#VALUE!</v>
      </c>
      <c r="S53" t="e">
        <f>AND('Planilla_General_07-12-2012_8_3'!B785,"AAAAAH3z/hI=")</f>
        <v>#VALUE!</v>
      </c>
      <c r="T53" t="e">
        <f>AND('Planilla_General_07-12-2012_8_3'!C785,"AAAAAH3z/hM=")</f>
        <v>#VALUE!</v>
      </c>
      <c r="U53" t="e">
        <f>AND('Planilla_General_07-12-2012_8_3'!D785,"AAAAAH3z/hQ=")</f>
        <v>#VALUE!</v>
      </c>
      <c r="V53" t="e">
        <f>AND('Planilla_General_07-12-2012_8_3'!E785,"AAAAAH3z/hU=")</f>
        <v>#VALUE!</v>
      </c>
      <c r="W53" t="e">
        <f>AND('Planilla_General_07-12-2012_8_3'!F785,"AAAAAH3z/hY=")</f>
        <v>#VALUE!</v>
      </c>
      <c r="X53" t="e">
        <f>AND('Planilla_General_07-12-2012_8_3'!G785,"AAAAAH3z/hc=")</f>
        <v>#VALUE!</v>
      </c>
      <c r="Y53" t="e">
        <f>AND('Planilla_General_07-12-2012_8_3'!H785,"AAAAAH3z/hg=")</f>
        <v>#VALUE!</v>
      </c>
      <c r="Z53" t="e">
        <f>AND('Planilla_General_07-12-2012_8_3'!I785,"AAAAAH3z/hk=")</f>
        <v>#VALUE!</v>
      </c>
      <c r="AA53" t="e">
        <f>AND('Planilla_General_07-12-2012_8_3'!J785,"AAAAAH3z/ho=")</f>
        <v>#VALUE!</v>
      </c>
      <c r="AB53" t="e">
        <f>AND('Planilla_General_07-12-2012_8_3'!K785,"AAAAAH3z/hs=")</f>
        <v>#VALUE!</v>
      </c>
      <c r="AC53" t="e">
        <f>AND('Planilla_General_07-12-2012_8_3'!L785,"AAAAAH3z/hw=")</f>
        <v>#VALUE!</v>
      </c>
      <c r="AD53" t="e">
        <f>AND('Planilla_General_07-12-2012_8_3'!M785,"AAAAAH3z/h0=")</f>
        <v>#VALUE!</v>
      </c>
      <c r="AE53" t="e">
        <f>AND('Planilla_General_07-12-2012_8_3'!N785,"AAAAAH3z/h4=")</f>
        <v>#VALUE!</v>
      </c>
      <c r="AF53" t="e">
        <f>AND('Planilla_General_07-12-2012_8_3'!O785,"AAAAAH3z/h8=")</f>
        <v>#VALUE!</v>
      </c>
      <c r="AG53" t="e">
        <f>AND('Planilla_General_07-12-2012_8_3'!P785,"AAAAAH3z/iA=")</f>
        <v>#VALUE!</v>
      </c>
      <c r="AH53">
        <f>IF('Planilla_General_07-12-2012_8_3'!786:786,"AAAAAH3z/iE=",0)</f>
        <v>0</v>
      </c>
      <c r="AI53" t="e">
        <f>AND('Planilla_General_07-12-2012_8_3'!A786,"AAAAAH3z/iI=")</f>
        <v>#VALUE!</v>
      </c>
      <c r="AJ53" t="e">
        <f>AND('Planilla_General_07-12-2012_8_3'!B786,"AAAAAH3z/iM=")</f>
        <v>#VALUE!</v>
      </c>
      <c r="AK53" t="e">
        <f>AND('Planilla_General_07-12-2012_8_3'!C786,"AAAAAH3z/iQ=")</f>
        <v>#VALUE!</v>
      </c>
      <c r="AL53" t="e">
        <f>AND('Planilla_General_07-12-2012_8_3'!D786,"AAAAAH3z/iU=")</f>
        <v>#VALUE!</v>
      </c>
      <c r="AM53" t="e">
        <f>AND('Planilla_General_07-12-2012_8_3'!E786,"AAAAAH3z/iY=")</f>
        <v>#VALUE!</v>
      </c>
      <c r="AN53" t="e">
        <f>AND('Planilla_General_07-12-2012_8_3'!F786,"AAAAAH3z/ic=")</f>
        <v>#VALUE!</v>
      </c>
      <c r="AO53" t="e">
        <f>AND('Planilla_General_07-12-2012_8_3'!G786,"AAAAAH3z/ig=")</f>
        <v>#VALUE!</v>
      </c>
      <c r="AP53" t="e">
        <f>AND('Planilla_General_07-12-2012_8_3'!H786,"AAAAAH3z/ik=")</f>
        <v>#VALUE!</v>
      </c>
      <c r="AQ53" t="e">
        <f>AND('Planilla_General_07-12-2012_8_3'!I786,"AAAAAH3z/io=")</f>
        <v>#VALUE!</v>
      </c>
      <c r="AR53" t="e">
        <f>AND('Planilla_General_07-12-2012_8_3'!J786,"AAAAAH3z/is=")</f>
        <v>#VALUE!</v>
      </c>
      <c r="AS53" t="e">
        <f>AND('Planilla_General_07-12-2012_8_3'!K786,"AAAAAH3z/iw=")</f>
        <v>#VALUE!</v>
      </c>
      <c r="AT53" t="e">
        <f>AND('Planilla_General_07-12-2012_8_3'!L786,"AAAAAH3z/i0=")</f>
        <v>#VALUE!</v>
      </c>
      <c r="AU53" t="e">
        <f>AND('Planilla_General_07-12-2012_8_3'!M786,"AAAAAH3z/i4=")</f>
        <v>#VALUE!</v>
      </c>
      <c r="AV53" t="e">
        <f>AND('Planilla_General_07-12-2012_8_3'!N786,"AAAAAH3z/i8=")</f>
        <v>#VALUE!</v>
      </c>
      <c r="AW53" t="e">
        <f>AND('Planilla_General_07-12-2012_8_3'!O786,"AAAAAH3z/jA=")</f>
        <v>#VALUE!</v>
      </c>
      <c r="AX53" t="e">
        <f>AND('Planilla_General_07-12-2012_8_3'!P786,"AAAAAH3z/jE=")</f>
        <v>#VALUE!</v>
      </c>
      <c r="AY53">
        <f>IF('Planilla_General_07-12-2012_8_3'!787:787,"AAAAAH3z/jI=",0)</f>
        <v>0</v>
      </c>
      <c r="AZ53" t="e">
        <f>AND('Planilla_General_07-12-2012_8_3'!A787,"AAAAAH3z/jM=")</f>
        <v>#VALUE!</v>
      </c>
      <c r="BA53" t="e">
        <f>AND('Planilla_General_07-12-2012_8_3'!B787,"AAAAAH3z/jQ=")</f>
        <v>#VALUE!</v>
      </c>
      <c r="BB53" t="e">
        <f>AND('Planilla_General_07-12-2012_8_3'!C787,"AAAAAH3z/jU=")</f>
        <v>#VALUE!</v>
      </c>
      <c r="BC53" t="e">
        <f>AND('Planilla_General_07-12-2012_8_3'!D787,"AAAAAH3z/jY=")</f>
        <v>#VALUE!</v>
      </c>
      <c r="BD53" t="e">
        <f>AND('Planilla_General_07-12-2012_8_3'!E787,"AAAAAH3z/jc=")</f>
        <v>#VALUE!</v>
      </c>
      <c r="BE53" t="e">
        <f>AND('Planilla_General_07-12-2012_8_3'!F787,"AAAAAH3z/jg=")</f>
        <v>#VALUE!</v>
      </c>
      <c r="BF53" t="e">
        <f>AND('Planilla_General_07-12-2012_8_3'!G787,"AAAAAH3z/jk=")</f>
        <v>#VALUE!</v>
      </c>
      <c r="BG53" t="e">
        <f>AND('Planilla_General_07-12-2012_8_3'!H787,"AAAAAH3z/jo=")</f>
        <v>#VALUE!</v>
      </c>
      <c r="BH53" t="e">
        <f>AND('Planilla_General_07-12-2012_8_3'!I787,"AAAAAH3z/js=")</f>
        <v>#VALUE!</v>
      </c>
      <c r="BI53" t="e">
        <f>AND('Planilla_General_07-12-2012_8_3'!J787,"AAAAAH3z/jw=")</f>
        <v>#VALUE!</v>
      </c>
      <c r="BJ53" t="e">
        <f>AND('Planilla_General_07-12-2012_8_3'!K787,"AAAAAH3z/j0=")</f>
        <v>#VALUE!</v>
      </c>
      <c r="BK53" t="e">
        <f>AND('Planilla_General_07-12-2012_8_3'!L787,"AAAAAH3z/j4=")</f>
        <v>#VALUE!</v>
      </c>
      <c r="BL53" t="e">
        <f>AND('Planilla_General_07-12-2012_8_3'!M787,"AAAAAH3z/j8=")</f>
        <v>#VALUE!</v>
      </c>
      <c r="BM53" t="e">
        <f>AND('Planilla_General_07-12-2012_8_3'!N787,"AAAAAH3z/kA=")</f>
        <v>#VALUE!</v>
      </c>
      <c r="BN53" t="e">
        <f>AND('Planilla_General_07-12-2012_8_3'!O787,"AAAAAH3z/kE=")</f>
        <v>#VALUE!</v>
      </c>
      <c r="BO53" t="e">
        <f>AND('Planilla_General_07-12-2012_8_3'!P787,"AAAAAH3z/kI=")</f>
        <v>#VALUE!</v>
      </c>
      <c r="BP53">
        <f>IF('Planilla_General_07-12-2012_8_3'!788:788,"AAAAAH3z/kM=",0)</f>
        <v>0</v>
      </c>
      <c r="BQ53" t="e">
        <f>AND('Planilla_General_07-12-2012_8_3'!A788,"AAAAAH3z/kQ=")</f>
        <v>#VALUE!</v>
      </c>
      <c r="BR53" t="e">
        <f>AND('Planilla_General_07-12-2012_8_3'!B788,"AAAAAH3z/kU=")</f>
        <v>#VALUE!</v>
      </c>
      <c r="BS53" t="e">
        <f>AND('Planilla_General_07-12-2012_8_3'!C788,"AAAAAH3z/kY=")</f>
        <v>#VALUE!</v>
      </c>
      <c r="BT53" t="e">
        <f>AND('Planilla_General_07-12-2012_8_3'!D788,"AAAAAH3z/kc=")</f>
        <v>#VALUE!</v>
      </c>
      <c r="BU53" t="e">
        <f>AND('Planilla_General_07-12-2012_8_3'!E788,"AAAAAH3z/kg=")</f>
        <v>#VALUE!</v>
      </c>
      <c r="BV53" t="e">
        <f>AND('Planilla_General_07-12-2012_8_3'!F788,"AAAAAH3z/kk=")</f>
        <v>#VALUE!</v>
      </c>
      <c r="BW53" t="e">
        <f>AND('Planilla_General_07-12-2012_8_3'!G788,"AAAAAH3z/ko=")</f>
        <v>#VALUE!</v>
      </c>
      <c r="BX53" t="e">
        <f>AND('Planilla_General_07-12-2012_8_3'!H788,"AAAAAH3z/ks=")</f>
        <v>#VALUE!</v>
      </c>
      <c r="BY53" t="e">
        <f>AND('Planilla_General_07-12-2012_8_3'!I788,"AAAAAH3z/kw=")</f>
        <v>#VALUE!</v>
      </c>
      <c r="BZ53" t="e">
        <f>AND('Planilla_General_07-12-2012_8_3'!J788,"AAAAAH3z/k0=")</f>
        <v>#VALUE!</v>
      </c>
      <c r="CA53" t="e">
        <f>AND('Planilla_General_07-12-2012_8_3'!K788,"AAAAAH3z/k4=")</f>
        <v>#VALUE!</v>
      </c>
      <c r="CB53" t="e">
        <f>AND('Planilla_General_07-12-2012_8_3'!L788,"AAAAAH3z/k8=")</f>
        <v>#VALUE!</v>
      </c>
      <c r="CC53" t="e">
        <f>AND('Planilla_General_07-12-2012_8_3'!M788,"AAAAAH3z/lA=")</f>
        <v>#VALUE!</v>
      </c>
      <c r="CD53" t="e">
        <f>AND('Planilla_General_07-12-2012_8_3'!N788,"AAAAAH3z/lE=")</f>
        <v>#VALUE!</v>
      </c>
      <c r="CE53" t="e">
        <f>AND('Planilla_General_07-12-2012_8_3'!O788,"AAAAAH3z/lI=")</f>
        <v>#VALUE!</v>
      </c>
      <c r="CF53" t="e">
        <f>AND('Planilla_General_07-12-2012_8_3'!P788,"AAAAAH3z/lM=")</f>
        <v>#VALUE!</v>
      </c>
      <c r="CG53">
        <f>IF('Planilla_General_07-12-2012_8_3'!789:789,"AAAAAH3z/lQ=",0)</f>
        <v>0</v>
      </c>
      <c r="CH53" t="e">
        <f>AND('Planilla_General_07-12-2012_8_3'!A789,"AAAAAH3z/lU=")</f>
        <v>#VALUE!</v>
      </c>
      <c r="CI53" t="e">
        <f>AND('Planilla_General_07-12-2012_8_3'!B789,"AAAAAH3z/lY=")</f>
        <v>#VALUE!</v>
      </c>
      <c r="CJ53" t="e">
        <f>AND('Planilla_General_07-12-2012_8_3'!C789,"AAAAAH3z/lc=")</f>
        <v>#VALUE!</v>
      </c>
      <c r="CK53" t="e">
        <f>AND('Planilla_General_07-12-2012_8_3'!D789,"AAAAAH3z/lg=")</f>
        <v>#VALUE!</v>
      </c>
      <c r="CL53" t="e">
        <f>AND('Planilla_General_07-12-2012_8_3'!E789,"AAAAAH3z/lk=")</f>
        <v>#VALUE!</v>
      </c>
      <c r="CM53" t="e">
        <f>AND('Planilla_General_07-12-2012_8_3'!F789,"AAAAAH3z/lo=")</f>
        <v>#VALUE!</v>
      </c>
      <c r="CN53" t="e">
        <f>AND('Planilla_General_07-12-2012_8_3'!G789,"AAAAAH3z/ls=")</f>
        <v>#VALUE!</v>
      </c>
      <c r="CO53" t="e">
        <f>AND('Planilla_General_07-12-2012_8_3'!H789,"AAAAAH3z/lw=")</f>
        <v>#VALUE!</v>
      </c>
      <c r="CP53" t="e">
        <f>AND('Planilla_General_07-12-2012_8_3'!I789,"AAAAAH3z/l0=")</f>
        <v>#VALUE!</v>
      </c>
      <c r="CQ53" t="e">
        <f>AND('Planilla_General_07-12-2012_8_3'!J789,"AAAAAH3z/l4=")</f>
        <v>#VALUE!</v>
      </c>
      <c r="CR53" t="e">
        <f>AND('Planilla_General_07-12-2012_8_3'!K789,"AAAAAH3z/l8=")</f>
        <v>#VALUE!</v>
      </c>
      <c r="CS53" t="e">
        <f>AND('Planilla_General_07-12-2012_8_3'!L789,"AAAAAH3z/mA=")</f>
        <v>#VALUE!</v>
      </c>
      <c r="CT53" t="e">
        <f>AND('Planilla_General_07-12-2012_8_3'!M789,"AAAAAH3z/mE=")</f>
        <v>#VALUE!</v>
      </c>
      <c r="CU53" t="e">
        <f>AND('Planilla_General_07-12-2012_8_3'!N789,"AAAAAH3z/mI=")</f>
        <v>#VALUE!</v>
      </c>
      <c r="CV53" t="e">
        <f>AND('Planilla_General_07-12-2012_8_3'!O789,"AAAAAH3z/mM=")</f>
        <v>#VALUE!</v>
      </c>
      <c r="CW53" t="e">
        <f>AND('Planilla_General_07-12-2012_8_3'!P789,"AAAAAH3z/mQ=")</f>
        <v>#VALUE!</v>
      </c>
      <c r="CX53">
        <f>IF('Planilla_General_07-12-2012_8_3'!790:790,"AAAAAH3z/mU=",0)</f>
        <v>0</v>
      </c>
      <c r="CY53" t="e">
        <f>AND('Planilla_General_07-12-2012_8_3'!A790,"AAAAAH3z/mY=")</f>
        <v>#VALUE!</v>
      </c>
      <c r="CZ53" t="e">
        <f>AND('Planilla_General_07-12-2012_8_3'!B790,"AAAAAH3z/mc=")</f>
        <v>#VALUE!</v>
      </c>
      <c r="DA53" t="e">
        <f>AND('Planilla_General_07-12-2012_8_3'!C790,"AAAAAH3z/mg=")</f>
        <v>#VALUE!</v>
      </c>
      <c r="DB53" t="e">
        <f>AND('Planilla_General_07-12-2012_8_3'!D790,"AAAAAH3z/mk=")</f>
        <v>#VALUE!</v>
      </c>
      <c r="DC53" t="e">
        <f>AND('Planilla_General_07-12-2012_8_3'!E790,"AAAAAH3z/mo=")</f>
        <v>#VALUE!</v>
      </c>
      <c r="DD53" t="e">
        <f>AND('Planilla_General_07-12-2012_8_3'!F790,"AAAAAH3z/ms=")</f>
        <v>#VALUE!</v>
      </c>
      <c r="DE53" t="e">
        <f>AND('Planilla_General_07-12-2012_8_3'!G790,"AAAAAH3z/mw=")</f>
        <v>#VALUE!</v>
      </c>
      <c r="DF53" t="e">
        <f>AND('Planilla_General_07-12-2012_8_3'!H790,"AAAAAH3z/m0=")</f>
        <v>#VALUE!</v>
      </c>
      <c r="DG53" t="e">
        <f>AND('Planilla_General_07-12-2012_8_3'!I790,"AAAAAH3z/m4=")</f>
        <v>#VALUE!</v>
      </c>
      <c r="DH53" t="e">
        <f>AND('Planilla_General_07-12-2012_8_3'!J790,"AAAAAH3z/m8=")</f>
        <v>#VALUE!</v>
      </c>
      <c r="DI53" t="e">
        <f>AND('Planilla_General_07-12-2012_8_3'!K790,"AAAAAH3z/nA=")</f>
        <v>#VALUE!</v>
      </c>
      <c r="DJ53" t="e">
        <f>AND('Planilla_General_07-12-2012_8_3'!L790,"AAAAAH3z/nE=")</f>
        <v>#VALUE!</v>
      </c>
      <c r="DK53" t="e">
        <f>AND('Planilla_General_07-12-2012_8_3'!M790,"AAAAAH3z/nI=")</f>
        <v>#VALUE!</v>
      </c>
      <c r="DL53" t="e">
        <f>AND('Planilla_General_07-12-2012_8_3'!N790,"AAAAAH3z/nM=")</f>
        <v>#VALUE!</v>
      </c>
      <c r="DM53" t="e">
        <f>AND('Planilla_General_07-12-2012_8_3'!O790,"AAAAAH3z/nQ=")</f>
        <v>#VALUE!</v>
      </c>
      <c r="DN53" t="e">
        <f>AND('Planilla_General_07-12-2012_8_3'!P790,"AAAAAH3z/nU=")</f>
        <v>#VALUE!</v>
      </c>
      <c r="DO53">
        <f>IF('Planilla_General_07-12-2012_8_3'!791:791,"AAAAAH3z/nY=",0)</f>
        <v>0</v>
      </c>
      <c r="DP53" t="e">
        <f>AND('Planilla_General_07-12-2012_8_3'!A791,"AAAAAH3z/nc=")</f>
        <v>#VALUE!</v>
      </c>
      <c r="DQ53" t="e">
        <f>AND('Planilla_General_07-12-2012_8_3'!B791,"AAAAAH3z/ng=")</f>
        <v>#VALUE!</v>
      </c>
      <c r="DR53" t="e">
        <f>AND('Planilla_General_07-12-2012_8_3'!C791,"AAAAAH3z/nk=")</f>
        <v>#VALUE!</v>
      </c>
      <c r="DS53" t="e">
        <f>AND('Planilla_General_07-12-2012_8_3'!D791,"AAAAAH3z/no=")</f>
        <v>#VALUE!</v>
      </c>
      <c r="DT53" t="e">
        <f>AND('Planilla_General_07-12-2012_8_3'!E791,"AAAAAH3z/ns=")</f>
        <v>#VALUE!</v>
      </c>
      <c r="DU53" t="e">
        <f>AND('Planilla_General_07-12-2012_8_3'!F791,"AAAAAH3z/nw=")</f>
        <v>#VALUE!</v>
      </c>
      <c r="DV53" t="e">
        <f>AND('Planilla_General_07-12-2012_8_3'!G791,"AAAAAH3z/n0=")</f>
        <v>#VALUE!</v>
      </c>
      <c r="DW53" t="e">
        <f>AND('Planilla_General_07-12-2012_8_3'!H791,"AAAAAH3z/n4=")</f>
        <v>#VALUE!</v>
      </c>
      <c r="DX53" t="e">
        <f>AND('Planilla_General_07-12-2012_8_3'!I791,"AAAAAH3z/n8=")</f>
        <v>#VALUE!</v>
      </c>
      <c r="DY53" t="e">
        <f>AND('Planilla_General_07-12-2012_8_3'!J791,"AAAAAH3z/oA=")</f>
        <v>#VALUE!</v>
      </c>
      <c r="DZ53" t="e">
        <f>AND('Planilla_General_07-12-2012_8_3'!K791,"AAAAAH3z/oE=")</f>
        <v>#VALUE!</v>
      </c>
      <c r="EA53" t="e">
        <f>AND('Planilla_General_07-12-2012_8_3'!L791,"AAAAAH3z/oI=")</f>
        <v>#VALUE!</v>
      </c>
      <c r="EB53" t="e">
        <f>AND('Planilla_General_07-12-2012_8_3'!M791,"AAAAAH3z/oM=")</f>
        <v>#VALUE!</v>
      </c>
      <c r="EC53" t="e">
        <f>AND('Planilla_General_07-12-2012_8_3'!N791,"AAAAAH3z/oQ=")</f>
        <v>#VALUE!</v>
      </c>
      <c r="ED53" t="e">
        <f>AND('Planilla_General_07-12-2012_8_3'!O791,"AAAAAH3z/oU=")</f>
        <v>#VALUE!</v>
      </c>
      <c r="EE53" t="e">
        <f>AND('Planilla_General_07-12-2012_8_3'!P791,"AAAAAH3z/oY=")</f>
        <v>#VALUE!</v>
      </c>
      <c r="EF53">
        <f>IF('Planilla_General_07-12-2012_8_3'!792:792,"AAAAAH3z/oc=",0)</f>
        <v>0</v>
      </c>
      <c r="EG53" t="e">
        <f>AND('Planilla_General_07-12-2012_8_3'!A792,"AAAAAH3z/og=")</f>
        <v>#VALUE!</v>
      </c>
      <c r="EH53" t="e">
        <f>AND('Planilla_General_07-12-2012_8_3'!B792,"AAAAAH3z/ok=")</f>
        <v>#VALUE!</v>
      </c>
      <c r="EI53" t="e">
        <f>AND('Planilla_General_07-12-2012_8_3'!C792,"AAAAAH3z/oo=")</f>
        <v>#VALUE!</v>
      </c>
      <c r="EJ53" t="e">
        <f>AND('Planilla_General_07-12-2012_8_3'!D792,"AAAAAH3z/os=")</f>
        <v>#VALUE!</v>
      </c>
      <c r="EK53" t="e">
        <f>AND('Planilla_General_07-12-2012_8_3'!E792,"AAAAAH3z/ow=")</f>
        <v>#VALUE!</v>
      </c>
      <c r="EL53" t="e">
        <f>AND('Planilla_General_07-12-2012_8_3'!F792,"AAAAAH3z/o0=")</f>
        <v>#VALUE!</v>
      </c>
      <c r="EM53" t="e">
        <f>AND('Planilla_General_07-12-2012_8_3'!G792,"AAAAAH3z/o4=")</f>
        <v>#VALUE!</v>
      </c>
      <c r="EN53" t="e">
        <f>AND('Planilla_General_07-12-2012_8_3'!H792,"AAAAAH3z/o8=")</f>
        <v>#VALUE!</v>
      </c>
      <c r="EO53" t="e">
        <f>AND('Planilla_General_07-12-2012_8_3'!I792,"AAAAAH3z/pA=")</f>
        <v>#VALUE!</v>
      </c>
      <c r="EP53" t="e">
        <f>AND('Planilla_General_07-12-2012_8_3'!J792,"AAAAAH3z/pE=")</f>
        <v>#VALUE!</v>
      </c>
      <c r="EQ53" t="e">
        <f>AND('Planilla_General_07-12-2012_8_3'!K792,"AAAAAH3z/pI=")</f>
        <v>#VALUE!</v>
      </c>
      <c r="ER53" t="e">
        <f>AND('Planilla_General_07-12-2012_8_3'!L792,"AAAAAH3z/pM=")</f>
        <v>#VALUE!</v>
      </c>
      <c r="ES53" t="e">
        <f>AND('Planilla_General_07-12-2012_8_3'!M792,"AAAAAH3z/pQ=")</f>
        <v>#VALUE!</v>
      </c>
      <c r="ET53" t="e">
        <f>AND('Planilla_General_07-12-2012_8_3'!N792,"AAAAAH3z/pU=")</f>
        <v>#VALUE!</v>
      </c>
      <c r="EU53" t="e">
        <f>AND('Planilla_General_07-12-2012_8_3'!O792,"AAAAAH3z/pY=")</f>
        <v>#VALUE!</v>
      </c>
      <c r="EV53" t="e">
        <f>AND('Planilla_General_07-12-2012_8_3'!P792,"AAAAAH3z/pc=")</f>
        <v>#VALUE!</v>
      </c>
      <c r="EW53">
        <f>IF('Planilla_General_07-12-2012_8_3'!793:793,"AAAAAH3z/pg=",0)</f>
        <v>0</v>
      </c>
      <c r="EX53" t="e">
        <f>AND('Planilla_General_07-12-2012_8_3'!A793,"AAAAAH3z/pk=")</f>
        <v>#VALUE!</v>
      </c>
      <c r="EY53" t="e">
        <f>AND('Planilla_General_07-12-2012_8_3'!B793,"AAAAAH3z/po=")</f>
        <v>#VALUE!</v>
      </c>
      <c r="EZ53" t="e">
        <f>AND('Planilla_General_07-12-2012_8_3'!C793,"AAAAAH3z/ps=")</f>
        <v>#VALUE!</v>
      </c>
      <c r="FA53" t="e">
        <f>AND('Planilla_General_07-12-2012_8_3'!D793,"AAAAAH3z/pw=")</f>
        <v>#VALUE!</v>
      </c>
      <c r="FB53" t="e">
        <f>AND('Planilla_General_07-12-2012_8_3'!E793,"AAAAAH3z/p0=")</f>
        <v>#VALUE!</v>
      </c>
      <c r="FC53" t="e">
        <f>AND('Planilla_General_07-12-2012_8_3'!F793,"AAAAAH3z/p4=")</f>
        <v>#VALUE!</v>
      </c>
      <c r="FD53" t="e">
        <f>AND('Planilla_General_07-12-2012_8_3'!G793,"AAAAAH3z/p8=")</f>
        <v>#VALUE!</v>
      </c>
      <c r="FE53" t="e">
        <f>AND('Planilla_General_07-12-2012_8_3'!H793,"AAAAAH3z/qA=")</f>
        <v>#VALUE!</v>
      </c>
      <c r="FF53" t="e">
        <f>AND('Planilla_General_07-12-2012_8_3'!I793,"AAAAAH3z/qE=")</f>
        <v>#VALUE!</v>
      </c>
      <c r="FG53" t="e">
        <f>AND('Planilla_General_07-12-2012_8_3'!J793,"AAAAAH3z/qI=")</f>
        <v>#VALUE!</v>
      </c>
      <c r="FH53" t="e">
        <f>AND('Planilla_General_07-12-2012_8_3'!K793,"AAAAAH3z/qM=")</f>
        <v>#VALUE!</v>
      </c>
      <c r="FI53" t="e">
        <f>AND('Planilla_General_07-12-2012_8_3'!L793,"AAAAAH3z/qQ=")</f>
        <v>#VALUE!</v>
      </c>
      <c r="FJ53" t="e">
        <f>AND('Planilla_General_07-12-2012_8_3'!M793,"AAAAAH3z/qU=")</f>
        <v>#VALUE!</v>
      </c>
      <c r="FK53" t="e">
        <f>AND('Planilla_General_07-12-2012_8_3'!N793,"AAAAAH3z/qY=")</f>
        <v>#VALUE!</v>
      </c>
      <c r="FL53" t="e">
        <f>AND('Planilla_General_07-12-2012_8_3'!O793,"AAAAAH3z/qc=")</f>
        <v>#VALUE!</v>
      </c>
      <c r="FM53" t="e">
        <f>AND('Planilla_General_07-12-2012_8_3'!P793,"AAAAAH3z/qg=")</f>
        <v>#VALUE!</v>
      </c>
      <c r="FN53">
        <f>IF('Planilla_General_07-12-2012_8_3'!794:794,"AAAAAH3z/qk=",0)</f>
        <v>0</v>
      </c>
      <c r="FO53" t="e">
        <f>AND('Planilla_General_07-12-2012_8_3'!A794,"AAAAAH3z/qo=")</f>
        <v>#VALUE!</v>
      </c>
      <c r="FP53" t="e">
        <f>AND('Planilla_General_07-12-2012_8_3'!B794,"AAAAAH3z/qs=")</f>
        <v>#VALUE!</v>
      </c>
      <c r="FQ53" t="e">
        <f>AND('Planilla_General_07-12-2012_8_3'!C794,"AAAAAH3z/qw=")</f>
        <v>#VALUE!</v>
      </c>
      <c r="FR53" t="e">
        <f>AND('Planilla_General_07-12-2012_8_3'!D794,"AAAAAH3z/q0=")</f>
        <v>#VALUE!</v>
      </c>
      <c r="FS53" t="e">
        <f>AND('Planilla_General_07-12-2012_8_3'!E794,"AAAAAH3z/q4=")</f>
        <v>#VALUE!</v>
      </c>
      <c r="FT53" t="e">
        <f>AND('Planilla_General_07-12-2012_8_3'!F794,"AAAAAH3z/q8=")</f>
        <v>#VALUE!</v>
      </c>
      <c r="FU53" t="e">
        <f>AND('Planilla_General_07-12-2012_8_3'!G794,"AAAAAH3z/rA=")</f>
        <v>#VALUE!</v>
      </c>
      <c r="FV53" t="e">
        <f>AND('Planilla_General_07-12-2012_8_3'!H794,"AAAAAH3z/rE=")</f>
        <v>#VALUE!</v>
      </c>
      <c r="FW53" t="e">
        <f>AND('Planilla_General_07-12-2012_8_3'!I794,"AAAAAH3z/rI=")</f>
        <v>#VALUE!</v>
      </c>
      <c r="FX53" t="e">
        <f>AND('Planilla_General_07-12-2012_8_3'!J794,"AAAAAH3z/rM=")</f>
        <v>#VALUE!</v>
      </c>
      <c r="FY53" t="e">
        <f>AND('Planilla_General_07-12-2012_8_3'!K794,"AAAAAH3z/rQ=")</f>
        <v>#VALUE!</v>
      </c>
      <c r="FZ53" t="e">
        <f>AND('Planilla_General_07-12-2012_8_3'!L794,"AAAAAH3z/rU=")</f>
        <v>#VALUE!</v>
      </c>
      <c r="GA53" t="e">
        <f>AND('Planilla_General_07-12-2012_8_3'!M794,"AAAAAH3z/rY=")</f>
        <v>#VALUE!</v>
      </c>
      <c r="GB53" t="e">
        <f>AND('Planilla_General_07-12-2012_8_3'!N794,"AAAAAH3z/rc=")</f>
        <v>#VALUE!</v>
      </c>
      <c r="GC53" t="e">
        <f>AND('Planilla_General_07-12-2012_8_3'!O794,"AAAAAH3z/rg=")</f>
        <v>#VALUE!</v>
      </c>
      <c r="GD53" t="e">
        <f>AND('Planilla_General_07-12-2012_8_3'!P794,"AAAAAH3z/rk=")</f>
        <v>#VALUE!</v>
      </c>
      <c r="GE53">
        <f>IF('Planilla_General_07-12-2012_8_3'!795:795,"AAAAAH3z/ro=",0)</f>
        <v>0</v>
      </c>
      <c r="GF53" t="e">
        <f>AND('Planilla_General_07-12-2012_8_3'!A795,"AAAAAH3z/rs=")</f>
        <v>#VALUE!</v>
      </c>
      <c r="GG53" t="e">
        <f>AND('Planilla_General_07-12-2012_8_3'!B795,"AAAAAH3z/rw=")</f>
        <v>#VALUE!</v>
      </c>
      <c r="GH53" t="e">
        <f>AND('Planilla_General_07-12-2012_8_3'!C795,"AAAAAH3z/r0=")</f>
        <v>#VALUE!</v>
      </c>
      <c r="GI53" t="e">
        <f>AND('Planilla_General_07-12-2012_8_3'!D795,"AAAAAH3z/r4=")</f>
        <v>#VALUE!</v>
      </c>
      <c r="GJ53" t="e">
        <f>AND('Planilla_General_07-12-2012_8_3'!E795,"AAAAAH3z/r8=")</f>
        <v>#VALUE!</v>
      </c>
      <c r="GK53" t="e">
        <f>AND('Planilla_General_07-12-2012_8_3'!F795,"AAAAAH3z/sA=")</f>
        <v>#VALUE!</v>
      </c>
      <c r="GL53" t="e">
        <f>AND('Planilla_General_07-12-2012_8_3'!G795,"AAAAAH3z/sE=")</f>
        <v>#VALUE!</v>
      </c>
      <c r="GM53" t="e">
        <f>AND('Planilla_General_07-12-2012_8_3'!H795,"AAAAAH3z/sI=")</f>
        <v>#VALUE!</v>
      </c>
      <c r="GN53" t="e">
        <f>AND('Planilla_General_07-12-2012_8_3'!I795,"AAAAAH3z/sM=")</f>
        <v>#VALUE!</v>
      </c>
      <c r="GO53" t="e">
        <f>AND('Planilla_General_07-12-2012_8_3'!J795,"AAAAAH3z/sQ=")</f>
        <v>#VALUE!</v>
      </c>
      <c r="GP53" t="e">
        <f>AND('Planilla_General_07-12-2012_8_3'!K795,"AAAAAH3z/sU=")</f>
        <v>#VALUE!</v>
      </c>
      <c r="GQ53" t="e">
        <f>AND('Planilla_General_07-12-2012_8_3'!L795,"AAAAAH3z/sY=")</f>
        <v>#VALUE!</v>
      </c>
      <c r="GR53" t="e">
        <f>AND('Planilla_General_07-12-2012_8_3'!M795,"AAAAAH3z/sc=")</f>
        <v>#VALUE!</v>
      </c>
      <c r="GS53" t="e">
        <f>AND('Planilla_General_07-12-2012_8_3'!N795,"AAAAAH3z/sg=")</f>
        <v>#VALUE!</v>
      </c>
      <c r="GT53" t="e">
        <f>AND('Planilla_General_07-12-2012_8_3'!O795,"AAAAAH3z/sk=")</f>
        <v>#VALUE!</v>
      </c>
      <c r="GU53" t="e">
        <f>AND('Planilla_General_07-12-2012_8_3'!P795,"AAAAAH3z/so=")</f>
        <v>#VALUE!</v>
      </c>
      <c r="GV53">
        <f>IF('Planilla_General_07-12-2012_8_3'!796:796,"AAAAAH3z/ss=",0)</f>
        <v>0</v>
      </c>
      <c r="GW53" t="e">
        <f>AND('Planilla_General_07-12-2012_8_3'!A796,"AAAAAH3z/sw=")</f>
        <v>#VALUE!</v>
      </c>
      <c r="GX53" t="e">
        <f>AND('Planilla_General_07-12-2012_8_3'!B796,"AAAAAH3z/s0=")</f>
        <v>#VALUE!</v>
      </c>
      <c r="GY53" t="e">
        <f>AND('Planilla_General_07-12-2012_8_3'!C796,"AAAAAH3z/s4=")</f>
        <v>#VALUE!</v>
      </c>
      <c r="GZ53" t="e">
        <f>AND('Planilla_General_07-12-2012_8_3'!D796,"AAAAAH3z/s8=")</f>
        <v>#VALUE!</v>
      </c>
      <c r="HA53" t="e">
        <f>AND('Planilla_General_07-12-2012_8_3'!E796,"AAAAAH3z/tA=")</f>
        <v>#VALUE!</v>
      </c>
      <c r="HB53" t="e">
        <f>AND('Planilla_General_07-12-2012_8_3'!F796,"AAAAAH3z/tE=")</f>
        <v>#VALUE!</v>
      </c>
      <c r="HC53" t="e">
        <f>AND('Planilla_General_07-12-2012_8_3'!G796,"AAAAAH3z/tI=")</f>
        <v>#VALUE!</v>
      </c>
      <c r="HD53" t="e">
        <f>AND('Planilla_General_07-12-2012_8_3'!H796,"AAAAAH3z/tM=")</f>
        <v>#VALUE!</v>
      </c>
      <c r="HE53" t="e">
        <f>AND('Planilla_General_07-12-2012_8_3'!I796,"AAAAAH3z/tQ=")</f>
        <v>#VALUE!</v>
      </c>
      <c r="HF53" t="e">
        <f>AND('Planilla_General_07-12-2012_8_3'!J796,"AAAAAH3z/tU=")</f>
        <v>#VALUE!</v>
      </c>
      <c r="HG53" t="e">
        <f>AND('Planilla_General_07-12-2012_8_3'!K796,"AAAAAH3z/tY=")</f>
        <v>#VALUE!</v>
      </c>
      <c r="HH53" t="e">
        <f>AND('Planilla_General_07-12-2012_8_3'!L796,"AAAAAH3z/tc=")</f>
        <v>#VALUE!</v>
      </c>
      <c r="HI53" t="e">
        <f>AND('Planilla_General_07-12-2012_8_3'!M796,"AAAAAH3z/tg=")</f>
        <v>#VALUE!</v>
      </c>
      <c r="HJ53" t="e">
        <f>AND('Planilla_General_07-12-2012_8_3'!N796,"AAAAAH3z/tk=")</f>
        <v>#VALUE!</v>
      </c>
      <c r="HK53" t="e">
        <f>AND('Planilla_General_07-12-2012_8_3'!O796,"AAAAAH3z/to=")</f>
        <v>#VALUE!</v>
      </c>
      <c r="HL53" t="e">
        <f>AND('Planilla_General_07-12-2012_8_3'!P796,"AAAAAH3z/ts=")</f>
        <v>#VALUE!</v>
      </c>
      <c r="HM53">
        <f>IF('Planilla_General_07-12-2012_8_3'!797:797,"AAAAAH3z/tw=",0)</f>
        <v>0</v>
      </c>
      <c r="HN53" t="e">
        <f>AND('Planilla_General_07-12-2012_8_3'!A797,"AAAAAH3z/t0=")</f>
        <v>#VALUE!</v>
      </c>
      <c r="HO53" t="e">
        <f>AND('Planilla_General_07-12-2012_8_3'!B797,"AAAAAH3z/t4=")</f>
        <v>#VALUE!</v>
      </c>
      <c r="HP53" t="e">
        <f>AND('Planilla_General_07-12-2012_8_3'!C797,"AAAAAH3z/t8=")</f>
        <v>#VALUE!</v>
      </c>
      <c r="HQ53" t="e">
        <f>AND('Planilla_General_07-12-2012_8_3'!D797,"AAAAAH3z/uA=")</f>
        <v>#VALUE!</v>
      </c>
      <c r="HR53" t="e">
        <f>AND('Planilla_General_07-12-2012_8_3'!E797,"AAAAAH3z/uE=")</f>
        <v>#VALUE!</v>
      </c>
      <c r="HS53" t="e">
        <f>AND('Planilla_General_07-12-2012_8_3'!F797,"AAAAAH3z/uI=")</f>
        <v>#VALUE!</v>
      </c>
      <c r="HT53" t="e">
        <f>AND('Planilla_General_07-12-2012_8_3'!G797,"AAAAAH3z/uM=")</f>
        <v>#VALUE!</v>
      </c>
      <c r="HU53" t="e">
        <f>AND('Planilla_General_07-12-2012_8_3'!H797,"AAAAAH3z/uQ=")</f>
        <v>#VALUE!</v>
      </c>
      <c r="HV53" t="e">
        <f>AND('Planilla_General_07-12-2012_8_3'!I797,"AAAAAH3z/uU=")</f>
        <v>#VALUE!</v>
      </c>
      <c r="HW53" t="e">
        <f>AND('Planilla_General_07-12-2012_8_3'!J797,"AAAAAH3z/uY=")</f>
        <v>#VALUE!</v>
      </c>
      <c r="HX53" t="e">
        <f>AND('Planilla_General_07-12-2012_8_3'!K797,"AAAAAH3z/uc=")</f>
        <v>#VALUE!</v>
      </c>
      <c r="HY53" t="e">
        <f>AND('Planilla_General_07-12-2012_8_3'!L797,"AAAAAH3z/ug=")</f>
        <v>#VALUE!</v>
      </c>
      <c r="HZ53" t="e">
        <f>AND('Planilla_General_07-12-2012_8_3'!M797,"AAAAAH3z/uk=")</f>
        <v>#VALUE!</v>
      </c>
      <c r="IA53" t="e">
        <f>AND('Planilla_General_07-12-2012_8_3'!N797,"AAAAAH3z/uo=")</f>
        <v>#VALUE!</v>
      </c>
      <c r="IB53" t="e">
        <f>AND('Planilla_General_07-12-2012_8_3'!O797,"AAAAAH3z/us=")</f>
        <v>#VALUE!</v>
      </c>
      <c r="IC53" t="e">
        <f>AND('Planilla_General_07-12-2012_8_3'!P797,"AAAAAH3z/uw=")</f>
        <v>#VALUE!</v>
      </c>
      <c r="ID53">
        <f>IF('Planilla_General_07-12-2012_8_3'!798:798,"AAAAAH3z/u0=",0)</f>
        <v>0</v>
      </c>
      <c r="IE53" t="e">
        <f>AND('Planilla_General_07-12-2012_8_3'!A798,"AAAAAH3z/u4=")</f>
        <v>#VALUE!</v>
      </c>
      <c r="IF53" t="e">
        <f>AND('Planilla_General_07-12-2012_8_3'!B798,"AAAAAH3z/u8=")</f>
        <v>#VALUE!</v>
      </c>
      <c r="IG53" t="e">
        <f>AND('Planilla_General_07-12-2012_8_3'!C798,"AAAAAH3z/vA=")</f>
        <v>#VALUE!</v>
      </c>
      <c r="IH53" t="e">
        <f>AND('Planilla_General_07-12-2012_8_3'!D798,"AAAAAH3z/vE=")</f>
        <v>#VALUE!</v>
      </c>
      <c r="II53" t="e">
        <f>AND('Planilla_General_07-12-2012_8_3'!E798,"AAAAAH3z/vI=")</f>
        <v>#VALUE!</v>
      </c>
      <c r="IJ53" t="e">
        <f>AND('Planilla_General_07-12-2012_8_3'!F798,"AAAAAH3z/vM=")</f>
        <v>#VALUE!</v>
      </c>
      <c r="IK53" t="e">
        <f>AND('Planilla_General_07-12-2012_8_3'!G798,"AAAAAH3z/vQ=")</f>
        <v>#VALUE!</v>
      </c>
      <c r="IL53" t="e">
        <f>AND('Planilla_General_07-12-2012_8_3'!H798,"AAAAAH3z/vU=")</f>
        <v>#VALUE!</v>
      </c>
      <c r="IM53" t="e">
        <f>AND('Planilla_General_07-12-2012_8_3'!I798,"AAAAAH3z/vY=")</f>
        <v>#VALUE!</v>
      </c>
      <c r="IN53" t="e">
        <f>AND('Planilla_General_07-12-2012_8_3'!J798,"AAAAAH3z/vc=")</f>
        <v>#VALUE!</v>
      </c>
      <c r="IO53" t="e">
        <f>AND('Planilla_General_07-12-2012_8_3'!K798,"AAAAAH3z/vg=")</f>
        <v>#VALUE!</v>
      </c>
      <c r="IP53" t="e">
        <f>AND('Planilla_General_07-12-2012_8_3'!L798,"AAAAAH3z/vk=")</f>
        <v>#VALUE!</v>
      </c>
      <c r="IQ53" t="e">
        <f>AND('Planilla_General_07-12-2012_8_3'!M798,"AAAAAH3z/vo=")</f>
        <v>#VALUE!</v>
      </c>
      <c r="IR53" t="e">
        <f>AND('Planilla_General_07-12-2012_8_3'!N798,"AAAAAH3z/vs=")</f>
        <v>#VALUE!</v>
      </c>
      <c r="IS53" t="e">
        <f>AND('Planilla_General_07-12-2012_8_3'!O798,"AAAAAH3z/vw=")</f>
        <v>#VALUE!</v>
      </c>
      <c r="IT53" t="e">
        <f>AND('Planilla_General_07-12-2012_8_3'!P798,"AAAAAH3z/v0=")</f>
        <v>#VALUE!</v>
      </c>
      <c r="IU53">
        <f>IF('Planilla_General_07-12-2012_8_3'!799:799,"AAAAAH3z/v4=",0)</f>
        <v>0</v>
      </c>
      <c r="IV53" t="e">
        <f>AND('Planilla_General_07-12-2012_8_3'!A799,"AAAAAH3z/v8=")</f>
        <v>#VALUE!</v>
      </c>
    </row>
    <row r="54" spans="1:256" x14ac:dyDescent="0.25">
      <c r="A54" t="e">
        <f>AND('Planilla_General_07-12-2012_8_3'!B799,"AAAAAHd/+wA=")</f>
        <v>#VALUE!</v>
      </c>
      <c r="B54" t="e">
        <f>AND('Planilla_General_07-12-2012_8_3'!C799,"AAAAAHd/+wE=")</f>
        <v>#VALUE!</v>
      </c>
      <c r="C54" t="e">
        <f>AND('Planilla_General_07-12-2012_8_3'!D799,"AAAAAHd/+wI=")</f>
        <v>#VALUE!</v>
      </c>
      <c r="D54" t="e">
        <f>AND('Planilla_General_07-12-2012_8_3'!E799,"AAAAAHd/+wM=")</f>
        <v>#VALUE!</v>
      </c>
      <c r="E54" t="e">
        <f>AND('Planilla_General_07-12-2012_8_3'!F799,"AAAAAHd/+wQ=")</f>
        <v>#VALUE!</v>
      </c>
      <c r="F54" t="e">
        <f>AND('Planilla_General_07-12-2012_8_3'!G799,"AAAAAHd/+wU=")</f>
        <v>#VALUE!</v>
      </c>
      <c r="G54" t="e">
        <f>AND('Planilla_General_07-12-2012_8_3'!H799,"AAAAAHd/+wY=")</f>
        <v>#VALUE!</v>
      </c>
      <c r="H54" t="e">
        <f>AND('Planilla_General_07-12-2012_8_3'!I799,"AAAAAHd/+wc=")</f>
        <v>#VALUE!</v>
      </c>
      <c r="I54" t="e">
        <f>AND('Planilla_General_07-12-2012_8_3'!J799,"AAAAAHd/+wg=")</f>
        <v>#VALUE!</v>
      </c>
      <c r="J54" t="e">
        <f>AND('Planilla_General_07-12-2012_8_3'!K799,"AAAAAHd/+wk=")</f>
        <v>#VALUE!</v>
      </c>
      <c r="K54" t="e">
        <f>AND('Planilla_General_07-12-2012_8_3'!L799,"AAAAAHd/+wo=")</f>
        <v>#VALUE!</v>
      </c>
      <c r="L54" t="e">
        <f>AND('Planilla_General_07-12-2012_8_3'!M799,"AAAAAHd/+ws=")</f>
        <v>#VALUE!</v>
      </c>
      <c r="M54" t="e">
        <f>AND('Planilla_General_07-12-2012_8_3'!N799,"AAAAAHd/+ww=")</f>
        <v>#VALUE!</v>
      </c>
      <c r="N54" t="e">
        <f>AND('Planilla_General_07-12-2012_8_3'!O799,"AAAAAHd/+w0=")</f>
        <v>#VALUE!</v>
      </c>
      <c r="O54" t="e">
        <f>AND('Planilla_General_07-12-2012_8_3'!P799,"AAAAAHd/+w4=")</f>
        <v>#VALUE!</v>
      </c>
      <c r="P54">
        <f>IF('Planilla_General_07-12-2012_8_3'!800:800,"AAAAAHd/+w8=",0)</f>
        <v>0</v>
      </c>
      <c r="Q54" t="e">
        <f>AND('Planilla_General_07-12-2012_8_3'!A800,"AAAAAHd/+xA=")</f>
        <v>#VALUE!</v>
      </c>
      <c r="R54" t="e">
        <f>AND('Planilla_General_07-12-2012_8_3'!B800,"AAAAAHd/+xE=")</f>
        <v>#VALUE!</v>
      </c>
      <c r="S54" t="e">
        <f>AND('Planilla_General_07-12-2012_8_3'!C800,"AAAAAHd/+xI=")</f>
        <v>#VALUE!</v>
      </c>
      <c r="T54" t="e">
        <f>AND('Planilla_General_07-12-2012_8_3'!D800,"AAAAAHd/+xM=")</f>
        <v>#VALUE!</v>
      </c>
      <c r="U54" t="e">
        <f>AND('Planilla_General_07-12-2012_8_3'!E800,"AAAAAHd/+xQ=")</f>
        <v>#VALUE!</v>
      </c>
      <c r="V54" t="e">
        <f>AND('Planilla_General_07-12-2012_8_3'!F800,"AAAAAHd/+xU=")</f>
        <v>#VALUE!</v>
      </c>
      <c r="W54" t="e">
        <f>AND('Planilla_General_07-12-2012_8_3'!G800,"AAAAAHd/+xY=")</f>
        <v>#VALUE!</v>
      </c>
      <c r="X54" t="e">
        <f>AND('Planilla_General_07-12-2012_8_3'!H800,"AAAAAHd/+xc=")</f>
        <v>#VALUE!</v>
      </c>
      <c r="Y54" t="e">
        <f>AND('Planilla_General_07-12-2012_8_3'!I800,"AAAAAHd/+xg=")</f>
        <v>#VALUE!</v>
      </c>
      <c r="Z54" t="e">
        <f>AND('Planilla_General_07-12-2012_8_3'!J800,"AAAAAHd/+xk=")</f>
        <v>#VALUE!</v>
      </c>
      <c r="AA54" t="e">
        <f>AND('Planilla_General_07-12-2012_8_3'!K800,"AAAAAHd/+xo=")</f>
        <v>#VALUE!</v>
      </c>
      <c r="AB54" t="e">
        <f>AND('Planilla_General_07-12-2012_8_3'!L800,"AAAAAHd/+xs=")</f>
        <v>#VALUE!</v>
      </c>
      <c r="AC54" t="e">
        <f>AND('Planilla_General_07-12-2012_8_3'!M800,"AAAAAHd/+xw=")</f>
        <v>#VALUE!</v>
      </c>
      <c r="AD54" t="e">
        <f>AND('Planilla_General_07-12-2012_8_3'!N800,"AAAAAHd/+x0=")</f>
        <v>#VALUE!</v>
      </c>
      <c r="AE54" t="e">
        <f>AND('Planilla_General_07-12-2012_8_3'!O800,"AAAAAHd/+x4=")</f>
        <v>#VALUE!</v>
      </c>
      <c r="AF54" t="e">
        <f>AND('Planilla_General_07-12-2012_8_3'!P800,"AAAAAHd/+x8=")</f>
        <v>#VALUE!</v>
      </c>
      <c r="AG54">
        <f>IF('Planilla_General_07-12-2012_8_3'!801:801,"AAAAAHd/+yA=",0)</f>
        <v>0</v>
      </c>
      <c r="AH54" t="e">
        <f>AND('Planilla_General_07-12-2012_8_3'!A801,"AAAAAHd/+yE=")</f>
        <v>#VALUE!</v>
      </c>
      <c r="AI54" t="e">
        <f>AND('Planilla_General_07-12-2012_8_3'!B801,"AAAAAHd/+yI=")</f>
        <v>#VALUE!</v>
      </c>
      <c r="AJ54" t="e">
        <f>AND('Planilla_General_07-12-2012_8_3'!C801,"AAAAAHd/+yM=")</f>
        <v>#VALUE!</v>
      </c>
      <c r="AK54" t="e">
        <f>AND('Planilla_General_07-12-2012_8_3'!D801,"AAAAAHd/+yQ=")</f>
        <v>#VALUE!</v>
      </c>
      <c r="AL54" t="e">
        <f>AND('Planilla_General_07-12-2012_8_3'!E801,"AAAAAHd/+yU=")</f>
        <v>#VALUE!</v>
      </c>
      <c r="AM54" t="e">
        <f>AND('Planilla_General_07-12-2012_8_3'!F801,"AAAAAHd/+yY=")</f>
        <v>#VALUE!</v>
      </c>
      <c r="AN54" t="e">
        <f>AND('Planilla_General_07-12-2012_8_3'!G801,"AAAAAHd/+yc=")</f>
        <v>#VALUE!</v>
      </c>
      <c r="AO54" t="e">
        <f>AND('Planilla_General_07-12-2012_8_3'!H801,"AAAAAHd/+yg=")</f>
        <v>#VALUE!</v>
      </c>
      <c r="AP54" t="e">
        <f>AND('Planilla_General_07-12-2012_8_3'!I801,"AAAAAHd/+yk=")</f>
        <v>#VALUE!</v>
      </c>
      <c r="AQ54" t="e">
        <f>AND('Planilla_General_07-12-2012_8_3'!J801,"AAAAAHd/+yo=")</f>
        <v>#VALUE!</v>
      </c>
      <c r="AR54" t="e">
        <f>AND('Planilla_General_07-12-2012_8_3'!K801,"AAAAAHd/+ys=")</f>
        <v>#VALUE!</v>
      </c>
      <c r="AS54" t="e">
        <f>AND('Planilla_General_07-12-2012_8_3'!L801,"AAAAAHd/+yw=")</f>
        <v>#VALUE!</v>
      </c>
      <c r="AT54" t="e">
        <f>AND('Planilla_General_07-12-2012_8_3'!M801,"AAAAAHd/+y0=")</f>
        <v>#VALUE!</v>
      </c>
      <c r="AU54" t="e">
        <f>AND('Planilla_General_07-12-2012_8_3'!N801,"AAAAAHd/+y4=")</f>
        <v>#VALUE!</v>
      </c>
      <c r="AV54" t="e">
        <f>AND('Planilla_General_07-12-2012_8_3'!O801,"AAAAAHd/+y8=")</f>
        <v>#VALUE!</v>
      </c>
      <c r="AW54" t="e">
        <f>AND('Planilla_General_07-12-2012_8_3'!P801,"AAAAAHd/+zA=")</f>
        <v>#VALUE!</v>
      </c>
      <c r="AX54">
        <f>IF('Planilla_General_07-12-2012_8_3'!802:802,"AAAAAHd/+zE=",0)</f>
        <v>0</v>
      </c>
      <c r="AY54" t="e">
        <f>AND('Planilla_General_07-12-2012_8_3'!A802,"AAAAAHd/+zI=")</f>
        <v>#VALUE!</v>
      </c>
      <c r="AZ54" t="e">
        <f>AND('Planilla_General_07-12-2012_8_3'!B802,"AAAAAHd/+zM=")</f>
        <v>#VALUE!</v>
      </c>
      <c r="BA54" t="e">
        <f>AND('Planilla_General_07-12-2012_8_3'!C802,"AAAAAHd/+zQ=")</f>
        <v>#VALUE!</v>
      </c>
      <c r="BB54" t="e">
        <f>AND('Planilla_General_07-12-2012_8_3'!D802,"AAAAAHd/+zU=")</f>
        <v>#VALUE!</v>
      </c>
      <c r="BC54" t="e">
        <f>AND('Planilla_General_07-12-2012_8_3'!E802,"AAAAAHd/+zY=")</f>
        <v>#VALUE!</v>
      </c>
      <c r="BD54" t="e">
        <f>AND('Planilla_General_07-12-2012_8_3'!F802,"AAAAAHd/+zc=")</f>
        <v>#VALUE!</v>
      </c>
      <c r="BE54" t="e">
        <f>AND('Planilla_General_07-12-2012_8_3'!G802,"AAAAAHd/+zg=")</f>
        <v>#VALUE!</v>
      </c>
      <c r="BF54" t="e">
        <f>AND('Planilla_General_07-12-2012_8_3'!H802,"AAAAAHd/+zk=")</f>
        <v>#VALUE!</v>
      </c>
      <c r="BG54" t="e">
        <f>AND('Planilla_General_07-12-2012_8_3'!I802,"AAAAAHd/+zo=")</f>
        <v>#VALUE!</v>
      </c>
      <c r="BH54" t="e">
        <f>AND('Planilla_General_07-12-2012_8_3'!J802,"AAAAAHd/+zs=")</f>
        <v>#VALUE!</v>
      </c>
      <c r="BI54" t="e">
        <f>AND('Planilla_General_07-12-2012_8_3'!K802,"AAAAAHd/+zw=")</f>
        <v>#VALUE!</v>
      </c>
      <c r="BJ54" t="e">
        <f>AND('Planilla_General_07-12-2012_8_3'!L802,"AAAAAHd/+z0=")</f>
        <v>#VALUE!</v>
      </c>
      <c r="BK54" t="e">
        <f>AND('Planilla_General_07-12-2012_8_3'!M802,"AAAAAHd/+z4=")</f>
        <v>#VALUE!</v>
      </c>
      <c r="BL54" t="e">
        <f>AND('Planilla_General_07-12-2012_8_3'!N802,"AAAAAHd/+z8=")</f>
        <v>#VALUE!</v>
      </c>
      <c r="BM54" t="e">
        <f>AND('Planilla_General_07-12-2012_8_3'!O802,"AAAAAHd/+0A=")</f>
        <v>#VALUE!</v>
      </c>
      <c r="BN54" t="e">
        <f>AND('Planilla_General_07-12-2012_8_3'!P802,"AAAAAHd/+0E=")</f>
        <v>#VALUE!</v>
      </c>
      <c r="BO54">
        <f>IF('Planilla_General_07-12-2012_8_3'!803:803,"AAAAAHd/+0I=",0)</f>
        <v>0</v>
      </c>
      <c r="BP54" t="e">
        <f>AND('Planilla_General_07-12-2012_8_3'!A803,"AAAAAHd/+0M=")</f>
        <v>#VALUE!</v>
      </c>
      <c r="BQ54" t="e">
        <f>AND('Planilla_General_07-12-2012_8_3'!B803,"AAAAAHd/+0Q=")</f>
        <v>#VALUE!</v>
      </c>
      <c r="BR54" t="e">
        <f>AND('Planilla_General_07-12-2012_8_3'!C803,"AAAAAHd/+0U=")</f>
        <v>#VALUE!</v>
      </c>
      <c r="BS54" t="e">
        <f>AND('Planilla_General_07-12-2012_8_3'!D803,"AAAAAHd/+0Y=")</f>
        <v>#VALUE!</v>
      </c>
      <c r="BT54" t="e">
        <f>AND('Planilla_General_07-12-2012_8_3'!E803,"AAAAAHd/+0c=")</f>
        <v>#VALUE!</v>
      </c>
      <c r="BU54" t="e">
        <f>AND('Planilla_General_07-12-2012_8_3'!F803,"AAAAAHd/+0g=")</f>
        <v>#VALUE!</v>
      </c>
      <c r="BV54" t="e">
        <f>AND('Planilla_General_07-12-2012_8_3'!G803,"AAAAAHd/+0k=")</f>
        <v>#VALUE!</v>
      </c>
      <c r="BW54" t="e">
        <f>AND('Planilla_General_07-12-2012_8_3'!H803,"AAAAAHd/+0o=")</f>
        <v>#VALUE!</v>
      </c>
      <c r="BX54" t="e">
        <f>AND('Planilla_General_07-12-2012_8_3'!I803,"AAAAAHd/+0s=")</f>
        <v>#VALUE!</v>
      </c>
      <c r="BY54" t="e">
        <f>AND('Planilla_General_07-12-2012_8_3'!J803,"AAAAAHd/+0w=")</f>
        <v>#VALUE!</v>
      </c>
      <c r="BZ54" t="e">
        <f>AND('Planilla_General_07-12-2012_8_3'!K803,"AAAAAHd/+00=")</f>
        <v>#VALUE!</v>
      </c>
      <c r="CA54" t="e">
        <f>AND('Planilla_General_07-12-2012_8_3'!L803,"AAAAAHd/+04=")</f>
        <v>#VALUE!</v>
      </c>
      <c r="CB54" t="e">
        <f>AND('Planilla_General_07-12-2012_8_3'!M803,"AAAAAHd/+08=")</f>
        <v>#VALUE!</v>
      </c>
      <c r="CC54" t="e">
        <f>AND('Planilla_General_07-12-2012_8_3'!N803,"AAAAAHd/+1A=")</f>
        <v>#VALUE!</v>
      </c>
      <c r="CD54" t="e">
        <f>AND('Planilla_General_07-12-2012_8_3'!O803,"AAAAAHd/+1E=")</f>
        <v>#VALUE!</v>
      </c>
      <c r="CE54" t="e">
        <f>AND('Planilla_General_07-12-2012_8_3'!P803,"AAAAAHd/+1I=")</f>
        <v>#VALUE!</v>
      </c>
      <c r="CF54">
        <f>IF('Planilla_General_07-12-2012_8_3'!804:804,"AAAAAHd/+1M=",0)</f>
        <v>0</v>
      </c>
      <c r="CG54" t="e">
        <f>AND('Planilla_General_07-12-2012_8_3'!A804,"AAAAAHd/+1Q=")</f>
        <v>#VALUE!</v>
      </c>
      <c r="CH54" t="e">
        <f>AND('Planilla_General_07-12-2012_8_3'!B804,"AAAAAHd/+1U=")</f>
        <v>#VALUE!</v>
      </c>
      <c r="CI54" t="e">
        <f>AND('Planilla_General_07-12-2012_8_3'!C804,"AAAAAHd/+1Y=")</f>
        <v>#VALUE!</v>
      </c>
      <c r="CJ54" t="e">
        <f>AND('Planilla_General_07-12-2012_8_3'!D804,"AAAAAHd/+1c=")</f>
        <v>#VALUE!</v>
      </c>
      <c r="CK54" t="e">
        <f>AND('Planilla_General_07-12-2012_8_3'!E804,"AAAAAHd/+1g=")</f>
        <v>#VALUE!</v>
      </c>
      <c r="CL54" t="e">
        <f>AND('Planilla_General_07-12-2012_8_3'!F804,"AAAAAHd/+1k=")</f>
        <v>#VALUE!</v>
      </c>
      <c r="CM54" t="e">
        <f>AND('Planilla_General_07-12-2012_8_3'!G804,"AAAAAHd/+1o=")</f>
        <v>#VALUE!</v>
      </c>
      <c r="CN54" t="e">
        <f>AND('Planilla_General_07-12-2012_8_3'!H804,"AAAAAHd/+1s=")</f>
        <v>#VALUE!</v>
      </c>
      <c r="CO54" t="e">
        <f>AND('Planilla_General_07-12-2012_8_3'!I804,"AAAAAHd/+1w=")</f>
        <v>#VALUE!</v>
      </c>
      <c r="CP54" t="e">
        <f>AND('Planilla_General_07-12-2012_8_3'!J804,"AAAAAHd/+10=")</f>
        <v>#VALUE!</v>
      </c>
      <c r="CQ54" t="e">
        <f>AND('Planilla_General_07-12-2012_8_3'!K804,"AAAAAHd/+14=")</f>
        <v>#VALUE!</v>
      </c>
      <c r="CR54" t="e">
        <f>AND('Planilla_General_07-12-2012_8_3'!L804,"AAAAAHd/+18=")</f>
        <v>#VALUE!</v>
      </c>
      <c r="CS54" t="e">
        <f>AND('Planilla_General_07-12-2012_8_3'!M804,"AAAAAHd/+2A=")</f>
        <v>#VALUE!</v>
      </c>
      <c r="CT54" t="e">
        <f>AND('Planilla_General_07-12-2012_8_3'!N804,"AAAAAHd/+2E=")</f>
        <v>#VALUE!</v>
      </c>
      <c r="CU54" t="e">
        <f>AND('Planilla_General_07-12-2012_8_3'!O804,"AAAAAHd/+2I=")</f>
        <v>#VALUE!</v>
      </c>
      <c r="CV54" t="e">
        <f>AND('Planilla_General_07-12-2012_8_3'!P804,"AAAAAHd/+2M=")</f>
        <v>#VALUE!</v>
      </c>
      <c r="CW54">
        <f>IF('Planilla_General_07-12-2012_8_3'!805:805,"AAAAAHd/+2Q=",0)</f>
        <v>0</v>
      </c>
      <c r="CX54" t="e">
        <f>AND('Planilla_General_07-12-2012_8_3'!A805,"AAAAAHd/+2U=")</f>
        <v>#VALUE!</v>
      </c>
      <c r="CY54" t="e">
        <f>AND('Planilla_General_07-12-2012_8_3'!B805,"AAAAAHd/+2Y=")</f>
        <v>#VALUE!</v>
      </c>
      <c r="CZ54" t="e">
        <f>AND('Planilla_General_07-12-2012_8_3'!C805,"AAAAAHd/+2c=")</f>
        <v>#VALUE!</v>
      </c>
      <c r="DA54" t="e">
        <f>AND('Planilla_General_07-12-2012_8_3'!D805,"AAAAAHd/+2g=")</f>
        <v>#VALUE!</v>
      </c>
      <c r="DB54" t="e">
        <f>AND('Planilla_General_07-12-2012_8_3'!E805,"AAAAAHd/+2k=")</f>
        <v>#VALUE!</v>
      </c>
      <c r="DC54" t="e">
        <f>AND('Planilla_General_07-12-2012_8_3'!F805,"AAAAAHd/+2o=")</f>
        <v>#VALUE!</v>
      </c>
      <c r="DD54" t="e">
        <f>AND('Planilla_General_07-12-2012_8_3'!G805,"AAAAAHd/+2s=")</f>
        <v>#VALUE!</v>
      </c>
      <c r="DE54" t="e">
        <f>AND('Planilla_General_07-12-2012_8_3'!H805,"AAAAAHd/+2w=")</f>
        <v>#VALUE!</v>
      </c>
      <c r="DF54" t="e">
        <f>AND('Planilla_General_07-12-2012_8_3'!I805,"AAAAAHd/+20=")</f>
        <v>#VALUE!</v>
      </c>
      <c r="DG54" t="e">
        <f>AND('Planilla_General_07-12-2012_8_3'!J805,"AAAAAHd/+24=")</f>
        <v>#VALUE!</v>
      </c>
      <c r="DH54" t="e">
        <f>AND('Planilla_General_07-12-2012_8_3'!K805,"AAAAAHd/+28=")</f>
        <v>#VALUE!</v>
      </c>
      <c r="DI54" t="e">
        <f>AND('Planilla_General_07-12-2012_8_3'!L805,"AAAAAHd/+3A=")</f>
        <v>#VALUE!</v>
      </c>
      <c r="DJ54" t="e">
        <f>AND('Planilla_General_07-12-2012_8_3'!M805,"AAAAAHd/+3E=")</f>
        <v>#VALUE!</v>
      </c>
      <c r="DK54" t="e">
        <f>AND('Planilla_General_07-12-2012_8_3'!N805,"AAAAAHd/+3I=")</f>
        <v>#VALUE!</v>
      </c>
      <c r="DL54" t="e">
        <f>AND('Planilla_General_07-12-2012_8_3'!O805,"AAAAAHd/+3M=")</f>
        <v>#VALUE!</v>
      </c>
      <c r="DM54" t="e">
        <f>AND('Planilla_General_07-12-2012_8_3'!P805,"AAAAAHd/+3Q=")</f>
        <v>#VALUE!</v>
      </c>
      <c r="DN54">
        <f>IF('Planilla_General_07-12-2012_8_3'!806:806,"AAAAAHd/+3U=",0)</f>
        <v>0</v>
      </c>
      <c r="DO54" t="e">
        <f>AND('Planilla_General_07-12-2012_8_3'!A806,"AAAAAHd/+3Y=")</f>
        <v>#VALUE!</v>
      </c>
      <c r="DP54" t="e">
        <f>AND('Planilla_General_07-12-2012_8_3'!B806,"AAAAAHd/+3c=")</f>
        <v>#VALUE!</v>
      </c>
      <c r="DQ54" t="e">
        <f>AND('Planilla_General_07-12-2012_8_3'!C806,"AAAAAHd/+3g=")</f>
        <v>#VALUE!</v>
      </c>
      <c r="DR54" t="e">
        <f>AND('Planilla_General_07-12-2012_8_3'!D806,"AAAAAHd/+3k=")</f>
        <v>#VALUE!</v>
      </c>
      <c r="DS54" t="e">
        <f>AND('Planilla_General_07-12-2012_8_3'!E806,"AAAAAHd/+3o=")</f>
        <v>#VALUE!</v>
      </c>
      <c r="DT54" t="e">
        <f>AND('Planilla_General_07-12-2012_8_3'!F806,"AAAAAHd/+3s=")</f>
        <v>#VALUE!</v>
      </c>
      <c r="DU54" t="e">
        <f>AND('Planilla_General_07-12-2012_8_3'!G806,"AAAAAHd/+3w=")</f>
        <v>#VALUE!</v>
      </c>
      <c r="DV54" t="e">
        <f>AND('Planilla_General_07-12-2012_8_3'!H806,"AAAAAHd/+30=")</f>
        <v>#VALUE!</v>
      </c>
      <c r="DW54" t="e">
        <f>AND('Planilla_General_07-12-2012_8_3'!I806,"AAAAAHd/+34=")</f>
        <v>#VALUE!</v>
      </c>
      <c r="DX54" t="e">
        <f>AND('Planilla_General_07-12-2012_8_3'!J806,"AAAAAHd/+38=")</f>
        <v>#VALUE!</v>
      </c>
      <c r="DY54" t="e">
        <f>AND('Planilla_General_07-12-2012_8_3'!K806,"AAAAAHd/+4A=")</f>
        <v>#VALUE!</v>
      </c>
      <c r="DZ54" t="e">
        <f>AND('Planilla_General_07-12-2012_8_3'!L806,"AAAAAHd/+4E=")</f>
        <v>#VALUE!</v>
      </c>
      <c r="EA54" t="e">
        <f>AND('Planilla_General_07-12-2012_8_3'!M806,"AAAAAHd/+4I=")</f>
        <v>#VALUE!</v>
      </c>
      <c r="EB54" t="e">
        <f>AND('Planilla_General_07-12-2012_8_3'!N806,"AAAAAHd/+4M=")</f>
        <v>#VALUE!</v>
      </c>
      <c r="EC54" t="e">
        <f>AND('Planilla_General_07-12-2012_8_3'!O806,"AAAAAHd/+4Q=")</f>
        <v>#VALUE!</v>
      </c>
      <c r="ED54" t="e">
        <f>AND('Planilla_General_07-12-2012_8_3'!P806,"AAAAAHd/+4U=")</f>
        <v>#VALUE!</v>
      </c>
      <c r="EE54">
        <f>IF('Planilla_General_07-12-2012_8_3'!807:807,"AAAAAHd/+4Y=",0)</f>
        <v>0</v>
      </c>
      <c r="EF54" t="e">
        <f>AND('Planilla_General_07-12-2012_8_3'!A807,"AAAAAHd/+4c=")</f>
        <v>#VALUE!</v>
      </c>
      <c r="EG54" t="e">
        <f>AND('Planilla_General_07-12-2012_8_3'!B807,"AAAAAHd/+4g=")</f>
        <v>#VALUE!</v>
      </c>
      <c r="EH54" t="e">
        <f>AND('Planilla_General_07-12-2012_8_3'!C807,"AAAAAHd/+4k=")</f>
        <v>#VALUE!</v>
      </c>
      <c r="EI54" t="e">
        <f>AND('Planilla_General_07-12-2012_8_3'!D807,"AAAAAHd/+4o=")</f>
        <v>#VALUE!</v>
      </c>
      <c r="EJ54" t="e">
        <f>AND('Planilla_General_07-12-2012_8_3'!E807,"AAAAAHd/+4s=")</f>
        <v>#VALUE!</v>
      </c>
      <c r="EK54" t="e">
        <f>AND('Planilla_General_07-12-2012_8_3'!F807,"AAAAAHd/+4w=")</f>
        <v>#VALUE!</v>
      </c>
      <c r="EL54" t="e">
        <f>AND('Planilla_General_07-12-2012_8_3'!G807,"AAAAAHd/+40=")</f>
        <v>#VALUE!</v>
      </c>
      <c r="EM54" t="e">
        <f>AND('Planilla_General_07-12-2012_8_3'!H807,"AAAAAHd/+44=")</f>
        <v>#VALUE!</v>
      </c>
      <c r="EN54" t="e">
        <f>AND('Planilla_General_07-12-2012_8_3'!I807,"AAAAAHd/+48=")</f>
        <v>#VALUE!</v>
      </c>
      <c r="EO54" t="e">
        <f>AND('Planilla_General_07-12-2012_8_3'!J807,"AAAAAHd/+5A=")</f>
        <v>#VALUE!</v>
      </c>
      <c r="EP54" t="e">
        <f>AND('Planilla_General_07-12-2012_8_3'!K807,"AAAAAHd/+5E=")</f>
        <v>#VALUE!</v>
      </c>
      <c r="EQ54" t="e">
        <f>AND('Planilla_General_07-12-2012_8_3'!L807,"AAAAAHd/+5I=")</f>
        <v>#VALUE!</v>
      </c>
      <c r="ER54" t="e">
        <f>AND('Planilla_General_07-12-2012_8_3'!M807,"AAAAAHd/+5M=")</f>
        <v>#VALUE!</v>
      </c>
      <c r="ES54" t="e">
        <f>AND('Planilla_General_07-12-2012_8_3'!N807,"AAAAAHd/+5Q=")</f>
        <v>#VALUE!</v>
      </c>
      <c r="ET54" t="e">
        <f>AND('Planilla_General_07-12-2012_8_3'!O807,"AAAAAHd/+5U=")</f>
        <v>#VALUE!</v>
      </c>
      <c r="EU54" t="e">
        <f>AND('Planilla_General_07-12-2012_8_3'!P807,"AAAAAHd/+5Y=")</f>
        <v>#VALUE!</v>
      </c>
      <c r="EV54">
        <f>IF('Planilla_General_07-12-2012_8_3'!808:808,"AAAAAHd/+5c=",0)</f>
        <v>0</v>
      </c>
      <c r="EW54" t="e">
        <f>AND('Planilla_General_07-12-2012_8_3'!A808,"AAAAAHd/+5g=")</f>
        <v>#VALUE!</v>
      </c>
      <c r="EX54" t="e">
        <f>AND('Planilla_General_07-12-2012_8_3'!B808,"AAAAAHd/+5k=")</f>
        <v>#VALUE!</v>
      </c>
      <c r="EY54" t="e">
        <f>AND('Planilla_General_07-12-2012_8_3'!C808,"AAAAAHd/+5o=")</f>
        <v>#VALUE!</v>
      </c>
      <c r="EZ54" t="e">
        <f>AND('Planilla_General_07-12-2012_8_3'!D808,"AAAAAHd/+5s=")</f>
        <v>#VALUE!</v>
      </c>
      <c r="FA54" t="e">
        <f>AND('Planilla_General_07-12-2012_8_3'!E808,"AAAAAHd/+5w=")</f>
        <v>#VALUE!</v>
      </c>
      <c r="FB54" t="e">
        <f>AND('Planilla_General_07-12-2012_8_3'!F808,"AAAAAHd/+50=")</f>
        <v>#VALUE!</v>
      </c>
      <c r="FC54" t="e">
        <f>AND('Planilla_General_07-12-2012_8_3'!G808,"AAAAAHd/+54=")</f>
        <v>#VALUE!</v>
      </c>
      <c r="FD54" t="e">
        <f>AND('Planilla_General_07-12-2012_8_3'!H808,"AAAAAHd/+58=")</f>
        <v>#VALUE!</v>
      </c>
      <c r="FE54" t="e">
        <f>AND('Planilla_General_07-12-2012_8_3'!I808,"AAAAAHd/+6A=")</f>
        <v>#VALUE!</v>
      </c>
      <c r="FF54" t="e">
        <f>AND('Planilla_General_07-12-2012_8_3'!J808,"AAAAAHd/+6E=")</f>
        <v>#VALUE!</v>
      </c>
      <c r="FG54" t="e">
        <f>AND('Planilla_General_07-12-2012_8_3'!K808,"AAAAAHd/+6I=")</f>
        <v>#VALUE!</v>
      </c>
      <c r="FH54" t="e">
        <f>AND('Planilla_General_07-12-2012_8_3'!L808,"AAAAAHd/+6M=")</f>
        <v>#VALUE!</v>
      </c>
      <c r="FI54" t="e">
        <f>AND('Planilla_General_07-12-2012_8_3'!M808,"AAAAAHd/+6Q=")</f>
        <v>#VALUE!</v>
      </c>
      <c r="FJ54" t="e">
        <f>AND('Planilla_General_07-12-2012_8_3'!N808,"AAAAAHd/+6U=")</f>
        <v>#VALUE!</v>
      </c>
      <c r="FK54" t="e">
        <f>AND('Planilla_General_07-12-2012_8_3'!O808,"AAAAAHd/+6Y=")</f>
        <v>#VALUE!</v>
      </c>
      <c r="FL54" t="e">
        <f>AND('Planilla_General_07-12-2012_8_3'!P808,"AAAAAHd/+6c=")</f>
        <v>#VALUE!</v>
      </c>
      <c r="FM54">
        <f>IF('Planilla_General_07-12-2012_8_3'!809:809,"AAAAAHd/+6g=",0)</f>
        <v>0</v>
      </c>
      <c r="FN54" t="e">
        <f>AND('Planilla_General_07-12-2012_8_3'!A809,"AAAAAHd/+6k=")</f>
        <v>#VALUE!</v>
      </c>
      <c r="FO54" t="e">
        <f>AND('Planilla_General_07-12-2012_8_3'!B809,"AAAAAHd/+6o=")</f>
        <v>#VALUE!</v>
      </c>
      <c r="FP54" t="e">
        <f>AND('Planilla_General_07-12-2012_8_3'!C809,"AAAAAHd/+6s=")</f>
        <v>#VALUE!</v>
      </c>
      <c r="FQ54" t="e">
        <f>AND('Planilla_General_07-12-2012_8_3'!D809,"AAAAAHd/+6w=")</f>
        <v>#VALUE!</v>
      </c>
      <c r="FR54" t="e">
        <f>AND('Planilla_General_07-12-2012_8_3'!E809,"AAAAAHd/+60=")</f>
        <v>#VALUE!</v>
      </c>
      <c r="FS54" t="e">
        <f>AND('Planilla_General_07-12-2012_8_3'!F809,"AAAAAHd/+64=")</f>
        <v>#VALUE!</v>
      </c>
      <c r="FT54" t="e">
        <f>AND('Planilla_General_07-12-2012_8_3'!G809,"AAAAAHd/+68=")</f>
        <v>#VALUE!</v>
      </c>
      <c r="FU54" t="e">
        <f>AND('Planilla_General_07-12-2012_8_3'!H809,"AAAAAHd/+7A=")</f>
        <v>#VALUE!</v>
      </c>
      <c r="FV54" t="e">
        <f>AND('Planilla_General_07-12-2012_8_3'!I809,"AAAAAHd/+7E=")</f>
        <v>#VALUE!</v>
      </c>
      <c r="FW54" t="e">
        <f>AND('Planilla_General_07-12-2012_8_3'!J809,"AAAAAHd/+7I=")</f>
        <v>#VALUE!</v>
      </c>
      <c r="FX54" t="e">
        <f>AND('Planilla_General_07-12-2012_8_3'!K809,"AAAAAHd/+7M=")</f>
        <v>#VALUE!</v>
      </c>
      <c r="FY54" t="e">
        <f>AND('Planilla_General_07-12-2012_8_3'!L809,"AAAAAHd/+7Q=")</f>
        <v>#VALUE!</v>
      </c>
      <c r="FZ54" t="e">
        <f>AND('Planilla_General_07-12-2012_8_3'!M809,"AAAAAHd/+7U=")</f>
        <v>#VALUE!</v>
      </c>
      <c r="GA54" t="e">
        <f>AND('Planilla_General_07-12-2012_8_3'!N809,"AAAAAHd/+7Y=")</f>
        <v>#VALUE!</v>
      </c>
      <c r="GB54" t="e">
        <f>AND('Planilla_General_07-12-2012_8_3'!O809,"AAAAAHd/+7c=")</f>
        <v>#VALUE!</v>
      </c>
      <c r="GC54" t="e">
        <f>AND('Planilla_General_07-12-2012_8_3'!P809,"AAAAAHd/+7g=")</f>
        <v>#VALUE!</v>
      </c>
      <c r="GD54">
        <f>IF('Planilla_General_07-12-2012_8_3'!810:810,"AAAAAHd/+7k=",0)</f>
        <v>0</v>
      </c>
      <c r="GE54" t="e">
        <f>AND('Planilla_General_07-12-2012_8_3'!A810,"AAAAAHd/+7o=")</f>
        <v>#VALUE!</v>
      </c>
      <c r="GF54" t="e">
        <f>AND('Planilla_General_07-12-2012_8_3'!B810,"AAAAAHd/+7s=")</f>
        <v>#VALUE!</v>
      </c>
      <c r="GG54" t="e">
        <f>AND('Planilla_General_07-12-2012_8_3'!C810,"AAAAAHd/+7w=")</f>
        <v>#VALUE!</v>
      </c>
      <c r="GH54" t="e">
        <f>AND('Planilla_General_07-12-2012_8_3'!D810,"AAAAAHd/+70=")</f>
        <v>#VALUE!</v>
      </c>
      <c r="GI54" t="e">
        <f>AND('Planilla_General_07-12-2012_8_3'!E810,"AAAAAHd/+74=")</f>
        <v>#VALUE!</v>
      </c>
      <c r="GJ54" t="e">
        <f>AND('Planilla_General_07-12-2012_8_3'!F810,"AAAAAHd/+78=")</f>
        <v>#VALUE!</v>
      </c>
      <c r="GK54" t="e">
        <f>AND('Planilla_General_07-12-2012_8_3'!G810,"AAAAAHd/+8A=")</f>
        <v>#VALUE!</v>
      </c>
      <c r="GL54" t="e">
        <f>AND('Planilla_General_07-12-2012_8_3'!H810,"AAAAAHd/+8E=")</f>
        <v>#VALUE!</v>
      </c>
      <c r="GM54" t="e">
        <f>AND('Planilla_General_07-12-2012_8_3'!I810,"AAAAAHd/+8I=")</f>
        <v>#VALUE!</v>
      </c>
      <c r="GN54" t="e">
        <f>AND('Planilla_General_07-12-2012_8_3'!J810,"AAAAAHd/+8M=")</f>
        <v>#VALUE!</v>
      </c>
      <c r="GO54" t="e">
        <f>AND('Planilla_General_07-12-2012_8_3'!K810,"AAAAAHd/+8Q=")</f>
        <v>#VALUE!</v>
      </c>
      <c r="GP54" t="e">
        <f>AND('Planilla_General_07-12-2012_8_3'!L810,"AAAAAHd/+8U=")</f>
        <v>#VALUE!</v>
      </c>
      <c r="GQ54" t="e">
        <f>AND('Planilla_General_07-12-2012_8_3'!M810,"AAAAAHd/+8Y=")</f>
        <v>#VALUE!</v>
      </c>
      <c r="GR54" t="e">
        <f>AND('Planilla_General_07-12-2012_8_3'!N810,"AAAAAHd/+8c=")</f>
        <v>#VALUE!</v>
      </c>
      <c r="GS54" t="e">
        <f>AND('Planilla_General_07-12-2012_8_3'!O810,"AAAAAHd/+8g=")</f>
        <v>#VALUE!</v>
      </c>
      <c r="GT54" t="e">
        <f>AND('Planilla_General_07-12-2012_8_3'!P810,"AAAAAHd/+8k=")</f>
        <v>#VALUE!</v>
      </c>
      <c r="GU54">
        <f>IF('Planilla_General_07-12-2012_8_3'!811:811,"AAAAAHd/+8o=",0)</f>
        <v>0</v>
      </c>
      <c r="GV54" t="e">
        <f>AND('Planilla_General_07-12-2012_8_3'!A811,"AAAAAHd/+8s=")</f>
        <v>#VALUE!</v>
      </c>
      <c r="GW54" t="e">
        <f>AND('Planilla_General_07-12-2012_8_3'!B811,"AAAAAHd/+8w=")</f>
        <v>#VALUE!</v>
      </c>
      <c r="GX54" t="e">
        <f>AND('Planilla_General_07-12-2012_8_3'!C811,"AAAAAHd/+80=")</f>
        <v>#VALUE!</v>
      </c>
      <c r="GY54" t="e">
        <f>AND('Planilla_General_07-12-2012_8_3'!D811,"AAAAAHd/+84=")</f>
        <v>#VALUE!</v>
      </c>
      <c r="GZ54" t="e">
        <f>AND('Planilla_General_07-12-2012_8_3'!E811,"AAAAAHd/+88=")</f>
        <v>#VALUE!</v>
      </c>
      <c r="HA54" t="e">
        <f>AND('Planilla_General_07-12-2012_8_3'!F811,"AAAAAHd/+9A=")</f>
        <v>#VALUE!</v>
      </c>
      <c r="HB54" t="e">
        <f>AND('Planilla_General_07-12-2012_8_3'!G811,"AAAAAHd/+9E=")</f>
        <v>#VALUE!</v>
      </c>
      <c r="HC54" t="e">
        <f>AND('Planilla_General_07-12-2012_8_3'!H811,"AAAAAHd/+9I=")</f>
        <v>#VALUE!</v>
      </c>
      <c r="HD54" t="e">
        <f>AND('Planilla_General_07-12-2012_8_3'!I811,"AAAAAHd/+9M=")</f>
        <v>#VALUE!</v>
      </c>
      <c r="HE54" t="e">
        <f>AND('Planilla_General_07-12-2012_8_3'!J811,"AAAAAHd/+9Q=")</f>
        <v>#VALUE!</v>
      </c>
      <c r="HF54" t="e">
        <f>AND('Planilla_General_07-12-2012_8_3'!K811,"AAAAAHd/+9U=")</f>
        <v>#VALUE!</v>
      </c>
      <c r="HG54" t="e">
        <f>AND('Planilla_General_07-12-2012_8_3'!L811,"AAAAAHd/+9Y=")</f>
        <v>#VALUE!</v>
      </c>
      <c r="HH54" t="e">
        <f>AND('Planilla_General_07-12-2012_8_3'!M811,"AAAAAHd/+9c=")</f>
        <v>#VALUE!</v>
      </c>
      <c r="HI54" t="e">
        <f>AND('Planilla_General_07-12-2012_8_3'!N811,"AAAAAHd/+9g=")</f>
        <v>#VALUE!</v>
      </c>
      <c r="HJ54" t="e">
        <f>AND('Planilla_General_07-12-2012_8_3'!O811,"AAAAAHd/+9k=")</f>
        <v>#VALUE!</v>
      </c>
      <c r="HK54" t="e">
        <f>AND('Planilla_General_07-12-2012_8_3'!P811,"AAAAAHd/+9o=")</f>
        <v>#VALUE!</v>
      </c>
      <c r="HL54">
        <f>IF('Planilla_General_07-12-2012_8_3'!812:812,"AAAAAHd/+9s=",0)</f>
        <v>0</v>
      </c>
      <c r="HM54" t="e">
        <f>AND('Planilla_General_07-12-2012_8_3'!A812,"AAAAAHd/+9w=")</f>
        <v>#VALUE!</v>
      </c>
      <c r="HN54" t="e">
        <f>AND('Planilla_General_07-12-2012_8_3'!B812,"AAAAAHd/+90=")</f>
        <v>#VALUE!</v>
      </c>
      <c r="HO54" t="e">
        <f>AND('Planilla_General_07-12-2012_8_3'!C812,"AAAAAHd/+94=")</f>
        <v>#VALUE!</v>
      </c>
      <c r="HP54" t="e">
        <f>AND('Planilla_General_07-12-2012_8_3'!D812,"AAAAAHd/+98=")</f>
        <v>#VALUE!</v>
      </c>
      <c r="HQ54" t="e">
        <f>AND('Planilla_General_07-12-2012_8_3'!E812,"AAAAAHd/++A=")</f>
        <v>#VALUE!</v>
      </c>
      <c r="HR54" t="e">
        <f>AND('Planilla_General_07-12-2012_8_3'!F812,"AAAAAHd/++E=")</f>
        <v>#VALUE!</v>
      </c>
      <c r="HS54" t="e">
        <f>AND('Planilla_General_07-12-2012_8_3'!G812,"AAAAAHd/++I=")</f>
        <v>#VALUE!</v>
      </c>
      <c r="HT54" t="e">
        <f>AND('Planilla_General_07-12-2012_8_3'!H812,"AAAAAHd/++M=")</f>
        <v>#VALUE!</v>
      </c>
      <c r="HU54" t="e">
        <f>AND('Planilla_General_07-12-2012_8_3'!I812,"AAAAAHd/++Q=")</f>
        <v>#VALUE!</v>
      </c>
      <c r="HV54" t="e">
        <f>AND('Planilla_General_07-12-2012_8_3'!J812,"AAAAAHd/++U=")</f>
        <v>#VALUE!</v>
      </c>
      <c r="HW54" t="e">
        <f>AND('Planilla_General_07-12-2012_8_3'!K812,"AAAAAHd/++Y=")</f>
        <v>#VALUE!</v>
      </c>
      <c r="HX54" t="e">
        <f>AND('Planilla_General_07-12-2012_8_3'!L812,"AAAAAHd/++c=")</f>
        <v>#VALUE!</v>
      </c>
      <c r="HY54" t="e">
        <f>AND('Planilla_General_07-12-2012_8_3'!M812,"AAAAAHd/++g=")</f>
        <v>#VALUE!</v>
      </c>
      <c r="HZ54" t="e">
        <f>AND('Planilla_General_07-12-2012_8_3'!N812,"AAAAAHd/++k=")</f>
        <v>#VALUE!</v>
      </c>
      <c r="IA54" t="e">
        <f>AND('Planilla_General_07-12-2012_8_3'!O812,"AAAAAHd/++o=")</f>
        <v>#VALUE!</v>
      </c>
      <c r="IB54" t="e">
        <f>AND('Planilla_General_07-12-2012_8_3'!P812,"AAAAAHd/++s=")</f>
        <v>#VALUE!</v>
      </c>
      <c r="IC54">
        <f>IF('Planilla_General_07-12-2012_8_3'!813:813,"AAAAAHd/++w=",0)</f>
        <v>0</v>
      </c>
      <c r="ID54" t="e">
        <f>AND('Planilla_General_07-12-2012_8_3'!A813,"AAAAAHd/++0=")</f>
        <v>#VALUE!</v>
      </c>
      <c r="IE54" t="e">
        <f>AND('Planilla_General_07-12-2012_8_3'!B813,"AAAAAHd/++4=")</f>
        <v>#VALUE!</v>
      </c>
      <c r="IF54" t="e">
        <f>AND('Planilla_General_07-12-2012_8_3'!C813,"AAAAAHd/++8=")</f>
        <v>#VALUE!</v>
      </c>
      <c r="IG54" t="e">
        <f>AND('Planilla_General_07-12-2012_8_3'!D813,"AAAAAHd/+/A=")</f>
        <v>#VALUE!</v>
      </c>
      <c r="IH54" t="e">
        <f>AND('Planilla_General_07-12-2012_8_3'!E813,"AAAAAHd/+/E=")</f>
        <v>#VALUE!</v>
      </c>
      <c r="II54" t="e">
        <f>AND('Planilla_General_07-12-2012_8_3'!F813,"AAAAAHd/+/I=")</f>
        <v>#VALUE!</v>
      </c>
      <c r="IJ54" t="e">
        <f>AND('Planilla_General_07-12-2012_8_3'!G813,"AAAAAHd/+/M=")</f>
        <v>#VALUE!</v>
      </c>
      <c r="IK54" t="e">
        <f>AND('Planilla_General_07-12-2012_8_3'!H813,"AAAAAHd/+/Q=")</f>
        <v>#VALUE!</v>
      </c>
      <c r="IL54" t="e">
        <f>AND('Planilla_General_07-12-2012_8_3'!I813,"AAAAAHd/+/U=")</f>
        <v>#VALUE!</v>
      </c>
      <c r="IM54" t="e">
        <f>AND('Planilla_General_07-12-2012_8_3'!J813,"AAAAAHd/+/Y=")</f>
        <v>#VALUE!</v>
      </c>
      <c r="IN54" t="e">
        <f>AND('Planilla_General_07-12-2012_8_3'!K813,"AAAAAHd/+/c=")</f>
        <v>#VALUE!</v>
      </c>
      <c r="IO54" t="e">
        <f>AND('Planilla_General_07-12-2012_8_3'!L813,"AAAAAHd/+/g=")</f>
        <v>#VALUE!</v>
      </c>
      <c r="IP54" t="e">
        <f>AND('Planilla_General_07-12-2012_8_3'!M813,"AAAAAHd/+/k=")</f>
        <v>#VALUE!</v>
      </c>
      <c r="IQ54" t="e">
        <f>AND('Planilla_General_07-12-2012_8_3'!N813,"AAAAAHd/+/o=")</f>
        <v>#VALUE!</v>
      </c>
      <c r="IR54" t="e">
        <f>AND('Planilla_General_07-12-2012_8_3'!O813,"AAAAAHd/+/s=")</f>
        <v>#VALUE!</v>
      </c>
      <c r="IS54" t="e">
        <f>AND('Planilla_General_07-12-2012_8_3'!P813,"AAAAAHd/+/w=")</f>
        <v>#VALUE!</v>
      </c>
      <c r="IT54">
        <f>IF('Planilla_General_07-12-2012_8_3'!814:814,"AAAAAHd/+/0=",0)</f>
        <v>0</v>
      </c>
      <c r="IU54" t="e">
        <f>AND('Planilla_General_07-12-2012_8_3'!A814,"AAAAAHd/+/4=")</f>
        <v>#VALUE!</v>
      </c>
      <c r="IV54" t="e">
        <f>AND('Planilla_General_07-12-2012_8_3'!B814,"AAAAAHd/+/8=")</f>
        <v>#VALUE!</v>
      </c>
    </row>
    <row r="55" spans="1:256" x14ac:dyDescent="0.25">
      <c r="A55" t="e">
        <f>AND('Planilla_General_07-12-2012_8_3'!C814,"AAAAAH/vZwA=")</f>
        <v>#VALUE!</v>
      </c>
      <c r="B55" t="e">
        <f>AND('Planilla_General_07-12-2012_8_3'!D814,"AAAAAH/vZwE=")</f>
        <v>#VALUE!</v>
      </c>
      <c r="C55" t="e">
        <f>AND('Planilla_General_07-12-2012_8_3'!E814,"AAAAAH/vZwI=")</f>
        <v>#VALUE!</v>
      </c>
      <c r="D55" t="e">
        <f>AND('Planilla_General_07-12-2012_8_3'!F814,"AAAAAH/vZwM=")</f>
        <v>#VALUE!</v>
      </c>
      <c r="E55" t="e">
        <f>AND('Planilla_General_07-12-2012_8_3'!G814,"AAAAAH/vZwQ=")</f>
        <v>#VALUE!</v>
      </c>
      <c r="F55" t="e">
        <f>AND('Planilla_General_07-12-2012_8_3'!H814,"AAAAAH/vZwU=")</f>
        <v>#VALUE!</v>
      </c>
      <c r="G55" t="e">
        <f>AND('Planilla_General_07-12-2012_8_3'!I814,"AAAAAH/vZwY=")</f>
        <v>#VALUE!</v>
      </c>
      <c r="H55" t="e">
        <f>AND('Planilla_General_07-12-2012_8_3'!J814,"AAAAAH/vZwc=")</f>
        <v>#VALUE!</v>
      </c>
      <c r="I55" t="e">
        <f>AND('Planilla_General_07-12-2012_8_3'!K814,"AAAAAH/vZwg=")</f>
        <v>#VALUE!</v>
      </c>
      <c r="J55" t="e">
        <f>AND('Planilla_General_07-12-2012_8_3'!L814,"AAAAAH/vZwk=")</f>
        <v>#VALUE!</v>
      </c>
      <c r="K55" t="e">
        <f>AND('Planilla_General_07-12-2012_8_3'!M814,"AAAAAH/vZwo=")</f>
        <v>#VALUE!</v>
      </c>
      <c r="L55" t="e">
        <f>AND('Planilla_General_07-12-2012_8_3'!N814,"AAAAAH/vZws=")</f>
        <v>#VALUE!</v>
      </c>
      <c r="M55" t="e">
        <f>AND('Planilla_General_07-12-2012_8_3'!O814,"AAAAAH/vZww=")</f>
        <v>#VALUE!</v>
      </c>
      <c r="N55" t="e">
        <f>AND('Planilla_General_07-12-2012_8_3'!P814,"AAAAAH/vZw0=")</f>
        <v>#VALUE!</v>
      </c>
      <c r="O55" t="str">
        <f>IF('Planilla_General_07-12-2012_8_3'!815:815,"AAAAAH/vZw4=",0)</f>
        <v>AAAAAH/vZw4=</v>
      </c>
      <c r="P55" t="e">
        <f>AND('Planilla_General_07-12-2012_8_3'!A815,"AAAAAH/vZw8=")</f>
        <v>#VALUE!</v>
      </c>
      <c r="Q55" t="e">
        <f>AND('Planilla_General_07-12-2012_8_3'!B815,"AAAAAH/vZxA=")</f>
        <v>#VALUE!</v>
      </c>
      <c r="R55" t="e">
        <f>AND('Planilla_General_07-12-2012_8_3'!C815,"AAAAAH/vZxE=")</f>
        <v>#VALUE!</v>
      </c>
      <c r="S55" t="e">
        <f>AND('Planilla_General_07-12-2012_8_3'!D815,"AAAAAH/vZxI=")</f>
        <v>#VALUE!</v>
      </c>
      <c r="T55" t="e">
        <f>AND('Planilla_General_07-12-2012_8_3'!E815,"AAAAAH/vZxM=")</f>
        <v>#VALUE!</v>
      </c>
      <c r="U55" t="e">
        <f>AND('Planilla_General_07-12-2012_8_3'!F815,"AAAAAH/vZxQ=")</f>
        <v>#VALUE!</v>
      </c>
      <c r="V55" t="e">
        <f>AND('Planilla_General_07-12-2012_8_3'!G815,"AAAAAH/vZxU=")</f>
        <v>#VALUE!</v>
      </c>
      <c r="W55" t="e">
        <f>AND('Planilla_General_07-12-2012_8_3'!H815,"AAAAAH/vZxY=")</f>
        <v>#VALUE!</v>
      </c>
      <c r="X55" t="e">
        <f>AND('Planilla_General_07-12-2012_8_3'!I815,"AAAAAH/vZxc=")</f>
        <v>#VALUE!</v>
      </c>
      <c r="Y55" t="e">
        <f>AND('Planilla_General_07-12-2012_8_3'!J815,"AAAAAH/vZxg=")</f>
        <v>#VALUE!</v>
      </c>
      <c r="Z55" t="e">
        <f>AND('Planilla_General_07-12-2012_8_3'!K815,"AAAAAH/vZxk=")</f>
        <v>#VALUE!</v>
      </c>
      <c r="AA55" t="e">
        <f>AND('Planilla_General_07-12-2012_8_3'!L815,"AAAAAH/vZxo=")</f>
        <v>#VALUE!</v>
      </c>
      <c r="AB55" t="e">
        <f>AND('Planilla_General_07-12-2012_8_3'!M815,"AAAAAH/vZxs=")</f>
        <v>#VALUE!</v>
      </c>
      <c r="AC55" t="e">
        <f>AND('Planilla_General_07-12-2012_8_3'!N815,"AAAAAH/vZxw=")</f>
        <v>#VALUE!</v>
      </c>
      <c r="AD55" t="e">
        <f>AND('Planilla_General_07-12-2012_8_3'!O815,"AAAAAH/vZx0=")</f>
        <v>#VALUE!</v>
      </c>
      <c r="AE55" t="e">
        <f>AND('Planilla_General_07-12-2012_8_3'!P815,"AAAAAH/vZx4=")</f>
        <v>#VALUE!</v>
      </c>
      <c r="AF55">
        <f>IF('Planilla_General_07-12-2012_8_3'!816:816,"AAAAAH/vZx8=",0)</f>
        <v>0</v>
      </c>
      <c r="AG55" t="e">
        <f>AND('Planilla_General_07-12-2012_8_3'!A816,"AAAAAH/vZyA=")</f>
        <v>#VALUE!</v>
      </c>
      <c r="AH55" t="e">
        <f>AND('Planilla_General_07-12-2012_8_3'!B816,"AAAAAH/vZyE=")</f>
        <v>#VALUE!</v>
      </c>
      <c r="AI55" t="e">
        <f>AND('Planilla_General_07-12-2012_8_3'!C816,"AAAAAH/vZyI=")</f>
        <v>#VALUE!</v>
      </c>
      <c r="AJ55" t="e">
        <f>AND('Planilla_General_07-12-2012_8_3'!D816,"AAAAAH/vZyM=")</f>
        <v>#VALUE!</v>
      </c>
      <c r="AK55" t="e">
        <f>AND('Planilla_General_07-12-2012_8_3'!E816,"AAAAAH/vZyQ=")</f>
        <v>#VALUE!</v>
      </c>
      <c r="AL55" t="e">
        <f>AND('Planilla_General_07-12-2012_8_3'!F816,"AAAAAH/vZyU=")</f>
        <v>#VALUE!</v>
      </c>
      <c r="AM55" t="e">
        <f>AND('Planilla_General_07-12-2012_8_3'!G816,"AAAAAH/vZyY=")</f>
        <v>#VALUE!</v>
      </c>
      <c r="AN55" t="e">
        <f>AND('Planilla_General_07-12-2012_8_3'!H816,"AAAAAH/vZyc=")</f>
        <v>#VALUE!</v>
      </c>
      <c r="AO55" t="e">
        <f>AND('Planilla_General_07-12-2012_8_3'!I816,"AAAAAH/vZyg=")</f>
        <v>#VALUE!</v>
      </c>
      <c r="AP55" t="e">
        <f>AND('Planilla_General_07-12-2012_8_3'!J816,"AAAAAH/vZyk=")</f>
        <v>#VALUE!</v>
      </c>
      <c r="AQ55" t="e">
        <f>AND('Planilla_General_07-12-2012_8_3'!K816,"AAAAAH/vZyo=")</f>
        <v>#VALUE!</v>
      </c>
      <c r="AR55" t="e">
        <f>AND('Planilla_General_07-12-2012_8_3'!L816,"AAAAAH/vZys=")</f>
        <v>#VALUE!</v>
      </c>
      <c r="AS55" t="e">
        <f>AND('Planilla_General_07-12-2012_8_3'!M816,"AAAAAH/vZyw=")</f>
        <v>#VALUE!</v>
      </c>
      <c r="AT55" t="e">
        <f>AND('Planilla_General_07-12-2012_8_3'!N816,"AAAAAH/vZy0=")</f>
        <v>#VALUE!</v>
      </c>
      <c r="AU55" t="e">
        <f>AND('Planilla_General_07-12-2012_8_3'!O816,"AAAAAH/vZy4=")</f>
        <v>#VALUE!</v>
      </c>
      <c r="AV55" t="e">
        <f>AND('Planilla_General_07-12-2012_8_3'!P816,"AAAAAH/vZy8=")</f>
        <v>#VALUE!</v>
      </c>
      <c r="AW55">
        <f>IF('Planilla_General_07-12-2012_8_3'!817:817,"AAAAAH/vZzA=",0)</f>
        <v>0</v>
      </c>
      <c r="AX55" t="e">
        <f>AND('Planilla_General_07-12-2012_8_3'!A817,"AAAAAH/vZzE=")</f>
        <v>#VALUE!</v>
      </c>
      <c r="AY55" t="e">
        <f>AND('Planilla_General_07-12-2012_8_3'!B817,"AAAAAH/vZzI=")</f>
        <v>#VALUE!</v>
      </c>
      <c r="AZ55" t="e">
        <f>AND('Planilla_General_07-12-2012_8_3'!C817,"AAAAAH/vZzM=")</f>
        <v>#VALUE!</v>
      </c>
      <c r="BA55" t="e">
        <f>AND('Planilla_General_07-12-2012_8_3'!D817,"AAAAAH/vZzQ=")</f>
        <v>#VALUE!</v>
      </c>
      <c r="BB55" t="e">
        <f>AND('Planilla_General_07-12-2012_8_3'!E817,"AAAAAH/vZzU=")</f>
        <v>#VALUE!</v>
      </c>
      <c r="BC55" t="e">
        <f>AND('Planilla_General_07-12-2012_8_3'!F817,"AAAAAH/vZzY=")</f>
        <v>#VALUE!</v>
      </c>
      <c r="BD55" t="e">
        <f>AND('Planilla_General_07-12-2012_8_3'!G817,"AAAAAH/vZzc=")</f>
        <v>#VALUE!</v>
      </c>
      <c r="BE55" t="e">
        <f>AND('Planilla_General_07-12-2012_8_3'!H817,"AAAAAH/vZzg=")</f>
        <v>#VALUE!</v>
      </c>
      <c r="BF55" t="e">
        <f>AND('Planilla_General_07-12-2012_8_3'!I817,"AAAAAH/vZzk=")</f>
        <v>#VALUE!</v>
      </c>
      <c r="BG55" t="e">
        <f>AND('Planilla_General_07-12-2012_8_3'!J817,"AAAAAH/vZzo=")</f>
        <v>#VALUE!</v>
      </c>
      <c r="BH55" t="e">
        <f>AND('Planilla_General_07-12-2012_8_3'!K817,"AAAAAH/vZzs=")</f>
        <v>#VALUE!</v>
      </c>
      <c r="BI55" t="e">
        <f>AND('Planilla_General_07-12-2012_8_3'!L817,"AAAAAH/vZzw=")</f>
        <v>#VALUE!</v>
      </c>
      <c r="BJ55" t="e">
        <f>AND('Planilla_General_07-12-2012_8_3'!M817,"AAAAAH/vZz0=")</f>
        <v>#VALUE!</v>
      </c>
      <c r="BK55" t="e">
        <f>AND('Planilla_General_07-12-2012_8_3'!N817,"AAAAAH/vZz4=")</f>
        <v>#VALUE!</v>
      </c>
      <c r="BL55" t="e">
        <f>AND('Planilla_General_07-12-2012_8_3'!O817,"AAAAAH/vZz8=")</f>
        <v>#VALUE!</v>
      </c>
      <c r="BM55" t="e">
        <f>AND('Planilla_General_07-12-2012_8_3'!P817,"AAAAAH/vZ0A=")</f>
        <v>#VALUE!</v>
      </c>
      <c r="BN55">
        <f>IF('Planilla_General_07-12-2012_8_3'!818:818,"AAAAAH/vZ0E=",0)</f>
        <v>0</v>
      </c>
      <c r="BO55" t="e">
        <f>AND('Planilla_General_07-12-2012_8_3'!A818,"AAAAAH/vZ0I=")</f>
        <v>#VALUE!</v>
      </c>
      <c r="BP55" t="e">
        <f>AND('Planilla_General_07-12-2012_8_3'!B818,"AAAAAH/vZ0M=")</f>
        <v>#VALUE!</v>
      </c>
      <c r="BQ55" t="e">
        <f>AND('Planilla_General_07-12-2012_8_3'!C818,"AAAAAH/vZ0Q=")</f>
        <v>#VALUE!</v>
      </c>
      <c r="BR55" t="e">
        <f>AND('Planilla_General_07-12-2012_8_3'!D818,"AAAAAH/vZ0U=")</f>
        <v>#VALUE!</v>
      </c>
      <c r="BS55" t="e">
        <f>AND('Planilla_General_07-12-2012_8_3'!E818,"AAAAAH/vZ0Y=")</f>
        <v>#VALUE!</v>
      </c>
      <c r="BT55" t="e">
        <f>AND('Planilla_General_07-12-2012_8_3'!F818,"AAAAAH/vZ0c=")</f>
        <v>#VALUE!</v>
      </c>
      <c r="BU55" t="e">
        <f>AND('Planilla_General_07-12-2012_8_3'!G818,"AAAAAH/vZ0g=")</f>
        <v>#VALUE!</v>
      </c>
      <c r="BV55" t="e">
        <f>AND('Planilla_General_07-12-2012_8_3'!H818,"AAAAAH/vZ0k=")</f>
        <v>#VALUE!</v>
      </c>
      <c r="BW55" t="e">
        <f>AND('Planilla_General_07-12-2012_8_3'!I818,"AAAAAH/vZ0o=")</f>
        <v>#VALUE!</v>
      </c>
      <c r="BX55" t="e">
        <f>AND('Planilla_General_07-12-2012_8_3'!J818,"AAAAAH/vZ0s=")</f>
        <v>#VALUE!</v>
      </c>
      <c r="BY55" t="e">
        <f>AND('Planilla_General_07-12-2012_8_3'!K818,"AAAAAH/vZ0w=")</f>
        <v>#VALUE!</v>
      </c>
      <c r="BZ55" t="e">
        <f>AND('Planilla_General_07-12-2012_8_3'!L818,"AAAAAH/vZ00=")</f>
        <v>#VALUE!</v>
      </c>
      <c r="CA55" t="e">
        <f>AND('Planilla_General_07-12-2012_8_3'!M818,"AAAAAH/vZ04=")</f>
        <v>#VALUE!</v>
      </c>
      <c r="CB55" t="e">
        <f>AND('Planilla_General_07-12-2012_8_3'!N818,"AAAAAH/vZ08=")</f>
        <v>#VALUE!</v>
      </c>
      <c r="CC55" t="e">
        <f>AND('Planilla_General_07-12-2012_8_3'!O818,"AAAAAH/vZ1A=")</f>
        <v>#VALUE!</v>
      </c>
      <c r="CD55" t="e">
        <f>AND('Planilla_General_07-12-2012_8_3'!P818,"AAAAAH/vZ1E=")</f>
        <v>#VALUE!</v>
      </c>
      <c r="CE55">
        <f>IF('Planilla_General_07-12-2012_8_3'!819:819,"AAAAAH/vZ1I=",0)</f>
        <v>0</v>
      </c>
      <c r="CF55" t="e">
        <f>AND('Planilla_General_07-12-2012_8_3'!A819,"AAAAAH/vZ1M=")</f>
        <v>#VALUE!</v>
      </c>
      <c r="CG55" t="e">
        <f>AND('Planilla_General_07-12-2012_8_3'!B819,"AAAAAH/vZ1Q=")</f>
        <v>#VALUE!</v>
      </c>
      <c r="CH55" t="e">
        <f>AND('Planilla_General_07-12-2012_8_3'!C819,"AAAAAH/vZ1U=")</f>
        <v>#VALUE!</v>
      </c>
      <c r="CI55" t="e">
        <f>AND('Planilla_General_07-12-2012_8_3'!D819,"AAAAAH/vZ1Y=")</f>
        <v>#VALUE!</v>
      </c>
      <c r="CJ55" t="e">
        <f>AND('Planilla_General_07-12-2012_8_3'!E819,"AAAAAH/vZ1c=")</f>
        <v>#VALUE!</v>
      </c>
      <c r="CK55" t="e">
        <f>AND('Planilla_General_07-12-2012_8_3'!F819,"AAAAAH/vZ1g=")</f>
        <v>#VALUE!</v>
      </c>
      <c r="CL55" t="e">
        <f>AND('Planilla_General_07-12-2012_8_3'!G819,"AAAAAH/vZ1k=")</f>
        <v>#VALUE!</v>
      </c>
      <c r="CM55" t="e">
        <f>AND('Planilla_General_07-12-2012_8_3'!H819,"AAAAAH/vZ1o=")</f>
        <v>#VALUE!</v>
      </c>
      <c r="CN55" t="e">
        <f>AND('Planilla_General_07-12-2012_8_3'!I819,"AAAAAH/vZ1s=")</f>
        <v>#VALUE!</v>
      </c>
      <c r="CO55" t="e">
        <f>AND('Planilla_General_07-12-2012_8_3'!J819,"AAAAAH/vZ1w=")</f>
        <v>#VALUE!</v>
      </c>
      <c r="CP55" t="e">
        <f>AND('Planilla_General_07-12-2012_8_3'!K819,"AAAAAH/vZ10=")</f>
        <v>#VALUE!</v>
      </c>
      <c r="CQ55" t="e">
        <f>AND('Planilla_General_07-12-2012_8_3'!L819,"AAAAAH/vZ14=")</f>
        <v>#VALUE!</v>
      </c>
      <c r="CR55" t="e">
        <f>AND('Planilla_General_07-12-2012_8_3'!M819,"AAAAAH/vZ18=")</f>
        <v>#VALUE!</v>
      </c>
      <c r="CS55" t="e">
        <f>AND('Planilla_General_07-12-2012_8_3'!N819,"AAAAAH/vZ2A=")</f>
        <v>#VALUE!</v>
      </c>
      <c r="CT55" t="e">
        <f>AND('Planilla_General_07-12-2012_8_3'!O819,"AAAAAH/vZ2E=")</f>
        <v>#VALUE!</v>
      </c>
      <c r="CU55" t="e">
        <f>AND('Planilla_General_07-12-2012_8_3'!P819,"AAAAAH/vZ2I=")</f>
        <v>#VALUE!</v>
      </c>
      <c r="CV55">
        <f>IF('Planilla_General_07-12-2012_8_3'!820:820,"AAAAAH/vZ2M=",0)</f>
        <v>0</v>
      </c>
      <c r="CW55" t="e">
        <f>AND('Planilla_General_07-12-2012_8_3'!A820,"AAAAAH/vZ2Q=")</f>
        <v>#VALUE!</v>
      </c>
      <c r="CX55" t="e">
        <f>AND('Planilla_General_07-12-2012_8_3'!B820,"AAAAAH/vZ2U=")</f>
        <v>#VALUE!</v>
      </c>
      <c r="CY55" t="e">
        <f>AND('Planilla_General_07-12-2012_8_3'!C820,"AAAAAH/vZ2Y=")</f>
        <v>#VALUE!</v>
      </c>
      <c r="CZ55" t="e">
        <f>AND('Planilla_General_07-12-2012_8_3'!D820,"AAAAAH/vZ2c=")</f>
        <v>#VALUE!</v>
      </c>
      <c r="DA55" t="e">
        <f>AND('Planilla_General_07-12-2012_8_3'!E820,"AAAAAH/vZ2g=")</f>
        <v>#VALUE!</v>
      </c>
      <c r="DB55" t="e">
        <f>AND('Planilla_General_07-12-2012_8_3'!F820,"AAAAAH/vZ2k=")</f>
        <v>#VALUE!</v>
      </c>
      <c r="DC55" t="e">
        <f>AND('Planilla_General_07-12-2012_8_3'!G820,"AAAAAH/vZ2o=")</f>
        <v>#VALUE!</v>
      </c>
      <c r="DD55" t="e">
        <f>AND('Planilla_General_07-12-2012_8_3'!H820,"AAAAAH/vZ2s=")</f>
        <v>#VALUE!</v>
      </c>
      <c r="DE55" t="e">
        <f>AND('Planilla_General_07-12-2012_8_3'!I820,"AAAAAH/vZ2w=")</f>
        <v>#VALUE!</v>
      </c>
      <c r="DF55" t="e">
        <f>AND('Planilla_General_07-12-2012_8_3'!J820,"AAAAAH/vZ20=")</f>
        <v>#VALUE!</v>
      </c>
      <c r="DG55" t="e">
        <f>AND('Planilla_General_07-12-2012_8_3'!K820,"AAAAAH/vZ24=")</f>
        <v>#VALUE!</v>
      </c>
      <c r="DH55" t="e">
        <f>AND('Planilla_General_07-12-2012_8_3'!L820,"AAAAAH/vZ28=")</f>
        <v>#VALUE!</v>
      </c>
      <c r="DI55" t="e">
        <f>AND('Planilla_General_07-12-2012_8_3'!M820,"AAAAAH/vZ3A=")</f>
        <v>#VALUE!</v>
      </c>
      <c r="DJ55" t="e">
        <f>AND('Planilla_General_07-12-2012_8_3'!N820,"AAAAAH/vZ3E=")</f>
        <v>#VALUE!</v>
      </c>
      <c r="DK55" t="e">
        <f>AND('Planilla_General_07-12-2012_8_3'!O820,"AAAAAH/vZ3I=")</f>
        <v>#VALUE!</v>
      </c>
      <c r="DL55" t="e">
        <f>AND('Planilla_General_07-12-2012_8_3'!P820,"AAAAAH/vZ3M=")</f>
        <v>#VALUE!</v>
      </c>
      <c r="DM55">
        <f>IF('Planilla_General_07-12-2012_8_3'!821:821,"AAAAAH/vZ3Q=",0)</f>
        <v>0</v>
      </c>
      <c r="DN55" t="e">
        <f>AND('Planilla_General_07-12-2012_8_3'!A821,"AAAAAH/vZ3U=")</f>
        <v>#VALUE!</v>
      </c>
      <c r="DO55" t="e">
        <f>AND('Planilla_General_07-12-2012_8_3'!B821,"AAAAAH/vZ3Y=")</f>
        <v>#VALUE!</v>
      </c>
      <c r="DP55" t="e">
        <f>AND('Planilla_General_07-12-2012_8_3'!C821,"AAAAAH/vZ3c=")</f>
        <v>#VALUE!</v>
      </c>
      <c r="DQ55" t="e">
        <f>AND('Planilla_General_07-12-2012_8_3'!D821,"AAAAAH/vZ3g=")</f>
        <v>#VALUE!</v>
      </c>
      <c r="DR55" t="e">
        <f>AND('Planilla_General_07-12-2012_8_3'!E821,"AAAAAH/vZ3k=")</f>
        <v>#VALUE!</v>
      </c>
      <c r="DS55" t="e">
        <f>AND('Planilla_General_07-12-2012_8_3'!F821,"AAAAAH/vZ3o=")</f>
        <v>#VALUE!</v>
      </c>
      <c r="DT55" t="e">
        <f>AND('Planilla_General_07-12-2012_8_3'!G821,"AAAAAH/vZ3s=")</f>
        <v>#VALUE!</v>
      </c>
      <c r="DU55" t="e">
        <f>AND('Planilla_General_07-12-2012_8_3'!H821,"AAAAAH/vZ3w=")</f>
        <v>#VALUE!</v>
      </c>
      <c r="DV55" t="e">
        <f>AND('Planilla_General_07-12-2012_8_3'!I821,"AAAAAH/vZ30=")</f>
        <v>#VALUE!</v>
      </c>
      <c r="DW55" t="e">
        <f>AND('Planilla_General_07-12-2012_8_3'!J821,"AAAAAH/vZ34=")</f>
        <v>#VALUE!</v>
      </c>
      <c r="DX55" t="e">
        <f>AND('Planilla_General_07-12-2012_8_3'!K821,"AAAAAH/vZ38=")</f>
        <v>#VALUE!</v>
      </c>
      <c r="DY55" t="e">
        <f>AND('Planilla_General_07-12-2012_8_3'!L821,"AAAAAH/vZ4A=")</f>
        <v>#VALUE!</v>
      </c>
      <c r="DZ55" t="e">
        <f>AND('Planilla_General_07-12-2012_8_3'!M821,"AAAAAH/vZ4E=")</f>
        <v>#VALUE!</v>
      </c>
      <c r="EA55" t="e">
        <f>AND('Planilla_General_07-12-2012_8_3'!N821,"AAAAAH/vZ4I=")</f>
        <v>#VALUE!</v>
      </c>
      <c r="EB55" t="e">
        <f>AND('Planilla_General_07-12-2012_8_3'!O821,"AAAAAH/vZ4M=")</f>
        <v>#VALUE!</v>
      </c>
      <c r="EC55" t="e">
        <f>AND('Planilla_General_07-12-2012_8_3'!P821,"AAAAAH/vZ4Q=")</f>
        <v>#VALUE!</v>
      </c>
      <c r="ED55">
        <f>IF('Planilla_General_07-12-2012_8_3'!822:822,"AAAAAH/vZ4U=",0)</f>
        <v>0</v>
      </c>
      <c r="EE55" t="e">
        <f>AND('Planilla_General_07-12-2012_8_3'!A822,"AAAAAH/vZ4Y=")</f>
        <v>#VALUE!</v>
      </c>
      <c r="EF55" t="e">
        <f>AND('Planilla_General_07-12-2012_8_3'!B822,"AAAAAH/vZ4c=")</f>
        <v>#VALUE!</v>
      </c>
      <c r="EG55" t="e">
        <f>AND('Planilla_General_07-12-2012_8_3'!C822,"AAAAAH/vZ4g=")</f>
        <v>#VALUE!</v>
      </c>
      <c r="EH55" t="e">
        <f>AND('Planilla_General_07-12-2012_8_3'!D822,"AAAAAH/vZ4k=")</f>
        <v>#VALUE!</v>
      </c>
      <c r="EI55" t="e">
        <f>AND('Planilla_General_07-12-2012_8_3'!E822,"AAAAAH/vZ4o=")</f>
        <v>#VALUE!</v>
      </c>
      <c r="EJ55" t="e">
        <f>AND('Planilla_General_07-12-2012_8_3'!F822,"AAAAAH/vZ4s=")</f>
        <v>#VALUE!</v>
      </c>
      <c r="EK55" t="e">
        <f>AND('Planilla_General_07-12-2012_8_3'!G822,"AAAAAH/vZ4w=")</f>
        <v>#VALUE!</v>
      </c>
      <c r="EL55" t="e">
        <f>AND('Planilla_General_07-12-2012_8_3'!H822,"AAAAAH/vZ40=")</f>
        <v>#VALUE!</v>
      </c>
      <c r="EM55" t="e">
        <f>AND('Planilla_General_07-12-2012_8_3'!I822,"AAAAAH/vZ44=")</f>
        <v>#VALUE!</v>
      </c>
      <c r="EN55" t="e">
        <f>AND('Planilla_General_07-12-2012_8_3'!J822,"AAAAAH/vZ48=")</f>
        <v>#VALUE!</v>
      </c>
      <c r="EO55" t="e">
        <f>AND('Planilla_General_07-12-2012_8_3'!K822,"AAAAAH/vZ5A=")</f>
        <v>#VALUE!</v>
      </c>
      <c r="EP55" t="e">
        <f>AND('Planilla_General_07-12-2012_8_3'!L822,"AAAAAH/vZ5E=")</f>
        <v>#VALUE!</v>
      </c>
      <c r="EQ55" t="e">
        <f>AND('Planilla_General_07-12-2012_8_3'!M822,"AAAAAH/vZ5I=")</f>
        <v>#VALUE!</v>
      </c>
      <c r="ER55" t="e">
        <f>AND('Planilla_General_07-12-2012_8_3'!N822,"AAAAAH/vZ5M=")</f>
        <v>#VALUE!</v>
      </c>
      <c r="ES55" t="e">
        <f>AND('Planilla_General_07-12-2012_8_3'!O822,"AAAAAH/vZ5Q=")</f>
        <v>#VALUE!</v>
      </c>
      <c r="ET55" t="e">
        <f>AND('Planilla_General_07-12-2012_8_3'!P822,"AAAAAH/vZ5U=")</f>
        <v>#VALUE!</v>
      </c>
      <c r="EU55">
        <f>IF('Planilla_General_07-12-2012_8_3'!823:823,"AAAAAH/vZ5Y=",0)</f>
        <v>0</v>
      </c>
      <c r="EV55" t="e">
        <f>AND('Planilla_General_07-12-2012_8_3'!A823,"AAAAAH/vZ5c=")</f>
        <v>#VALUE!</v>
      </c>
      <c r="EW55" t="e">
        <f>AND('Planilla_General_07-12-2012_8_3'!B823,"AAAAAH/vZ5g=")</f>
        <v>#VALUE!</v>
      </c>
      <c r="EX55" t="e">
        <f>AND('Planilla_General_07-12-2012_8_3'!C823,"AAAAAH/vZ5k=")</f>
        <v>#VALUE!</v>
      </c>
      <c r="EY55" t="e">
        <f>AND('Planilla_General_07-12-2012_8_3'!D823,"AAAAAH/vZ5o=")</f>
        <v>#VALUE!</v>
      </c>
      <c r="EZ55" t="e">
        <f>AND('Planilla_General_07-12-2012_8_3'!E823,"AAAAAH/vZ5s=")</f>
        <v>#VALUE!</v>
      </c>
      <c r="FA55" t="e">
        <f>AND('Planilla_General_07-12-2012_8_3'!F823,"AAAAAH/vZ5w=")</f>
        <v>#VALUE!</v>
      </c>
      <c r="FB55" t="e">
        <f>AND('Planilla_General_07-12-2012_8_3'!G823,"AAAAAH/vZ50=")</f>
        <v>#VALUE!</v>
      </c>
      <c r="FC55" t="e">
        <f>AND('Planilla_General_07-12-2012_8_3'!H823,"AAAAAH/vZ54=")</f>
        <v>#VALUE!</v>
      </c>
      <c r="FD55" t="e">
        <f>AND('Planilla_General_07-12-2012_8_3'!I823,"AAAAAH/vZ58=")</f>
        <v>#VALUE!</v>
      </c>
      <c r="FE55" t="e">
        <f>AND('Planilla_General_07-12-2012_8_3'!J823,"AAAAAH/vZ6A=")</f>
        <v>#VALUE!</v>
      </c>
      <c r="FF55" t="e">
        <f>AND('Planilla_General_07-12-2012_8_3'!K823,"AAAAAH/vZ6E=")</f>
        <v>#VALUE!</v>
      </c>
      <c r="FG55" t="e">
        <f>AND('Planilla_General_07-12-2012_8_3'!L823,"AAAAAH/vZ6I=")</f>
        <v>#VALUE!</v>
      </c>
      <c r="FH55" t="e">
        <f>AND('Planilla_General_07-12-2012_8_3'!M823,"AAAAAH/vZ6M=")</f>
        <v>#VALUE!</v>
      </c>
      <c r="FI55" t="e">
        <f>AND('Planilla_General_07-12-2012_8_3'!N823,"AAAAAH/vZ6Q=")</f>
        <v>#VALUE!</v>
      </c>
      <c r="FJ55" t="e">
        <f>AND('Planilla_General_07-12-2012_8_3'!O823,"AAAAAH/vZ6U=")</f>
        <v>#VALUE!</v>
      </c>
      <c r="FK55" t="e">
        <f>AND('Planilla_General_07-12-2012_8_3'!P823,"AAAAAH/vZ6Y=")</f>
        <v>#VALUE!</v>
      </c>
      <c r="FL55">
        <f>IF('Planilla_General_07-12-2012_8_3'!824:824,"AAAAAH/vZ6c=",0)</f>
        <v>0</v>
      </c>
      <c r="FM55" t="e">
        <f>AND('Planilla_General_07-12-2012_8_3'!A824,"AAAAAH/vZ6g=")</f>
        <v>#VALUE!</v>
      </c>
      <c r="FN55" t="e">
        <f>AND('Planilla_General_07-12-2012_8_3'!B824,"AAAAAH/vZ6k=")</f>
        <v>#VALUE!</v>
      </c>
      <c r="FO55" t="e">
        <f>AND('Planilla_General_07-12-2012_8_3'!C824,"AAAAAH/vZ6o=")</f>
        <v>#VALUE!</v>
      </c>
      <c r="FP55" t="e">
        <f>AND('Planilla_General_07-12-2012_8_3'!D824,"AAAAAH/vZ6s=")</f>
        <v>#VALUE!</v>
      </c>
      <c r="FQ55" t="e">
        <f>AND('Planilla_General_07-12-2012_8_3'!E824,"AAAAAH/vZ6w=")</f>
        <v>#VALUE!</v>
      </c>
      <c r="FR55" t="e">
        <f>AND('Planilla_General_07-12-2012_8_3'!F824,"AAAAAH/vZ60=")</f>
        <v>#VALUE!</v>
      </c>
      <c r="FS55" t="e">
        <f>AND('Planilla_General_07-12-2012_8_3'!G824,"AAAAAH/vZ64=")</f>
        <v>#VALUE!</v>
      </c>
      <c r="FT55" t="e">
        <f>AND('Planilla_General_07-12-2012_8_3'!H824,"AAAAAH/vZ68=")</f>
        <v>#VALUE!</v>
      </c>
      <c r="FU55" t="e">
        <f>AND('Planilla_General_07-12-2012_8_3'!I824,"AAAAAH/vZ7A=")</f>
        <v>#VALUE!</v>
      </c>
      <c r="FV55" t="e">
        <f>AND('Planilla_General_07-12-2012_8_3'!J824,"AAAAAH/vZ7E=")</f>
        <v>#VALUE!</v>
      </c>
      <c r="FW55" t="e">
        <f>AND('Planilla_General_07-12-2012_8_3'!K824,"AAAAAH/vZ7I=")</f>
        <v>#VALUE!</v>
      </c>
      <c r="FX55" t="e">
        <f>AND('Planilla_General_07-12-2012_8_3'!L824,"AAAAAH/vZ7M=")</f>
        <v>#VALUE!</v>
      </c>
      <c r="FY55" t="e">
        <f>AND('Planilla_General_07-12-2012_8_3'!M824,"AAAAAH/vZ7Q=")</f>
        <v>#VALUE!</v>
      </c>
      <c r="FZ55" t="e">
        <f>AND('Planilla_General_07-12-2012_8_3'!N824,"AAAAAH/vZ7U=")</f>
        <v>#VALUE!</v>
      </c>
      <c r="GA55" t="e">
        <f>AND('Planilla_General_07-12-2012_8_3'!O824,"AAAAAH/vZ7Y=")</f>
        <v>#VALUE!</v>
      </c>
      <c r="GB55" t="e">
        <f>AND('Planilla_General_07-12-2012_8_3'!P824,"AAAAAH/vZ7c=")</f>
        <v>#VALUE!</v>
      </c>
      <c r="GC55">
        <f>IF('Planilla_General_07-12-2012_8_3'!825:825,"AAAAAH/vZ7g=",0)</f>
        <v>0</v>
      </c>
      <c r="GD55" t="e">
        <f>AND('Planilla_General_07-12-2012_8_3'!A825,"AAAAAH/vZ7k=")</f>
        <v>#VALUE!</v>
      </c>
      <c r="GE55" t="e">
        <f>AND('Planilla_General_07-12-2012_8_3'!B825,"AAAAAH/vZ7o=")</f>
        <v>#VALUE!</v>
      </c>
      <c r="GF55" t="e">
        <f>AND('Planilla_General_07-12-2012_8_3'!C825,"AAAAAH/vZ7s=")</f>
        <v>#VALUE!</v>
      </c>
      <c r="GG55" t="e">
        <f>AND('Planilla_General_07-12-2012_8_3'!D825,"AAAAAH/vZ7w=")</f>
        <v>#VALUE!</v>
      </c>
      <c r="GH55" t="e">
        <f>AND('Planilla_General_07-12-2012_8_3'!E825,"AAAAAH/vZ70=")</f>
        <v>#VALUE!</v>
      </c>
      <c r="GI55" t="e">
        <f>AND('Planilla_General_07-12-2012_8_3'!F825,"AAAAAH/vZ74=")</f>
        <v>#VALUE!</v>
      </c>
      <c r="GJ55" t="e">
        <f>AND('Planilla_General_07-12-2012_8_3'!G825,"AAAAAH/vZ78=")</f>
        <v>#VALUE!</v>
      </c>
      <c r="GK55" t="e">
        <f>AND('Planilla_General_07-12-2012_8_3'!H825,"AAAAAH/vZ8A=")</f>
        <v>#VALUE!</v>
      </c>
      <c r="GL55" t="e">
        <f>AND('Planilla_General_07-12-2012_8_3'!I825,"AAAAAH/vZ8E=")</f>
        <v>#VALUE!</v>
      </c>
      <c r="GM55" t="e">
        <f>AND('Planilla_General_07-12-2012_8_3'!J825,"AAAAAH/vZ8I=")</f>
        <v>#VALUE!</v>
      </c>
      <c r="GN55" t="e">
        <f>AND('Planilla_General_07-12-2012_8_3'!K825,"AAAAAH/vZ8M=")</f>
        <v>#VALUE!</v>
      </c>
      <c r="GO55" t="e">
        <f>AND('Planilla_General_07-12-2012_8_3'!L825,"AAAAAH/vZ8Q=")</f>
        <v>#VALUE!</v>
      </c>
      <c r="GP55" t="e">
        <f>AND('Planilla_General_07-12-2012_8_3'!M825,"AAAAAH/vZ8U=")</f>
        <v>#VALUE!</v>
      </c>
      <c r="GQ55" t="e">
        <f>AND('Planilla_General_07-12-2012_8_3'!N825,"AAAAAH/vZ8Y=")</f>
        <v>#VALUE!</v>
      </c>
      <c r="GR55" t="e">
        <f>AND('Planilla_General_07-12-2012_8_3'!O825,"AAAAAH/vZ8c=")</f>
        <v>#VALUE!</v>
      </c>
      <c r="GS55" t="e">
        <f>AND('Planilla_General_07-12-2012_8_3'!P825,"AAAAAH/vZ8g=")</f>
        <v>#VALUE!</v>
      </c>
      <c r="GT55">
        <f>IF('Planilla_General_07-12-2012_8_3'!826:826,"AAAAAH/vZ8k=",0)</f>
        <v>0</v>
      </c>
      <c r="GU55" t="e">
        <f>AND('Planilla_General_07-12-2012_8_3'!A826,"AAAAAH/vZ8o=")</f>
        <v>#VALUE!</v>
      </c>
      <c r="GV55" t="e">
        <f>AND('Planilla_General_07-12-2012_8_3'!B826,"AAAAAH/vZ8s=")</f>
        <v>#VALUE!</v>
      </c>
      <c r="GW55" t="e">
        <f>AND('Planilla_General_07-12-2012_8_3'!C826,"AAAAAH/vZ8w=")</f>
        <v>#VALUE!</v>
      </c>
      <c r="GX55" t="e">
        <f>AND('Planilla_General_07-12-2012_8_3'!D826,"AAAAAH/vZ80=")</f>
        <v>#VALUE!</v>
      </c>
      <c r="GY55" t="e">
        <f>AND('Planilla_General_07-12-2012_8_3'!E826,"AAAAAH/vZ84=")</f>
        <v>#VALUE!</v>
      </c>
      <c r="GZ55" t="e">
        <f>AND('Planilla_General_07-12-2012_8_3'!F826,"AAAAAH/vZ88=")</f>
        <v>#VALUE!</v>
      </c>
      <c r="HA55" t="e">
        <f>AND('Planilla_General_07-12-2012_8_3'!G826,"AAAAAH/vZ9A=")</f>
        <v>#VALUE!</v>
      </c>
      <c r="HB55" t="e">
        <f>AND('Planilla_General_07-12-2012_8_3'!H826,"AAAAAH/vZ9E=")</f>
        <v>#VALUE!</v>
      </c>
      <c r="HC55" t="e">
        <f>AND('Planilla_General_07-12-2012_8_3'!I826,"AAAAAH/vZ9I=")</f>
        <v>#VALUE!</v>
      </c>
      <c r="HD55" t="e">
        <f>AND('Planilla_General_07-12-2012_8_3'!J826,"AAAAAH/vZ9M=")</f>
        <v>#VALUE!</v>
      </c>
      <c r="HE55" t="e">
        <f>AND('Planilla_General_07-12-2012_8_3'!K826,"AAAAAH/vZ9Q=")</f>
        <v>#VALUE!</v>
      </c>
      <c r="HF55" t="e">
        <f>AND('Planilla_General_07-12-2012_8_3'!L826,"AAAAAH/vZ9U=")</f>
        <v>#VALUE!</v>
      </c>
      <c r="HG55" t="e">
        <f>AND('Planilla_General_07-12-2012_8_3'!M826,"AAAAAH/vZ9Y=")</f>
        <v>#VALUE!</v>
      </c>
      <c r="HH55" t="e">
        <f>AND('Planilla_General_07-12-2012_8_3'!N826,"AAAAAH/vZ9c=")</f>
        <v>#VALUE!</v>
      </c>
      <c r="HI55" t="e">
        <f>AND('Planilla_General_07-12-2012_8_3'!O826,"AAAAAH/vZ9g=")</f>
        <v>#VALUE!</v>
      </c>
      <c r="HJ55" t="e">
        <f>AND('Planilla_General_07-12-2012_8_3'!P826,"AAAAAH/vZ9k=")</f>
        <v>#VALUE!</v>
      </c>
      <c r="HK55">
        <f>IF('Planilla_General_07-12-2012_8_3'!827:827,"AAAAAH/vZ9o=",0)</f>
        <v>0</v>
      </c>
      <c r="HL55" t="e">
        <f>AND('Planilla_General_07-12-2012_8_3'!A827,"AAAAAH/vZ9s=")</f>
        <v>#VALUE!</v>
      </c>
      <c r="HM55" t="e">
        <f>AND('Planilla_General_07-12-2012_8_3'!B827,"AAAAAH/vZ9w=")</f>
        <v>#VALUE!</v>
      </c>
      <c r="HN55" t="e">
        <f>AND('Planilla_General_07-12-2012_8_3'!C827,"AAAAAH/vZ90=")</f>
        <v>#VALUE!</v>
      </c>
      <c r="HO55" t="e">
        <f>AND('Planilla_General_07-12-2012_8_3'!D827,"AAAAAH/vZ94=")</f>
        <v>#VALUE!</v>
      </c>
      <c r="HP55" t="e">
        <f>AND('Planilla_General_07-12-2012_8_3'!E827,"AAAAAH/vZ98=")</f>
        <v>#VALUE!</v>
      </c>
      <c r="HQ55" t="e">
        <f>AND('Planilla_General_07-12-2012_8_3'!F827,"AAAAAH/vZ+A=")</f>
        <v>#VALUE!</v>
      </c>
      <c r="HR55" t="e">
        <f>AND('Planilla_General_07-12-2012_8_3'!G827,"AAAAAH/vZ+E=")</f>
        <v>#VALUE!</v>
      </c>
      <c r="HS55" t="e">
        <f>AND('Planilla_General_07-12-2012_8_3'!H827,"AAAAAH/vZ+I=")</f>
        <v>#VALUE!</v>
      </c>
      <c r="HT55" t="e">
        <f>AND('Planilla_General_07-12-2012_8_3'!I827,"AAAAAH/vZ+M=")</f>
        <v>#VALUE!</v>
      </c>
      <c r="HU55" t="e">
        <f>AND('Planilla_General_07-12-2012_8_3'!J827,"AAAAAH/vZ+Q=")</f>
        <v>#VALUE!</v>
      </c>
      <c r="HV55" t="e">
        <f>AND('Planilla_General_07-12-2012_8_3'!K827,"AAAAAH/vZ+U=")</f>
        <v>#VALUE!</v>
      </c>
      <c r="HW55" t="e">
        <f>AND('Planilla_General_07-12-2012_8_3'!L827,"AAAAAH/vZ+Y=")</f>
        <v>#VALUE!</v>
      </c>
      <c r="HX55" t="e">
        <f>AND('Planilla_General_07-12-2012_8_3'!M827,"AAAAAH/vZ+c=")</f>
        <v>#VALUE!</v>
      </c>
      <c r="HY55" t="e">
        <f>AND('Planilla_General_07-12-2012_8_3'!N827,"AAAAAH/vZ+g=")</f>
        <v>#VALUE!</v>
      </c>
      <c r="HZ55" t="e">
        <f>AND('Planilla_General_07-12-2012_8_3'!O827,"AAAAAH/vZ+k=")</f>
        <v>#VALUE!</v>
      </c>
      <c r="IA55" t="e">
        <f>AND('Planilla_General_07-12-2012_8_3'!P827,"AAAAAH/vZ+o=")</f>
        <v>#VALUE!</v>
      </c>
      <c r="IB55">
        <f>IF('Planilla_General_07-12-2012_8_3'!828:828,"AAAAAH/vZ+s=",0)</f>
        <v>0</v>
      </c>
      <c r="IC55" t="e">
        <f>AND('Planilla_General_07-12-2012_8_3'!A828,"AAAAAH/vZ+w=")</f>
        <v>#VALUE!</v>
      </c>
      <c r="ID55" t="e">
        <f>AND('Planilla_General_07-12-2012_8_3'!B828,"AAAAAH/vZ+0=")</f>
        <v>#VALUE!</v>
      </c>
      <c r="IE55" t="e">
        <f>AND('Planilla_General_07-12-2012_8_3'!C828,"AAAAAH/vZ+4=")</f>
        <v>#VALUE!</v>
      </c>
      <c r="IF55" t="e">
        <f>AND('Planilla_General_07-12-2012_8_3'!D828,"AAAAAH/vZ+8=")</f>
        <v>#VALUE!</v>
      </c>
      <c r="IG55" t="e">
        <f>AND('Planilla_General_07-12-2012_8_3'!E828,"AAAAAH/vZ/A=")</f>
        <v>#VALUE!</v>
      </c>
      <c r="IH55" t="e">
        <f>AND('Planilla_General_07-12-2012_8_3'!F828,"AAAAAH/vZ/E=")</f>
        <v>#VALUE!</v>
      </c>
      <c r="II55" t="e">
        <f>AND('Planilla_General_07-12-2012_8_3'!G828,"AAAAAH/vZ/I=")</f>
        <v>#VALUE!</v>
      </c>
      <c r="IJ55" t="e">
        <f>AND('Planilla_General_07-12-2012_8_3'!H828,"AAAAAH/vZ/M=")</f>
        <v>#VALUE!</v>
      </c>
      <c r="IK55" t="e">
        <f>AND('Planilla_General_07-12-2012_8_3'!I828,"AAAAAH/vZ/Q=")</f>
        <v>#VALUE!</v>
      </c>
      <c r="IL55" t="e">
        <f>AND('Planilla_General_07-12-2012_8_3'!J828,"AAAAAH/vZ/U=")</f>
        <v>#VALUE!</v>
      </c>
      <c r="IM55" t="e">
        <f>AND('Planilla_General_07-12-2012_8_3'!K828,"AAAAAH/vZ/Y=")</f>
        <v>#VALUE!</v>
      </c>
      <c r="IN55" t="e">
        <f>AND('Planilla_General_07-12-2012_8_3'!L828,"AAAAAH/vZ/c=")</f>
        <v>#VALUE!</v>
      </c>
      <c r="IO55" t="e">
        <f>AND('Planilla_General_07-12-2012_8_3'!M828,"AAAAAH/vZ/g=")</f>
        <v>#VALUE!</v>
      </c>
      <c r="IP55" t="e">
        <f>AND('Planilla_General_07-12-2012_8_3'!N828,"AAAAAH/vZ/k=")</f>
        <v>#VALUE!</v>
      </c>
      <c r="IQ55" t="e">
        <f>AND('Planilla_General_07-12-2012_8_3'!O828,"AAAAAH/vZ/o=")</f>
        <v>#VALUE!</v>
      </c>
      <c r="IR55" t="e">
        <f>AND('Planilla_General_07-12-2012_8_3'!P828,"AAAAAH/vZ/s=")</f>
        <v>#VALUE!</v>
      </c>
      <c r="IS55">
        <f>IF('Planilla_General_07-12-2012_8_3'!829:829,"AAAAAH/vZ/w=",0)</f>
        <v>0</v>
      </c>
      <c r="IT55" t="e">
        <f>AND('Planilla_General_07-12-2012_8_3'!A829,"AAAAAH/vZ/0=")</f>
        <v>#VALUE!</v>
      </c>
      <c r="IU55" t="e">
        <f>AND('Planilla_General_07-12-2012_8_3'!B829,"AAAAAH/vZ/4=")</f>
        <v>#VALUE!</v>
      </c>
      <c r="IV55" t="e">
        <f>AND('Planilla_General_07-12-2012_8_3'!C829,"AAAAAH/vZ/8=")</f>
        <v>#VALUE!</v>
      </c>
    </row>
    <row r="56" spans="1:256" x14ac:dyDescent="0.25">
      <c r="A56" t="e">
        <f>AND('Planilla_General_07-12-2012_8_3'!D829,"AAAAAH/fLgA=")</f>
        <v>#VALUE!</v>
      </c>
      <c r="B56" t="e">
        <f>AND('Planilla_General_07-12-2012_8_3'!E829,"AAAAAH/fLgE=")</f>
        <v>#VALUE!</v>
      </c>
      <c r="C56" t="e">
        <f>AND('Planilla_General_07-12-2012_8_3'!F829,"AAAAAH/fLgI=")</f>
        <v>#VALUE!</v>
      </c>
      <c r="D56" t="e">
        <f>AND('Planilla_General_07-12-2012_8_3'!G829,"AAAAAH/fLgM=")</f>
        <v>#VALUE!</v>
      </c>
      <c r="E56" t="e">
        <f>AND('Planilla_General_07-12-2012_8_3'!H829,"AAAAAH/fLgQ=")</f>
        <v>#VALUE!</v>
      </c>
      <c r="F56" t="e">
        <f>AND('Planilla_General_07-12-2012_8_3'!I829,"AAAAAH/fLgU=")</f>
        <v>#VALUE!</v>
      </c>
      <c r="G56" t="e">
        <f>AND('Planilla_General_07-12-2012_8_3'!J829,"AAAAAH/fLgY=")</f>
        <v>#VALUE!</v>
      </c>
      <c r="H56" t="e">
        <f>AND('Planilla_General_07-12-2012_8_3'!K829,"AAAAAH/fLgc=")</f>
        <v>#VALUE!</v>
      </c>
      <c r="I56" t="e">
        <f>AND('Planilla_General_07-12-2012_8_3'!L829,"AAAAAH/fLgg=")</f>
        <v>#VALUE!</v>
      </c>
      <c r="J56" t="e">
        <f>AND('Planilla_General_07-12-2012_8_3'!M829,"AAAAAH/fLgk=")</f>
        <v>#VALUE!</v>
      </c>
      <c r="K56" t="e">
        <f>AND('Planilla_General_07-12-2012_8_3'!N829,"AAAAAH/fLgo=")</f>
        <v>#VALUE!</v>
      </c>
      <c r="L56" t="e">
        <f>AND('Planilla_General_07-12-2012_8_3'!O829,"AAAAAH/fLgs=")</f>
        <v>#VALUE!</v>
      </c>
      <c r="M56" t="e">
        <f>AND('Planilla_General_07-12-2012_8_3'!P829,"AAAAAH/fLgw=")</f>
        <v>#VALUE!</v>
      </c>
      <c r="N56" t="str">
        <f>IF('Planilla_General_07-12-2012_8_3'!830:830,"AAAAAH/fLg0=",0)</f>
        <v>AAAAAH/fLg0=</v>
      </c>
      <c r="O56" t="e">
        <f>AND('Planilla_General_07-12-2012_8_3'!A830,"AAAAAH/fLg4=")</f>
        <v>#VALUE!</v>
      </c>
      <c r="P56" t="e">
        <f>AND('Planilla_General_07-12-2012_8_3'!B830,"AAAAAH/fLg8=")</f>
        <v>#VALUE!</v>
      </c>
      <c r="Q56" t="e">
        <f>AND('Planilla_General_07-12-2012_8_3'!C830,"AAAAAH/fLhA=")</f>
        <v>#VALUE!</v>
      </c>
      <c r="R56" t="e">
        <f>AND('Planilla_General_07-12-2012_8_3'!D830,"AAAAAH/fLhE=")</f>
        <v>#VALUE!</v>
      </c>
      <c r="S56" t="e">
        <f>AND('Planilla_General_07-12-2012_8_3'!E830,"AAAAAH/fLhI=")</f>
        <v>#VALUE!</v>
      </c>
      <c r="T56" t="e">
        <f>AND('Planilla_General_07-12-2012_8_3'!F830,"AAAAAH/fLhM=")</f>
        <v>#VALUE!</v>
      </c>
      <c r="U56" t="e">
        <f>AND('Planilla_General_07-12-2012_8_3'!G830,"AAAAAH/fLhQ=")</f>
        <v>#VALUE!</v>
      </c>
      <c r="V56" t="e">
        <f>AND('Planilla_General_07-12-2012_8_3'!H830,"AAAAAH/fLhU=")</f>
        <v>#VALUE!</v>
      </c>
      <c r="W56" t="e">
        <f>AND('Planilla_General_07-12-2012_8_3'!I830,"AAAAAH/fLhY=")</f>
        <v>#VALUE!</v>
      </c>
      <c r="X56" t="e">
        <f>AND('Planilla_General_07-12-2012_8_3'!J830,"AAAAAH/fLhc=")</f>
        <v>#VALUE!</v>
      </c>
      <c r="Y56" t="e">
        <f>AND('Planilla_General_07-12-2012_8_3'!K830,"AAAAAH/fLhg=")</f>
        <v>#VALUE!</v>
      </c>
      <c r="Z56" t="e">
        <f>AND('Planilla_General_07-12-2012_8_3'!L830,"AAAAAH/fLhk=")</f>
        <v>#VALUE!</v>
      </c>
      <c r="AA56" t="e">
        <f>AND('Planilla_General_07-12-2012_8_3'!M830,"AAAAAH/fLho=")</f>
        <v>#VALUE!</v>
      </c>
      <c r="AB56" t="e">
        <f>AND('Planilla_General_07-12-2012_8_3'!N830,"AAAAAH/fLhs=")</f>
        <v>#VALUE!</v>
      </c>
      <c r="AC56" t="e">
        <f>AND('Planilla_General_07-12-2012_8_3'!O830,"AAAAAH/fLhw=")</f>
        <v>#VALUE!</v>
      </c>
      <c r="AD56" t="e">
        <f>AND('Planilla_General_07-12-2012_8_3'!P830,"AAAAAH/fLh0=")</f>
        <v>#VALUE!</v>
      </c>
      <c r="AE56">
        <f>IF('Planilla_General_07-12-2012_8_3'!831:831,"AAAAAH/fLh4=",0)</f>
        <v>0</v>
      </c>
      <c r="AF56" t="e">
        <f>AND('Planilla_General_07-12-2012_8_3'!A831,"AAAAAH/fLh8=")</f>
        <v>#VALUE!</v>
      </c>
      <c r="AG56" t="e">
        <f>AND('Planilla_General_07-12-2012_8_3'!B831,"AAAAAH/fLiA=")</f>
        <v>#VALUE!</v>
      </c>
      <c r="AH56" t="e">
        <f>AND('Planilla_General_07-12-2012_8_3'!C831,"AAAAAH/fLiE=")</f>
        <v>#VALUE!</v>
      </c>
      <c r="AI56" t="e">
        <f>AND('Planilla_General_07-12-2012_8_3'!D831,"AAAAAH/fLiI=")</f>
        <v>#VALUE!</v>
      </c>
      <c r="AJ56" t="e">
        <f>AND('Planilla_General_07-12-2012_8_3'!E831,"AAAAAH/fLiM=")</f>
        <v>#VALUE!</v>
      </c>
      <c r="AK56" t="e">
        <f>AND('Planilla_General_07-12-2012_8_3'!F831,"AAAAAH/fLiQ=")</f>
        <v>#VALUE!</v>
      </c>
      <c r="AL56" t="e">
        <f>AND('Planilla_General_07-12-2012_8_3'!G831,"AAAAAH/fLiU=")</f>
        <v>#VALUE!</v>
      </c>
      <c r="AM56" t="e">
        <f>AND('Planilla_General_07-12-2012_8_3'!H831,"AAAAAH/fLiY=")</f>
        <v>#VALUE!</v>
      </c>
      <c r="AN56" t="e">
        <f>AND('Planilla_General_07-12-2012_8_3'!I831,"AAAAAH/fLic=")</f>
        <v>#VALUE!</v>
      </c>
      <c r="AO56" t="e">
        <f>AND('Planilla_General_07-12-2012_8_3'!J831,"AAAAAH/fLig=")</f>
        <v>#VALUE!</v>
      </c>
      <c r="AP56" t="e">
        <f>AND('Planilla_General_07-12-2012_8_3'!K831,"AAAAAH/fLik=")</f>
        <v>#VALUE!</v>
      </c>
      <c r="AQ56" t="e">
        <f>AND('Planilla_General_07-12-2012_8_3'!L831,"AAAAAH/fLio=")</f>
        <v>#VALUE!</v>
      </c>
      <c r="AR56" t="e">
        <f>AND('Planilla_General_07-12-2012_8_3'!M831,"AAAAAH/fLis=")</f>
        <v>#VALUE!</v>
      </c>
      <c r="AS56" t="e">
        <f>AND('Planilla_General_07-12-2012_8_3'!N831,"AAAAAH/fLiw=")</f>
        <v>#VALUE!</v>
      </c>
      <c r="AT56" t="e">
        <f>AND('Planilla_General_07-12-2012_8_3'!O831,"AAAAAH/fLi0=")</f>
        <v>#VALUE!</v>
      </c>
      <c r="AU56" t="e">
        <f>AND('Planilla_General_07-12-2012_8_3'!P831,"AAAAAH/fLi4=")</f>
        <v>#VALUE!</v>
      </c>
      <c r="AV56">
        <f>IF('Planilla_General_07-12-2012_8_3'!832:832,"AAAAAH/fLi8=",0)</f>
        <v>0</v>
      </c>
      <c r="AW56" t="e">
        <f>AND('Planilla_General_07-12-2012_8_3'!A832,"AAAAAH/fLjA=")</f>
        <v>#VALUE!</v>
      </c>
      <c r="AX56" t="e">
        <f>AND('Planilla_General_07-12-2012_8_3'!B832,"AAAAAH/fLjE=")</f>
        <v>#VALUE!</v>
      </c>
      <c r="AY56" t="e">
        <f>AND('Planilla_General_07-12-2012_8_3'!C832,"AAAAAH/fLjI=")</f>
        <v>#VALUE!</v>
      </c>
      <c r="AZ56" t="e">
        <f>AND('Planilla_General_07-12-2012_8_3'!D832,"AAAAAH/fLjM=")</f>
        <v>#VALUE!</v>
      </c>
      <c r="BA56" t="e">
        <f>AND('Planilla_General_07-12-2012_8_3'!E832,"AAAAAH/fLjQ=")</f>
        <v>#VALUE!</v>
      </c>
      <c r="BB56" t="e">
        <f>AND('Planilla_General_07-12-2012_8_3'!F832,"AAAAAH/fLjU=")</f>
        <v>#VALUE!</v>
      </c>
      <c r="BC56" t="e">
        <f>AND('Planilla_General_07-12-2012_8_3'!G832,"AAAAAH/fLjY=")</f>
        <v>#VALUE!</v>
      </c>
      <c r="BD56" t="e">
        <f>AND('Planilla_General_07-12-2012_8_3'!H832,"AAAAAH/fLjc=")</f>
        <v>#VALUE!</v>
      </c>
      <c r="BE56" t="e">
        <f>AND('Planilla_General_07-12-2012_8_3'!I832,"AAAAAH/fLjg=")</f>
        <v>#VALUE!</v>
      </c>
      <c r="BF56" t="e">
        <f>AND('Planilla_General_07-12-2012_8_3'!J832,"AAAAAH/fLjk=")</f>
        <v>#VALUE!</v>
      </c>
      <c r="BG56" t="e">
        <f>AND('Planilla_General_07-12-2012_8_3'!K832,"AAAAAH/fLjo=")</f>
        <v>#VALUE!</v>
      </c>
      <c r="BH56" t="e">
        <f>AND('Planilla_General_07-12-2012_8_3'!L832,"AAAAAH/fLjs=")</f>
        <v>#VALUE!</v>
      </c>
      <c r="BI56" t="e">
        <f>AND('Planilla_General_07-12-2012_8_3'!M832,"AAAAAH/fLjw=")</f>
        <v>#VALUE!</v>
      </c>
      <c r="BJ56" t="e">
        <f>AND('Planilla_General_07-12-2012_8_3'!N832,"AAAAAH/fLj0=")</f>
        <v>#VALUE!</v>
      </c>
      <c r="BK56" t="e">
        <f>AND('Planilla_General_07-12-2012_8_3'!O832,"AAAAAH/fLj4=")</f>
        <v>#VALUE!</v>
      </c>
      <c r="BL56" t="e">
        <f>AND('Planilla_General_07-12-2012_8_3'!P832,"AAAAAH/fLj8=")</f>
        <v>#VALUE!</v>
      </c>
      <c r="BM56">
        <f>IF('Planilla_General_07-12-2012_8_3'!833:833,"AAAAAH/fLkA=",0)</f>
        <v>0</v>
      </c>
      <c r="BN56" t="e">
        <f>AND('Planilla_General_07-12-2012_8_3'!A833,"AAAAAH/fLkE=")</f>
        <v>#VALUE!</v>
      </c>
      <c r="BO56" t="e">
        <f>AND('Planilla_General_07-12-2012_8_3'!B833,"AAAAAH/fLkI=")</f>
        <v>#VALUE!</v>
      </c>
      <c r="BP56" t="e">
        <f>AND('Planilla_General_07-12-2012_8_3'!C833,"AAAAAH/fLkM=")</f>
        <v>#VALUE!</v>
      </c>
      <c r="BQ56" t="e">
        <f>AND('Planilla_General_07-12-2012_8_3'!D833,"AAAAAH/fLkQ=")</f>
        <v>#VALUE!</v>
      </c>
      <c r="BR56" t="e">
        <f>AND('Planilla_General_07-12-2012_8_3'!E833,"AAAAAH/fLkU=")</f>
        <v>#VALUE!</v>
      </c>
      <c r="BS56" t="e">
        <f>AND('Planilla_General_07-12-2012_8_3'!F833,"AAAAAH/fLkY=")</f>
        <v>#VALUE!</v>
      </c>
      <c r="BT56" t="e">
        <f>AND('Planilla_General_07-12-2012_8_3'!G833,"AAAAAH/fLkc=")</f>
        <v>#VALUE!</v>
      </c>
      <c r="BU56" t="e">
        <f>AND('Planilla_General_07-12-2012_8_3'!H833,"AAAAAH/fLkg=")</f>
        <v>#VALUE!</v>
      </c>
      <c r="BV56" t="e">
        <f>AND('Planilla_General_07-12-2012_8_3'!I833,"AAAAAH/fLkk=")</f>
        <v>#VALUE!</v>
      </c>
      <c r="BW56" t="e">
        <f>AND('Planilla_General_07-12-2012_8_3'!J833,"AAAAAH/fLko=")</f>
        <v>#VALUE!</v>
      </c>
      <c r="BX56" t="e">
        <f>AND('Planilla_General_07-12-2012_8_3'!K833,"AAAAAH/fLks=")</f>
        <v>#VALUE!</v>
      </c>
      <c r="BY56" t="e">
        <f>AND('Planilla_General_07-12-2012_8_3'!L833,"AAAAAH/fLkw=")</f>
        <v>#VALUE!</v>
      </c>
      <c r="BZ56" t="e">
        <f>AND('Planilla_General_07-12-2012_8_3'!M833,"AAAAAH/fLk0=")</f>
        <v>#VALUE!</v>
      </c>
      <c r="CA56" t="e">
        <f>AND('Planilla_General_07-12-2012_8_3'!N833,"AAAAAH/fLk4=")</f>
        <v>#VALUE!</v>
      </c>
      <c r="CB56" t="e">
        <f>AND('Planilla_General_07-12-2012_8_3'!O833,"AAAAAH/fLk8=")</f>
        <v>#VALUE!</v>
      </c>
      <c r="CC56" t="e">
        <f>AND('Planilla_General_07-12-2012_8_3'!P833,"AAAAAH/fLlA=")</f>
        <v>#VALUE!</v>
      </c>
      <c r="CD56">
        <f>IF('Planilla_General_07-12-2012_8_3'!834:834,"AAAAAH/fLlE=",0)</f>
        <v>0</v>
      </c>
      <c r="CE56" t="e">
        <f>AND('Planilla_General_07-12-2012_8_3'!A834,"AAAAAH/fLlI=")</f>
        <v>#VALUE!</v>
      </c>
      <c r="CF56" t="e">
        <f>AND('Planilla_General_07-12-2012_8_3'!B834,"AAAAAH/fLlM=")</f>
        <v>#VALUE!</v>
      </c>
      <c r="CG56" t="e">
        <f>AND('Planilla_General_07-12-2012_8_3'!C834,"AAAAAH/fLlQ=")</f>
        <v>#VALUE!</v>
      </c>
      <c r="CH56" t="e">
        <f>AND('Planilla_General_07-12-2012_8_3'!D834,"AAAAAH/fLlU=")</f>
        <v>#VALUE!</v>
      </c>
      <c r="CI56" t="e">
        <f>AND('Planilla_General_07-12-2012_8_3'!E834,"AAAAAH/fLlY=")</f>
        <v>#VALUE!</v>
      </c>
      <c r="CJ56" t="e">
        <f>AND('Planilla_General_07-12-2012_8_3'!F834,"AAAAAH/fLlc=")</f>
        <v>#VALUE!</v>
      </c>
      <c r="CK56" t="e">
        <f>AND('Planilla_General_07-12-2012_8_3'!G834,"AAAAAH/fLlg=")</f>
        <v>#VALUE!</v>
      </c>
      <c r="CL56" t="e">
        <f>AND('Planilla_General_07-12-2012_8_3'!H834,"AAAAAH/fLlk=")</f>
        <v>#VALUE!</v>
      </c>
      <c r="CM56" t="e">
        <f>AND('Planilla_General_07-12-2012_8_3'!I834,"AAAAAH/fLlo=")</f>
        <v>#VALUE!</v>
      </c>
      <c r="CN56" t="e">
        <f>AND('Planilla_General_07-12-2012_8_3'!J834,"AAAAAH/fLls=")</f>
        <v>#VALUE!</v>
      </c>
      <c r="CO56" t="e">
        <f>AND('Planilla_General_07-12-2012_8_3'!K834,"AAAAAH/fLlw=")</f>
        <v>#VALUE!</v>
      </c>
      <c r="CP56" t="e">
        <f>AND('Planilla_General_07-12-2012_8_3'!L834,"AAAAAH/fLl0=")</f>
        <v>#VALUE!</v>
      </c>
      <c r="CQ56" t="e">
        <f>AND('Planilla_General_07-12-2012_8_3'!M834,"AAAAAH/fLl4=")</f>
        <v>#VALUE!</v>
      </c>
      <c r="CR56" t="e">
        <f>AND('Planilla_General_07-12-2012_8_3'!N834,"AAAAAH/fLl8=")</f>
        <v>#VALUE!</v>
      </c>
      <c r="CS56" t="e">
        <f>AND('Planilla_General_07-12-2012_8_3'!O834,"AAAAAH/fLmA=")</f>
        <v>#VALUE!</v>
      </c>
      <c r="CT56" t="e">
        <f>AND('Planilla_General_07-12-2012_8_3'!P834,"AAAAAH/fLmE=")</f>
        <v>#VALUE!</v>
      </c>
      <c r="CU56">
        <f>IF('Planilla_General_07-12-2012_8_3'!835:835,"AAAAAH/fLmI=",0)</f>
        <v>0</v>
      </c>
      <c r="CV56" t="e">
        <f>AND('Planilla_General_07-12-2012_8_3'!A835,"AAAAAH/fLmM=")</f>
        <v>#VALUE!</v>
      </c>
      <c r="CW56" t="e">
        <f>AND('Planilla_General_07-12-2012_8_3'!B835,"AAAAAH/fLmQ=")</f>
        <v>#VALUE!</v>
      </c>
      <c r="CX56" t="e">
        <f>AND('Planilla_General_07-12-2012_8_3'!C835,"AAAAAH/fLmU=")</f>
        <v>#VALUE!</v>
      </c>
      <c r="CY56" t="e">
        <f>AND('Planilla_General_07-12-2012_8_3'!D835,"AAAAAH/fLmY=")</f>
        <v>#VALUE!</v>
      </c>
      <c r="CZ56" t="e">
        <f>AND('Planilla_General_07-12-2012_8_3'!E835,"AAAAAH/fLmc=")</f>
        <v>#VALUE!</v>
      </c>
      <c r="DA56" t="e">
        <f>AND('Planilla_General_07-12-2012_8_3'!F835,"AAAAAH/fLmg=")</f>
        <v>#VALUE!</v>
      </c>
      <c r="DB56" t="e">
        <f>AND('Planilla_General_07-12-2012_8_3'!G835,"AAAAAH/fLmk=")</f>
        <v>#VALUE!</v>
      </c>
      <c r="DC56" t="e">
        <f>AND('Planilla_General_07-12-2012_8_3'!H835,"AAAAAH/fLmo=")</f>
        <v>#VALUE!</v>
      </c>
      <c r="DD56" t="e">
        <f>AND('Planilla_General_07-12-2012_8_3'!I835,"AAAAAH/fLms=")</f>
        <v>#VALUE!</v>
      </c>
      <c r="DE56" t="e">
        <f>AND('Planilla_General_07-12-2012_8_3'!J835,"AAAAAH/fLmw=")</f>
        <v>#VALUE!</v>
      </c>
      <c r="DF56" t="e">
        <f>AND('Planilla_General_07-12-2012_8_3'!K835,"AAAAAH/fLm0=")</f>
        <v>#VALUE!</v>
      </c>
      <c r="DG56" t="e">
        <f>AND('Planilla_General_07-12-2012_8_3'!L835,"AAAAAH/fLm4=")</f>
        <v>#VALUE!</v>
      </c>
      <c r="DH56" t="e">
        <f>AND('Planilla_General_07-12-2012_8_3'!M835,"AAAAAH/fLm8=")</f>
        <v>#VALUE!</v>
      </c>
      <c r="DI56" t="e">
        <f>AND('Planilla_General_07-12-2012_8_3'!N835,"AAAAAH/fLnA=")</f>
        <v>#VALUE!</v>
      </c>
      <c r="DJ56" t="e">
        <f>AND('Planilla_General_07-12-2012_8_3'!O835,"AAAAAH/fLnE=")</f>
        <v>#VALUE!</v>
      </c>
      <c r="DK56" t="e">
        <f>AND('Planilla_General_07-12-2012_8_3'!P835,"AAAAAH/fLnI=")</f>
        <v>#VALUE!</v>
      </c>
      <c r="DL56">
        <f>IF('Planilla_General_07-12-2012_8_3'!836:836,"AAAAAH/fLnM=",0)</f>
        <v>0</v>
      </c>
      <c r="DM56" t="e">
        <f>AND('Planilla_General_07-12-2012_8_3'!A836,"AAAAAH/fLnQ=")</f>
        <v>#VALUE!</v>
      </c>
      <c r="DN56" t="e">
        <f>AND('Planilla_General_07-12-2012_8_3'!B836,"AAAAAH/fLnU=")</f>
        <v>#VALUE!</v>
      </c>
      <c r="DO56" t="e">
        <f>AND('Planilla_General_07-12-2012_8_3'!C836,"AAAAAH/fLnY=")</f>
        <v>#VALUE!</v>
      </c>
      <c r="DP56" t="e">
        <f>AND('Planilla_General_07-12-2012_8_3'!D836,"AAAAAH/fLnc=")</f>
        <v>#VALUE!</v>
      </c>
      <c r="DQ56" t="e">
        <f>AND('Planilla_General_07-12-2012_8_3'!E836,"AAAAAH/fLng=")</f>
        <v>#VALUE!</v>
      </c>
      <c r="DR56" t="e">
        <f>AND('Planilla_General_07-12-2012_8_3'!F836,"AAAAAH/fLnk=")</f>
        <v>#VALUE!</v>
      </c>
      <c r="DS56" t="e">
        <f>AND('Planilla_General_07-12-2012_8_3'!G836,"AAAAAH/fLno=")</f>
        <v>#VALUE!</v>
      </c>
      <c r="DT56" t="e">
        <f>AND('Planilla_General_07-12-2012_8_3'!H836,"AAAAAH/fLns=")</f>
        <v>#VALUE!</v>
      </c>
      <c r="DU56" t="e">
        <f>AND('Planilla_General_07-12-2012_8_3'!I836,"AAAAAH/fLnw=")</f>
        <v>#VALUE!</v>
      </c>
      <c r="DV56" t="e">
        <f>AND('Planilla_General_07-12-2012_8_3'!J836,"AAAAAH/fLn0=")</f>
        <v>#VALUE!</v>
      </c>
      <c r="DW56" t="e">
        <f>AND('Planilla_General_07-12-2012_8_3'!K836,"AAAAAH/fLn4=")</f>
        <v>#VALUE!</v>
      </c>
      <c r="DX56" t="e">
        <f>AND('Planilla_General_07-12-2012_8_3'!L836,"AAAAAH/fLn8=")</f>
        <v>#VALUE!</v>
      </c>
      <c r="DY56" t="e">
        <f>AND('Planilla_General_07-12-2012_8_3'!M836,"AAAAAH/fLoA=")</f>
        <v>#VALUE!</v>
      </c>
      <c r="DZ56" t="e">
        <f>AND('Planilla_General_07-12-2012_8_3'!N836,"AAAAAH/fLoE=")</f>
        <v>#VALUE!</v>
      </c>
      <c r="EA56" t="e">
        <f>AND('Planilla_General_07-12-2012_8_3'!O836,"AAAAAH/fLoI=")</f>
        <v>#VALUE!</v>
      </c>
      <c r="EB56" t="e">
        <f>AND('Planilla_General_07-12-2012_8_3'!P836,"AAAAAH/fLoM=")</f>
        <v>#VALUE!</v>
      </c>
      <c r="EC56">
        <f>IF('Planilla_General_07-12-2012_8_3'!837:837,"AAAAAH/fLoQ=",0)</f>
        <v>0</v>
      </c>
      <c r="ED56" t="e">
        <f>AND('Planilla_General_07-12-2012_8_3'!A837,"AAAAAH/fLoU=")</f>
        <v>#VALUE!</v>
      </c>
      <c r="EE56" t="e">
        <f>AND('Planilla_General_07-12-2012_8_3'!B837,"AAAAAH/fLoY=")</f>
        <v>#VALUE!</v>
      </c>
      <c r="EF56" t="e">
        <f>AND('Planilla_General_07-12-2012_8_3'!C837,"AAAAAH/fLoc=")</f>
        <v>#VALUE!</v>
      </c>
      <c r="EG56" t="e">
        <f>AND('Planilla_General_07-12-2012_8_3'!D837,"AAAAAH/fLog=")</f>
        <v>#VALUE!</v>
      </c>
      <c r="EH56" t="e">
        <f>AND('Planilla_General_07-12-2012_8_3'!E837,"AAAAAH/fLok=")</f>
        <v>#VALUE!</v>
      </c>
      <c r="EI56" t="e">
        <f>AND('Planilla_General_07-12-2012_8_3'!F837,"AAAAAH/fLoo=")</f>
        <v>#VALUE!</v>
      </c>
      <c r="EJ56" t="e">
        <f>AND('Planilla_General_07-12-2012_8_3'!G837,"AAAAAH/fLos=")</f>
        <v>#VALUE!</v>
      </c>
      <c r="EK56" t="e">
        <f>AND('Planilla_General_07-12-2012_8_3'!H837,"AAAAAH/fLow=")</f>
        <v>#VALUE!</v>
      </c>
      <c r="EL56" t="e">
        <f>AND('Planilla_General_07-12-2012_8_3'!I837,"AAAAAH/fLo0=")</f>
        <v>#VALUE!</v>
      </c>
      <c r="EM56" t="e">
        <f>AND('Planilla_General_07-12-2012_8_3'!J837,"AAAAAH/fLo4=")</f>
        <v>#VALUE!</v>
      </c>
      <c r="EN56" t="e">
        <f>AND('Planilla_General_07-12-2012_8_3'!K837,"AAAAAH/fLo8=")</f>
        <v>#VALUE!</v>
      </c>
      <c r="EO56" t="e">
        <f>AND('Planilla_General_07-12-2012_8_3'!L837,"AAAAAH/fLpA=")</f>
        <v>#VALUE!</v>
      </c>
      <c r="EP56" t="e">
        <f>AND('Planilla_General_07-12-2012_8_3'!M837,"AAAAAH/fLpE=")</f>
        <v>#VALUE!</v>
      </c>
      <c r="EQ56" t="e">
        <f>AND('Planilla_General_07-12-2012_8_3'!N837,"AAAAAH/fLpI=")</f>
        <v>#VALUE!</v>
      </c>
      <c r="ER56" t="e">
        <f>AND('Planilla_General_07-12-2012_8_3'!O837,"AAAAAH/fLpM=")</f>
        <v>#VALUE!</v>
      </c>
      <c r="ES56" t="e">
        <f>AND('Planilla_General_07-12-2012_8_3'!P837,"AAAAAH/fLpQ=")</f>
        <v>#VALUE!</v>
      </c>
      <c r="ET56">
        <f>IF('Planilla_General_07-12-2012_8_3'!838:838,"AAAAAH/fLpU=",0)</f>
        <v>0</v>
      </c>
      <c r="EU56" t="e">
        <f>AND('Planilla_General_07-12-2012_8_3'!A838,"AAAAAH/fLpY=")</f>
        <v>#VALUE!</v>
      </c>
      <c r="EV56" t="e">
        <f>AND('Planilla_General_07-12-2012_8_3'!B838,"AAAAAH/fLpc=")</f>
        <v>#VALUE!</v>
      </c>
      <c r="EW56" t="e">
        <f>AND('Planilla_General_07-12-2012_8_3'!C838,"AAAAAH/fLpg=")</f>
        <v>#VALUE!</v>
      </c>
      <c r="EX56" t="e">
        <f>AND('Planilla_General_07-12-2012_8_3'!D838,"AAAAAH/fLpk=")</f>
        <v>#VALUE!</v>
      </c>
      <c r="EY56" t="e">
        <f>AND('Planilla_General_07-12-2012_8_3'!E838,"AAAAAH/fLpo=")</f>
        <v>#VALUE!</v>
      </c>
      <c r="EZ56" t="e">
        <f>AND('Planilla_General_07-12-2012_8_3'!F838,"AAAAAH/fLps=")</f>
        <v>#VALUE!</v>
      </c>
      <c r="FA56" t="e">
        <f>AND('Planilla_General_07-12-2012_8_3'!G838,"AAAAAH/fLpw=")</f>
        <v>#VALUE!</v>
      </c>
      <c r="FB56" t="e">
        <f>AND('Planilla_General_07-12-2012_8_3'!H838,"AAAAAH/fLp0=")</f>
        <v>#VALUE!</v>
      </c>
      <c r="FC56" t="e">
        <f>AND('Planilla_General_07-12-2012_8_3'!I838,"AAAAAH/fLp4=")</f>
        <v>#VALUE!</v>
      </c>
      <c r="FD56" t="e">
        <f>AND('Planilla_General_07-12-2012_8_3'!J838,"AAAAAH/fLp8=")</f>
        <v>#VALUE!</v>
      </c>
      <c r="FE56" t="e">
        <f>AND('Planilla_General_07-12-2012_8_3'!K838,"AAAAAH/fLqA=")</f>
        <v>#VALUE!</v>
      </c>
      <c r="FF56" t="e">
        <f>AND('Planilla_General_07-12-2012_8_3'!L838,"AAAAAH/fLqE=")</f>
        <v>#VALUE!</v>
      </c>
      <c r="FG56" t="e">
        <f>AND('Planilla_General_07-12-2012_8_3'!M838,"AAAAAH/fLqI=")</f>
        <v>#VALUE!</v>
      </c>
      <c r="FH56" t="e">
        <f>AND('Planilla_General_07-12-2012_8_3'!N838,"AAAAAH/fLqM=")</f>
        <v>#VALUE!</v>
      </c>
      <c r="FI56" t="e">
        <f>AND('Planilla_General_07-12-2012_8_3'!O838,"AAAAAH/fLqQ=")</f>
        <v>#VALUE!</v>
      </c>
      <c r="FJ56" t="e">
        <f>AND('Planilla_General_07-12-2012_8_3'!P838,"AAAAAH/fLqU=")</f>
        <v>#VALUE!</v>
      </c>
      <c r="FK56">
        <f>IF('Planilla_General_07-12-2012_8_3'!839:839,"AAAAAH/fLqY=",0)</f>
        <v>0</v>
      </c>
      <c r="FL56" t="e">
        <f>AND('Planilla_General_07-12-2012_8_3'!A839,"AAAAAH/fLqc=")</f>
        <v>#VALUE!</v>
      </c>
      <c r="FM56" t="e">
        <f>AND('Planilla_General_07-12-2012_8_3'!B839,"AAAAAH/fLqg=")</f>
        <v>#VALUE!</v>
      </c>
      <c r="FN56" t="e">
        <f>AND('Planilla_General_07-12-2012_8_3'!C839,"AAAAAH/fLqk=")</f>
        <v>#VALUE!</v>
      </c>
      <c r="FO56" t="e">
        <f>AND('Planilla_General_07-12-2012_8_3'!D839,"AAAAAH/fLqo=")</f>
        <v>#VALUE!</v>
      </c>
      <c r="FP56" t="e">
        <f>AND('Planilla_General_07-12-2012_8_3'!E839,"AAAAAH/fLqs=")</f>
        <v>#VALUE!</v>
      </c>
      <c r="FQ56" t="e">
        <f>AND('Planilla_General_07-12-2012_8_3'!F839,"AAAAAH/fLqw=")</f>
        <v>#VALUE!</v>
      </c>
      <c r="FR56" t="e">
        <f>AND('Planilla_General_07-12-2012_8_3'!G839,"AAAAAH/fLq0=")</f>
        <v>#VALUE!</v>
      </c>
      <c r="FS56" t="e">
        <f>AND('Planilla_General_07-12-2012_8_3'!H839,"AAAAAH/fLq4=")</f>
        <v>#VALUE!</v>
      </c>
      <c r="FT56" t="e">
        <f>AND('Planilla_General_07-12-2012_8_3'!I839,"AAAAAH/fLq8=")</f>
        <v>#VALUE!</v>
      </c>
      <c r="FU56" t="e">
        <f>AND('Planilla_General_07-12-2012_8_3'!J839,"AAAAAH/fLrA=")</f>
        <v>#VALUE!</v>
      </c>
      <c r="FV56" t="e">
        <f>AND('Planilla_General_07-12-2012_8_3'!K839,"AAAAAH/fLrE=")</f>
        <v>#VALUE!</v>
      </c>
      <c r="FW56" t="e">
        <f>AND('Planilla_General_07-12-2012_8_3'!L839,"AAAAAH/fLrI=")</f>
        <v>#VALUE!</v>
      </c>
      <c r="FX56" t="e">
        <f>AND('Planilla_General_07-12-2012_8_3'!M839,"AAAAAH/fLrM=")</f>
        <v>#VALUE!</v>
      </c>
      <c r="FY56" t="e">
        <f>AND('Planilla_General_07-12-2012_8_3'!N839,"AAAAAH/fLrQ=")</f>
        <v>#VALUE!</v>
      </c>
      <c r="FZ56" t="e">
        <f>AND('Planilla_General_07-12-2012_8_3'!O839,"AAAAAH/fLrU=")</f>
        <v>#VALUE!</v>
      </c>
      <c r="GA56" t="e">
        <f>AND('Planilla_General_07-12-2012_8_3'!P839,"AAAAAH/fLrY=")</f>
        <v>#VALUE!</v>
      </c>
      <c r="GB56">
        <f>IF('Planilla_General_07-12-2012_8_3'!840:840,"AAAAAH/fLrc=",0)</f>
        <v>0</v>
      </c>
      <c r="GC56" t="e">
        <f>AND('Planilla_General_07-12-2012_8_3'!A840,"AAAAAH/fLrg=")</f>
        <v>#VALUE!</v>
      </c>
      <c r="GD56" t="e">
        <f>AND('Planilla_General_07-12-2012_8_3'!B840,"AAAAAH/fLrk=")</f>
        <v>#VALUE!</v>
      </c>
      <c r="GE56" t="e">
        <f>AND('Planilla_General_07-12-2012_8_3'!C840,"AAAAAH/fLro=")</f>
        <v>#VALUE!</v>
      </c>
      <c r="GF56" t="e">
        <f>AND('Planilla_General_07-12-2012_8_3'!D840,"AAAAAH/fLrs=")</f>
        <v>#VALUE!</v>
      </c>
      <c r="GG56" t="e">
        <f>AND('Planilla_General_07-12-2012_8_3'!E840,"AAAAAH/fLrw=")</f>
        <v>#VALUE!</v>
      </c>
      <c r="GH56" t="e">
        <f>AND('Planilla_General_07-12-2012_8_3'!F840,"AAAAAH/fLr0=")</f>
        <v>#VALUE!</v>
      </c>
      <c r="GI56" t="e">
        <f>AND('Planilla_General_07-12-2012_8_3'!G840,"AAAAAH/fLr4=")</f>
        <v>#VALUE!</v>
      </c>
      <c r="GJ56" t="e">
        <f>AND('Planilla_General_07-12-2012_8_3'!H840,"AAAAAH/fLr8=")</f>
        <v>#VALUE!</v>
      </c>
      <c r="GK56" t="e">
        <f>AND('Planilla_General_07-12-2012_8_3'!I840,"AAAAAH/fLsA=")</f>
        <v>#VALUE!</v>
      </c>
      <c r="GL56" t="e">
        <f>AND('Planilla_General_07-12-2012_8_3'!J840,"AAAAAH/fLsE=")</f>
        <v>#VALUE!</v>
      </c>
      <c r="GM56" t="e">
        <f>AND('Planilla_General_07-12-2012_8_3'!K840,"AAAAAH/fLsI=")</f>
        <v>#VALUE!</v>
      </c>
      <c r="GN56" t="e">
        <f>AND('Planilla_General_07-12-2012_8_3'!L840,"AAAAAH/fLsM=")</f>
        <v>#VALUE!</v>
      </c>
      <c r="GO56" t="e">
        <f>AND('Planilla_General_07-12-2012_8_3'!M840,"AAAAAH/fLsQ=")</f>
        <v>#VALUE!</v>
      </c>
      <c r="GP56" t="e">
        <f>AND('Planilla_General_07-12-2012_8_3'!N840,"AAAAAH/fLsU=")</f>
        <v>#VALUE!</v>
      </c>
      <c r="GQ56" t="e">
        <f>AND('Planilla_General_07-12-2012_8_3'!O840,"AAAAAH/fLsY=")</f>
        <v>#VALUE!</v>
      </c>
      <c r="GR56" t="e">
        <f>AND('Planilla_General_07-12-2012_8_3'!P840,"AAAAAH/fLsc=")</f>
        <v>#VALUE!</v>
      </c>
      <c r="GS56">
        <f>IF('Planilla_General_07-12-2012_8_3'!841:841,"AAAAAH/fLsg=",0)</f>
        <v>0</v>
      </c>
      <c r="GT56" t="e">
        <f>AND('Planilla_General_07-12-2012_8_3'!A841,"AAAAAH/fLsk=")</f>
        <v>#VALUE!</v>
      </c>
      <c r="GU56" t="e">
        <f>AND('Planilla_General_07-12-2012_8_3'!B841,"AAAAAH/fLso=")</f>
        <v>#VALUE!</v>
      </c>
      <c r="GV56" t="e">
        <f>AND('Planilla_General_07-12-2012_8_3'!C841,"AAAAAH/fLss=")</f>
        <v>#VALUE!</v>
      </c>
      <c r="GW56" t="e">
        <f>AND('Planilla_General_07-12-2012_8_3'!D841,"AAAAAH/fLsw=")</f>
        <v>#VALUE!</v>
      </c>
      <c r="GX56" t="e">
        <f>AND('Planilla_General_07-12-2012_8_3'!E841,"AAAAAH/fLs0=")</f>
        <v>#VALUE!</v>
      </c>
      <c r="GY56" t="e">
        <f>AND('Planilla_General_07-12-2012_8_3'!F841,"AAAAAH/fLs4=")</f>
        <v>#VALUE!</v>
      </c>
      <c r="GZ56" t="e">
        <f>AND('Planilla_General_07-12-2012_8_3'!G841,"AAAAAH/fLs8=")</f>
        <v>#VALUE!</v>
      </c>
      <c r="HA56" t="e">
        <f>AND('Planilla_General_07-12-2012_8_3'!H841,"AAAAAH/fLtA=")</f>
        <v>#VALUE!</v>
      </c>
      <c r="HB56" t="e">
        <f>AND('Planilla_General_07-12-2012_8_3'!I841,"AAAAAH/fLtE=")</f>
        <v>#VALUE!</v>
      </c>
      <c r="HC56" t="e">
        <f>AND('Planilla_General_07-12-2012_8_3'!J841,"AAAAAH/fLtI=")</f>
        <v>#VALUE!</v>
      </c>
      <c r="HD56" t="e">
        <f>AND('Planilla_General_07-12-2012_8_3'!K841,"AAAAAH/fLtM=")</f>
        <v>#VALUE!</v>
      </c>
      <c r="HE56" t="e">
        <f>AND('Planilla_General_07-12-2012_8_3'!L841,"AAAAAH/fLtQ=")</f>
        <v>#VALUE!</v>
      </c>
      <c r="HF56" t="e">
        <f>AND('Planilla_General_07-12-2012_8_3'!M841,"AAAAAH/fLtU=")</f>
        <v>#VALUE!</v>
      </c>
      <c r="HG56" t="e">
        <f>AND('Planilla_General_07-12-2012_8_3'!N841,"AAAAAH/fLtY=")</f>
        <v>#VALUE!</v>
      </c>
      <c r="HH56" t="e">
        <f>AND('Planilla_General_07-12-2012_8_3'!O841,"AAAAAH/fLtc=")</f>
        <v>#VALUE!</v>
      </c>
      <c r="HI56" t="e">
        <f>AND('Planilla_General_07-12-2012_8_3'!P841,"AAAAAH/fLtg=")</f>
        <v>#VALUE!</v>
      </c>
      <c r="HJ56">
        <f>IF('Planilla_General_07-12-2012_8_3'!842:842,"AAAAAH/fLtk=",0)</f>
        <v>0</v>
      </c>
      <c r="HK56" t="e">
        <f>AND('Planilla_General_07-12-2012_8_3'!A842,"AAAAAH/fLto=")</f>
        <v>#VALUE!</v>
      </c>
      <c r="HL56" t="e">
        <f>AND('Planilla_General_07-12-2012_8_3'!B842,"AAAAAH/fLts=")</f>
        <v>#VALUE!</v>
      </c>
      <c r="HM56" t="e">
        <f>AND('Planilla_General_07-12-2012_8_3'!C842,"AAAAAH/fLtw=")</f>
        <v>#VALUE!</v>
      </c>
      <c r="HN56" t="e">
        <f>AND('Planilla_General_07-12-2012_8_3'!D842,"AAAAAH/fLt0=")</f>
        <v>#VALUE!</v>
      </c>
      <c r="HO56" t="e">
        <f>AND('Planilla_General_07-12-2012_8_3'!E842,"AAAAAH/fLt4=")</f>
        <v>#VALUE!</v>
      </c>
      <c r="HP56" t="e">
        <f>AND('Planilla_General_07-12-2012_8_3'!F842,"AAAAAH/fLt8=")</f>
        <v>#VALUE!</v>
      </c>
      <c r="HQ56" t="e">
        <f>AND('Planilla_General_07-12-2012_8_3'!G842,"AAAAAH/fLuA=")</f>
        <v>#VALUE!</v>
      </c>
      <c r="HR56" t="e">
        <f>AND('Planilla_General_07-12-2012_8_3'!H842,"AAAAAH/fLuE=")</f>
        <v>#VALUE!</v>
      </c>
      <c r="HS56" t="e">
        <f>AND('Planilla_General_07-12-2012_8_3'!I842,"AAAAAH/fLuI=")</f>
        <v>#VALUE!</v>
      </c>
      <c r="HT56" t="e">
        <f>AND('Planilla_General_07-12-2012_8_3'!J842,"AAAAAH/fLuM=")</f>
        <v>#VALUE!</v>
      </c>
      <c r="HU56" t="e">
        <f>AND('Planilla_General_07-12-2012_8_3'!K842,"AAAAAH/fLuQ=")</f>
        <v>#VALUE!</v>
      </c>
      <c r="HV56" t="e">
        <f>AND('Planilla_General_07-12-2012_8_3'!L842,"AAAAAH/fLuU=")</f>
        <v>#VALUE!</v>
      </c>
      <c r="HW56" t="e">
        <f>AND('Planilla_General_07-12-2012_8_3'!M842,"AAAAAH/fLuY=")</f>
        <v>#VALUE!</v>
      </c>
      <c r="HX56" t="e">
        <f>AND('Planilla_General_07-12-2012_8_3'!N842,"AAAAAH/fLuc=")</f>
        <v>#VALUE!</v>
      </c>
      <c r="HY56" t="e">
        <f>AND('Planilla_General_07-12-2012_8_3'!O842,"AAAAAH/fLug=")</f>
        <v>#VALUE!</v>
      </c>
      <c r="HZ56" t="e">
        <f>AND('Planilla_General_07-12-2012_8_3'!P842,"AAAAAH/fLuk=")</f>
        <v>#VALUE!</v>
      </c>
      <c r="IA56">
        <f>IF('Planilla_General_07-12-2012_8_3'!843:843,"AAAAAH/fLuo=",0)</f>
        <v>0</v>
      </c>
      <c r="IB56" t="e">
        <f>AND('Planilla_General_07-12-2012_8_3'!A843,"AAAAAH/fLus=")</f>
        <v>#VALUE!</v>
      </c>
      <c r="IC56" t="e">
        <f>AND('Planilla_General_07-12-2012_8_3'!B843,"AAAAAH/fLuw=")</f>
        <v>#VALUE!</v>
      </c>
      <c r="ID56" t="e">
        <f>AND('Planilla_General_07-12-2012_8_3'!C843,"AAAAAH/fLu0=")</f>
        <v>#VALUE!</v>
      </c>
      <c r="IE56" t="e">
        <f>AND('Planilla_General_07-12-2012_8_3'!D843,"AAAAAH/fLu4=")</f>
        <v>#VALUE!</v>
      </c>
      <c r="IF56" t="e">
        <f>AND('Planilla_General_07-12-2012_8_3'!E843,"AAAAAH/fLu8=")</f>
        <v>#VALUE!</v>
      </c>
      <c r="IG56" t="e">
        <f>AND('Planilla_General_07-12-2012_8_3'!F843,"AAAAAH/fLvA=")</f>
        <v>#VALUE!</v>
      </c>
      <c r="IH56" t="e">
        <f>AND('Planilla_General_07-12-2012_8_3'!G843,"AAAAAH/fLvE=")</f>
        <v>#VALUE!</v>
      </c>
      <c r="II56" t="e">
        <f>AND('Planilla_General_07-12-2012_8_3'!H843,"AAAAAH/fLvI=")</f>
        <v>#VALUE!</v>
      </c>
      <c r="IJ56" t="e">
        <f>AND('Planilla_General_07-12-2012_8_3'!I843,"AAAAAH/fLvM=")</f>
        <v>#VALUE!</v>
      </c>
      <c r="IK56" t="e">
        <f>AND('Planilla_General_07-12-2012_8_3'!J843,"AAAAAH/fLvQ=")</f>
        <v>#VALUE!</v>
      </c>
      <c r="IL56" t="e">
        <f>AND('Planilla_General_07-12-2012_8_3'!K843,"AAAAAH/fLvU=")</f>
        <v>#VALUE!</v>
      </c>
      <c r="IM56" t="e">
        <f>AND('Planilla_General_07-12-2012_8_3'!L843,"AAAAAH/fLvY=")</f>
        <v>#VALUE!</v>
      </c>
      <c r="IN56" t="e">
        <f>AND('Planilla_General_07-12-2012_8_3'!M843,"AAAAAH/fLvc=")</f>
        <v>#VALUE!</v>
      </c>
      <c r="IO56" t="e">
        <f>AND('Planilla_General_07-12-2012_8_3'!N843,"AAAAAH/fLvg=")</f>
        <v>#VALUE!</v>
      </c>
      <c r="IP56" t="e">
        <f>AND('Planilla_General_07-12-2012_8_3'!O843,"AAAAAH/fLvk=")</f>
        <v>#VALUE!</v>
      </c>
      <c r="IQ56" t="e">
        <f>AND('Planilla_General_07-12-2012_8_3'!P843,"AAAAAH/fLvo=")</f>
        <v>#VALUE!</v>
      </c>
      <c r="IR56">
        <f>IF('Planilla_General_07-12-2012_8_3'!844:844,"AAAAAH/fLvs=",0)</f>
        <v>0</v>
      </c>
      <c r="IS56" t="e">
        <f>AND('Planilla_General_07-12-2012_8_3'!A844,"AAAAAH/fLvw=")</f>
        <v>#VALUE!</v>
      </c>
      <c r="IT56" t="e">
        <f>AND('Planilla_General_07-12-2012_8_3'!B844,"AAAAAH/fLv0=")</f>
        <v>#VALUE!</v>
      </c>
      <c r="IU56" t="e">
        <f>AND('Planilla_General_07-12-2012_8_3'!C844,"AAAAAH/fLv4=")</f>
        <v>#VALUE!</v>
      </c>
      <c r="IV56" t="e">
        <f>AND('Planilla_General_07-12-2012_8_3'!D844,"AAAAAH/fLv8=")</f>
        <v>#VALUE!</v>
      </c>
    </row>
    <row r="57" spans="1:256" x14ac:dyDescent="0.25">
      <c r="A57" t="e">
        <f>AND('Planilla_General_07-12-2012_8_3'!E844,"AAAAAF/TfwA=")</f>
        <v>#VALUE!</v>
      </c>
      <c r="B57" t="e">
        <f>AND('Planilla_General_07-12-2012_8_3'!F844,"AAAAAF/TfwE=")</f>
        <v>#VALUE!</v>
      </c>
      <c r="C57" t="e">
        <f>AND('Planilla_General_07-12-2012_8_3'!G844,"AAAAAF/TfwI=")</f>
        <v>#VALUE!</v>
      </c>
      <c r="D57" t="e">
        <f>AND('Planilla_General_07-12-2012_8_3'!H844,"AAAAAF/TfwM=")</f>
        <v>#VALUE!</v>
      </c>
      <c r="E57" t="e">
        <f>AND('Planilla_General_07-12-2012_8_3'!I844,"AAAAAF/TfwQ=")</f>
        <v>#VALUE!</v>
      </c>
      <c r="F57" t="e">
        <f>AND('Planilla_General_07-12-2012_8_3'!J844,"AAAAAF/TfwU=")</f>
        <v>#VALUE!</v>
      </c>
      <c r="G57" t="e">
        <f>AND('Planilla_General_07-12-2012_8_3'!K844,"AAAAAF/TfwY=")</f>
        <v>#VALUE!</v>
      </c>
      <c r="H57" t="e">
        <f>AND('Planilla_General_07-12-2012_8_3'!L844,"AAAAAF/Tfwc=")</f>
        <v>#VALUE!</v>
      </c>
      <c r="I57" t="e">
        <f>AND('Planilla_General_07-12-2012_8_3'!M844,"AAAAAF/Tfwg=")</f>
        <v>#VALUE!</v>
      </c>
      <c r="J57" t="e">
        <f>AND('Planilla_General_07-12-2012_8_3'!N844,"AAAAAF/Tfwk=")</f>
        <v>#VALUE!</v>
      </c>
      <c r="K57" t="e">
        <f>AND('Planilla_General_07-12-2012_8_3'!O844,"AAAAAF/Tfwo=")</f>
        <v>#VALUE!</v>
      </c>
      <c r="L57" t="e">
        <f>AND('Planilla_General_07-12-2012_8_3'!P844,"AAAAAF/Tfws=")</f>
        <v>#VALUE!</v>
      </c>
      <c r="M57" t="str">
        <f>IF('Planilla_General_07-12-2012_8_3'!845:845,"AAAAAF/Tfww=",0)</f>
        <v>AAAAAF/Tfww=</v>
      </c>
      <c r="N57" t="e">
        <f>AND('Planilla_General_07-12-2012_8_3'!A845,"AAAAAF/Tfw0=")</f>
        <v>#VALUE!</v>
      </c>
      <c r="O57" t="e">
        <f>AND('Planilla_General_07-12-2012_8_3'!B845,"AAAAAF/Tfw4=")</f>
        <v>#VALUE!</v>
      </c>
      <c r="P57" t="e">
        <f>AND('Planilla_General_07-12-2012_8_3'!C845,"AAAAAF/Tfw8=")</f>
        <v>#VALUE!</v>
      </c>
      <c r="Q57" t="e">
        <f>AND('Planilla_General_07-12-2012_8_3'!D845,"AAAAAF/TfxA=")</f>
        <v>#VALUE!</v>
      </c>
      <c r="R57" t="e">
        <f>AND('Planilla_General_07-12-2012_8_3'!E845,"AAAAAF/TfxE=")</f>
        <v>#VALUE!</v>
      </c>
      <c r="S57" t="e">
        <f>AND('Planilla_General_07-12-2012_8_3'!F845,"AAAAAF/TfxI=")</f>
        <v>#VALUE!</v>
      </c>
      <c r="T57" t="e">
        <f>AND('Planilla_General_07-12-2012_8_3'!G845,"AAAAAF/TfxM=")</f>
        <v>#VALUE!</v>
      </c>
      <c r="U57" t="e">
        <f>AND('Planilla_General_07-12-2012_8_3'!H845,"AAAAAF/TfxQ=")</f>
        <v>#VALUE!</v>
      </c>
      <c r="V57" t="e">
        <f>AND('Planilla_General_07-12-2012_8_3'!I845,"AAAAAF/TfxU=")</f>
        <v>#VALUE!</v>
      </c>
      <c r="W57" t="e">
        <f>AND('Planilla_General_07-12-2012_8_3'!J845,"AAAAAF/TfxY=")</f>
        <v>#VALUE!</v>
      </c>
      <c r="X57" t="e">
        <f>AND('Planilla_General_07-12-2012_8_3'!K845,"AAAAAF/Tfxc=")</f>
        <v>#VALUE!</v>
      </c>
      <c r="Y57" t="e">
        <f>AND('Planilla_General_07-12-2012_8_3'!L845,"AAAAAF/Tfxg=")</f>
        <v>#VALUE!</v>
      </c>
      <c r="Z57" t="e">
        <f>AND('Planilla_General_07-12-2012_8_3'!M845,"AAAAAF/Tfxk=")</f>
        <v>#VALUE!</v>
      </c>
      <c r="AA57" t="e">
        <f>AND('Planilla_General_07-12-2012_8_3'!N845,"AAAAAF/Tfxo=")</f>
        <v>#VALUE!</v>
      </c>
      <c r="AB57" t="e">
        <f>AND('Planilla_General_07-12-2012_8_3'!O845,"AAAAAF/Tfxs=")</f>
        <v>#VALUE!</v>
      </c>
      <c r="AC57" t="e">
        <f>AND('Planilla_General_07-12-2012_8_3'!P845,"AAAAAF/Tfxw=")</f>
        <v>#VALUE!</v>
      </c>
      <c r="AD57">
        <f>IF('Planilla_General_07-12-2012_8_3'!846:846,"AAAAAF/Tfx0=",0)</f>
        <v>0</v>
      </c>
      <c r="AE57" t="e">
        <f>AND('Planilla_General_07-12-2012_8_3'!A846,"AAAAAF/Tfx4=")</f>
        <v>#VALUE!</v>
      </c>
      <c r="AF57" t="e">
        <f>AND('Planilla_General_07-12-2012_8_3'!B846,"AAAAAF/Tfx8=")</f>
        <v>#VALUE!</v>
      </c>
      <c r="AG57" t="e">
        <f>AND('Planilla_General_07-12-2012_8_3'!C846,"AAAAAF/TfyA=")</f>
        <v>#VALUE!</v>
      </c>
      <c r="AH57" t="e">
        <f>AND('Planilla_General_07-12-2012_8_3'!D846,"AAAAAF/TfyE=")</f>
        <v>#VALUE!</v>
      </c>
      <c r="AI57" t="e">
        <f>AND('Planilla_General_07-12-2012_8_3'!E846,"AAAAAF/TfyI=")</f>
        <v>#VALUE!</v>
      </c>
      <c r="AJ57" t="e">
        <f>AND('Planilla_General_07-12-2012_8_3'!F846,"AAAAAF/TfyM=")</f>
        <v>#VALUE!</v>
      </c>
      <c r="AK57" t="e">
        <f>AND('Planilla_General_07-12-2012_8_3'!G846,"AAAAAF/TfyQ=")</f>
        <v>#VALUE!</v>
      </c>
      <c r="AL57" t="e">
        <f>AND('Planilla_General_07-12-2012_8_3'!H846,"AAAAAF/TfyU=")</f>
        <v>#VALUE!</v>
      </c>
      <c r="AM57" t="e">
        <f>AND('Planilla_General_07-12-2012_8_3'!I846,"AAAAAF/TfyY=")</f>
        <v>#VALUE!</v>
      </c>
      <c r="AN57" t="e">
        <f>AND('Planilla_General_07-12-2012_8_3'!J846,"AAAAAF/Tfyc=")</f>
        <v>#VALUE!</v>
      </c>
      <c r="AO57" t="e">
        <f>AND('Planilla_General_07-12-2012_8_3'!K846,"AAAAAF/Tfyg=")</f>
        <v>#VALUE!</v>
      </c>
      <c r="AP57" t="e">
        <f>AND('Planilla_General_07-12-2012_8_3'!L846,"AAAAAF/Tfyk=")</f>
        <v>#VALUE!</v>
      </c>
      <c r="AQ57" t="e">
        <f>AND('Planilla_General_07-12-2012_8_3'!M846,"AAAAAF/Tfyo=")</f>
        <v>#VALUE!</v>
      </c>
      <c r="AR57" t="e">
        <f>AND('Planilla_General_07-12-2012_8_3'!N846,"AAAAAF/Tfys=")</f>
        <v>#VALUE!</v>
      </c>
      <c r="AS57" t="e">
        <f>AND('Planilla_General_07-12-2012_8_3'!O846,"AAAAAF/Tfyw=")</f>
        <v>#VALUE!</v>
      </c>
      <c r="AT57" t="e">
        <f>AND('Planilla_General_07-12-2012_8_3'!P846,"AAAAAF/Tfy0=")</f>
        <v>#VALUE!</v>
      </c>
      <c r="AU57">
        <f>IF('Planilla_General_07-12-2012_8_3'!847:847,"AAAAAF/Tfy4=",0)</f>
        <v>0</v>
      </c>
      <c r="AV57" t="e">
        <f>AND('Planilla_General_07-12-2012_8_3'!A847,"AAAAAF/Tfy8=")</f>
        <v>#VALUE!</v>
      </c>
      <c r="AW57" t="e">
        <f>AND('Planilla_General_07-12-2012_8_3'!B847,"AAAAAF/TfzA=")</f>
        <v>#VALUE!</v>
      </c>
      <c r="AX57" t="e">
        <f>AND('Planilla_General_07-12-2012_8_3'!C847,"AAAAAF/TfzE=")</f>
        <v>#VALUE!</v>
      </c>
      <c r="AY57" t="e">
        <f>AND('Planilla_General_07-12-2012_8_3'!D847,"AAAAAF/TfzI=")</f>
        <v>#VALUE!</v>
      </c>
      <c r="AZ57" t="e">
        <f>AND('Planilla_General_07-12-2012_8_3'!E847,"AAAAAF/TfzM=")</f>
        <v>#VALUE!</v>
      </c>
      <c r="BA57" t="e">
        <f>AND('Planilla_General_07-12-2012_8_3'!F847,"AAAAAF/TfzQ=")</f>
        <v>#VALUE!</v>
      </c>
      <c r="BB57" t="e">
        <f>AND('Planilla_General_07-12-2012_8_3'!G847,"AAAAAF/TfzU=")</f>
        <v>#VALUE!</v>
      </c>
      <c r="BC57" t="e">
        <f>AND('Planilla_General_07-12-2012_8_3'!H847,"AAAAAF/TfzY=")</f>
        <v>#VALUE!</v>
      </c>
      <c r="BD57" t="e">
        <f>AND('Planilla_General_07-12-2012_8_3'!I847,"AAAAAF/Tfzc=")</f>
        <v>#VALUE!</v>
      </c>
      <c r="BE57" t="e">
        <f>AND('Planilla_General_07-12-2012_8_3'!J847,"AAAAAF/Tfzg=")</f>
        <v>#VALUE!</v>
      </c>
      <c r="BF57" t="e">
        <f>AND('Planilla_General_07-12-2012_8_3'!K847,"AAAAAF/Tfzk=")</f>
        <v>#VALUE!</v>
      </c>
      <c r="BG57" t="e">
        <f>AND('Planilla_General_07-12-2012_8_3'!L847,"AAAAAF/Tfzo=")</f>
        <v>#VALUE!</v>
      </c>
      <c r="BH57" t="e">
        <f>AND('Planilla_General_07-12-2012_8_3'!M847,"AAAAAF/Tfzs=")</f>
        <v>#VALUE!</v>
      </c>
      <c r="BI57" t="e">
        <f>AND('Planilla_General_07-12-2012_8_3'!N847,"AAAAAF/Tfzw=")</f>
        <v>#VALUE!</v>
      </c>
      <c r="BJ57" t="e">
        <f>AND('Planilla_General_07-12-2012_8_3'!O847,"AAAAAF/Tfz0=")</f>
        <v>#VALUE!</v>
      </c>
      <c r="BK57" t="e">
        <f>AND('Planilla_General_07-12-2012_8_3'!P847,"AAAAAF/Tfz4=")</f>
        <v>#VALUE!</v>
      </c>
      <c r="BL57">
        <f>IF('Planilla_General_07-12-2012_8_3'!848:848,"AAAAAF/Tfz8=",0)</f>
        <v>0</v>
      </c>
      <c r="BM57" t="e">
        <f>AND('Planilla_General_07-12-2012_8_3'!A848,"AAAAAF/Tf0A=")</f>
        <v>#VALUE!</v>
      </c>
      <c r="BN57" t="e">
        <f>AND('Planilla_General_07-12-2012_8_3'!B848,"AAAAAF/Tf0E=")</f>
        <v>#VALUE!</v>
      </c>
      <c r="BO57" t="e">
        <f>AND('Planilla_General_07-12-2012_8_3'!C848,"AAAAAF/Tf0I=")</f>
        <v>#VALUE!</v>
      </c>
      <c r="BP57" t="e">
        <f>AND('Planilla_General_07-12-2012_8_3'!D848,"AAAAAF/Tf0M=")</f>
        <v>#VALUE!</v>
      </c>
      <c r="BQ57" t="e">
        <f>AND('Planilla_General_07-12-2012_8_3'!E848,"AAAAAF/Tf0Q=")</f>
        <v>#VALUE!</v>
      </c>
      <c r="BR57" t="e">
        <f>AND('Planilla_General_07-12-2012_8_3'!F848,"AAAAAF/Tf0U=")</f>
        <v>#VALUE!</v>
      </c>
      <c r="BS57" t="e">
        <f>AND('Planilla_General_07-12-2012_8_3'!G848,"AAAAAF/Tf0Y=")</f>
        <v>#VALUE!</v>
      </c>
      <c r="BT57" t="e">
        <f>AND('Planilla_General_07-12-2012_8_3'!H848,"AAAAAF/Tf0c=")</f>
        <v>#VALUE!</v>
      </c>
      <c r="BU57" t="e">
        <f>AND('Planilla_General_07-12-2012_8_3'!I848,"AAAAAF/Tf0g=")</f>
        <v>#VALUE!</v>
      </c>
      <c r="BV57" t="e">
        <f>AND('Planilla_General_07-12-2012_8_3'!J848,"AAAAAF/Tf0k=")</f>
        <v>#VALUE!</v>
      </c>
      <c r="BW57" t="e">
        <f>AND('Planilla_General_07-12-2012_8_3'!K848,"AAAAAF/Tf0o=")</f>
        <v>#VALUE!</v>
      </c>
      <c r="BX57" t="e">
        <f>AND('Planilla_General_07-12-2012_8_3'!L848,"AAAAAF/Tf0s=")</f>
        <v>#VALUE!</v>
      </c>
      <c r="BY57" t="e">
        <f>AND('Planilla_General_07-12-2012_8_3'!M848,"AAAAAF/Tf0w=")</f>
        <v>#VALUE!</v>
      </c>
      <c r="BZ57" t="e">
        <f>AND('Planilla_General_07-12-2012_8_3'!N848,"AAAAAF/Tf00=")</f>
        <v>#VALUE!</v>
      </c>
      <c r="CA57" t="e">
        <f>AND('Planilla_General_07-12-2012_8_3'!O848,"AAAAAF/Tf04=")</f>
        <v>#VALUE!</v>
      </c>
      <c r="CB57" t="e">
        <f>AND('Planilla_General_07-12-2012_8_3'!P848,"AAAAAF/Tf08=")</f>
        <v>#VALUE!</v>
      </c>
      <c r="CC57">
        <f>IF('Planilla_General_07-12-2012_8_3'!849:849,"AAAAAF/Tf1A=",0)</f>
        <v>0</v>
      </c>
      <c r="CD57" t="e">
        <f>AND('Planilla_General_07-12-2012_8_3'!A849,"AAAAAF/Tf1E=")</f>
        <v>#VALUE!</v>
      </c>
      <c r="CE57" t="e">
        <f>AND('Planilla_General_07-12-2012_8_3'!B849,"AAAAAF/Tf1I=")</f>
        <v>#VALUE!</v>
      </c>
      <c r="CF57" t="e">
        <f>AND('Planilla_General_07-12-2012_8_3'!C849,"AAAAAF/Tf1M=")</f>
        <v>#VALUE!</v>
      </c>
      <c r="CG57" t="e">
        <f>AND('Planilla_General_07-12-2012_8_3'!D849,"AAAAAF/Tf1Q=")</f>
        <v>#VALUE!</v>
      </c>
      <c r="CH57" t="e">
        <f>AND('Planilla_General_07-12-2012_8_3'!E849,"AAAAAF/Tf1U=")</f>
        <v>#VALUE!</v>
      </c>
      <c r="CI57" t="e">
        <f>AND('Planilla_General_07-12-2012_8_3'!F849,"AAAAAF/Tf1Y=")</f>
        <v>#VALUE!</v>
      </c>
      <c r="CJ57" t="e">
        <f>AND('Planilla_General_07-12-2012_8_3'!G849,"AAAAAF/Tf1c=")</f>
        <v>#VALUE!</v>
      </c>
      <c r="CK57" t="e">
        <f>AND('Planilla_General_07-12-2012_8_3'!H849,"AAAAAF/Tf1g=")</f>
        <v>#VALUE!</v>
      </c>
      <c r="CL57" t="e">
        <f>AND('Planilla_General_07-12-2012_8_3'!I849,"AAAAAF/Tf1k=")</f>
        <v>#VALUE!</v>
      </c>
      <c r="CM57" t="e">
        <f>AND('Planilla_General_07-12-2012_8_3'!J849,"AAAAAF/Tf1o=")</f>
        <v>#VALUE!</v>
      </c>
      <c r="CN57" t="e">
        <f>AND('Planilla_General_07-12-2012_8_3'!K849,"AAAAAF/Tf1s=")</f>
        <v>#VALUE!</v>
      </c>
      <c r="CO57" t="e">
        <f>AND('Planilla_General_07-12-2012_8_3'!L849,"AAAAAF/Tf1w=")</f>
        <v>#VALUE!</v>
      </c>
      <c r="CP57" t="e">
        <f>AND('Planilla_General_07-12-2012_8_3'!M849,"AAAAAF/Tf10=")</f>
        <v>#VALUE!</v>
      </c>
      <c r="CQ57" t="e">
        <f>AND('Planilla_General_07-12-2012_8_3'!N849,"AAAAAF/Tf14=")</f>
        <v>#VALUE!</v>
      </c>
      <c r="CR57" t="e">
        <f>AND('Planilla_General_07-12-2012_8_3'!O849,"AAAAAF/Tf18=")</f>
        <v>#VALUE!</v>
      </c>
      <c r="CS57" t="e">
        <f>AND('Planilla_General_07-12-2012_8_3'!P849,"AAAAAF/Tf2A=")</f>
        <v>#VALUE!</v>
      </c>
      <c r="CT57">
        <f>IF('Planilla_General_07-12-2012_8_3'!850:850,"AAAAAF/Tf2E=",0)</f>
        <v>0</v>
      </c>
      <c r="CU57" t="e">
        <f>AND('Planilla_General_07-12-2012_8_3'!A850,"AAAAAF/Tf2I=")</f>
        <v>#VALUE!</v>
      </c>
      <c r="CV57" t="e">
        <f>AND('Planilla_General_07-12-2012_8_3'!B850,"AAAAAF/Tf2M=")</f>
        <v>#VALUE!</v>
      </c>
      <c r="CW57" t="e">
        <f>AND('Planilla_General_07-12-2012_8_3'!C850,"AAAAAF/Tf2Q=")</f>
        <v>#VALUE!</v>
      </c>
      <c r="CX57" t="e">
        <f>AND('Planilla_General_07-12-2012_8_3'!D850,"AAAAAF/Tf2U=")</f>
        <v>#VALUE!</v>
      </c>
      <c r="CY57" t="e">
        <f>AND('Planilla_General_07-12-2012_8_3'!E850,"AAAAAF/Tf2Y=")</f>
        <v>#VALUE!</v>
      </c>
      <c r="CZ57" t="e">
        <f>AND('Planilla_General_07-12-2012_8_3'!F850,"AAAAAF/Tf2c=")</f>
        <v>#VALUE!</v>
      </c>
      <c r="DA57" t="e">
        <f>AND('Planilla_General_07-12-2012_8_3'!G850,"AAAAAF/Tf2g=")</f>
        <v>#VALUE!</v>
      </c>
      <c r="DB57" t="e">
        <f>AND('Planilla_General_07-12-2012_8_3'!H850,"AAAAAF/Tf2k=")</f>
        <v>#VALUE!</v>
      </c>
      <c r="DC57" t="e">
        <f>AND('Planilla_General_07-12-2012_8_3'!I850,"AAAAAF/Tf2o=")</f>
        <v>#VALUE!</v>
      </c>
      <c r="DD57" t="e">
        <f>AND('Planilla_General_07-12-2012_8_3'!J850,"AAAAAF/Tf2s=")</f>
        <v>#VALUE!</v>
      </c>
      <c r="DE57" t="e">
        <f>AND('Planilla_General_07-12-2012_8_3'!K850,"AAAAAF/Tf2w=")</f>
        <v>#VALUE!</v>
      </c>
      <c r="DF57" t="e">
        <f>AND('Planilla_General_07-12-2012_8_3'!L850,"AAAAAF/Tf20=")</f>
        <v>#VALUE!</v>
      </c>
      <c r="DG57" t="e">
        <f>AND('Planilla_General_07-12-2012_8_3'!M850,"AAAAAF/Tf24=")</f>
        <v>#VALUE!</v>
      </c>
      <c r="DH57" t="e">
        <f>AND('Planilla_General_07-12-2012_8_3'!N850,"AAAAAF/Tf28=")</f>
        <v>#VALUE!</v>
      </c>
      <c r="DI57" t="e">
        <f>AND('Planilla_General_07-12-2012_8_3'!O850,"AAAAAF/Tf3A=")</f>
        <v>#VALUE!</v>
      </c>
      <c r="DJ57" t="e">
        <f>AND('Planilla_General_07-12-2012_8_3'!P850,"AAAAAF/Tf3E=")</f>
        <v>#VALUE!</v>
      </c>
      <c r="DK57">
        <f>IF('Planilla_General_07-12-2012_8_3'!851:851,"AAAAAF/Tf3I=",0)</f>
        <v>0</v>
      </c>
      <c r="DL57" t="e">
        <f>AND('Planilla_General_07-12-2012_8_3'!A851,"AAAAAF/Tf3M=")</f>
        <v>#VALUE!</v>
      </c>
      <c r="DM57" t="e">
        <f>AND('Planilla_General_07-12-2012_8_3'!B851,"AAAAAF/Tf3Q=")</f>
        <v>#VALUE!</v>
      </c>
      <c r="DN57" t="e">
        <f>AND('Planilla_General_07-12-2012_8_3'!C851,"AAAAAF/Tf3U=")</f>
        <v>#VALUE!</v>
      </c>
      <c r="DO57" t="e">
        <f>AND('Planilla_General_07-12-2012_8_3'!D851,"AAAAAF/Tf3Y=")</f>
        <v>#VALUE!</v>
      </c>
      <c r="DP57" t="e">
        <f>AND('Planilla_General_07-12-2012_8_3'!E851,"AAAAAF/Tf3c=")</f>
        <v>#VALUE!</v>
      </c>
      <c r="DQ57" t="e">
        <f>AND('Planilla_General_07-12-2012_8_3'!F851,"AAAAAF/Tf3g=")</f>
        <v>#VALUE!</v>
      </c>
      <c r="DR57" t="e">
        <f>AND('Planilla_General_07-12-2012_8_3'!G851,"AAAAAF/Tf3k=")</f>
        <v>#VALUE!</v>
      </c>
      <c r="DS57" t="e">
        <f>AND('Planilla_General_07-12-2012_8_3'!H851,"AAAAAF/Tf3o=")</f>
        <v>#VALUE!</v>
      </c>
      <c r="DT57" t="e">
        <f>AND('Planilla_General_07-12-2012_8_3'!I851,"AAAAAF/Tf3s=")</f>
        <v>#VALUE!</v>
      </c>
      <c r="DU57" t="e">
        <f>AND('Planilla_General_07-12-2012_8_3'!J851,"AAAAAF/Tf3w=")</f>
        <v>#VALUE!</v>
      </c>
      <c r="DV57" t="e">
        <f>AND('Planilla_General_07-12-2012_8_3'!K851,"AAAAAF/Tf30=")</f>
        <v>#VALUE!</v>
      </c>
      <c r="DW57" t="e">
        <f>AND('Planilla_General_07-12-2012_8_3'!L851,"AAAAAF/Tf34=")</f>
        <v>#VALUE!</v>
      </c>
      <c r="DX57" t="e">
        <f>AND('Planilla_General_07-12-2012_8_3'!M851,"AAAAAF/Tf38=")</f>
        <v>#VALUE!</v>
      </c>
      <c r="DY57" t="e">
        <f>AND('Planilla_General_07-12-2012_8_3'!N851,"AAAAAF/Tf4A=")</f>
        <v>#VALUE!</v>
      </c>
      <c r="DZ57" t="e">
        <f>AND('Planilla_General_07-12-2012_8_3'!O851,"AAAAAF/Tf4E=")</f>
        <v>#VALUE!</v>
      </c>
      <c r="EA57" t="e">
        <f>AND('Planilla_General_07-12-2012_8_3'!P851,"AAAAAF/Tf4I=")</f>
        <v>#VALUE!</v>
      </c>
      <c r="EB57">
        <f>IF('Planilla_General_07-12-2012_8_3'!852:852,"AAAAAF/Tf4M=",0)</f>
        <v>0</v>
      </c>
      <c r="EC57" t="e">
        <f>AND('Planilla_General_07-12-2012_8_3'!A852,"AAAAAF/Tf4Q=")</f>
        <v>#VALUE!</v>
      </c>
      <c r="ED57" t="e">
        <f>AND('Planilla_General_07-12-2012_8_3'!B852,"AAAAAF/Tf4U=")</f>
        <v>#VALUE!</v>
      </c>
      <c r="EE57" t="e">
        <f>AND('Planilla_General_07-12-2012_8_3'!C852,"AAAAAF/Tf4Y=")</f>
        <v>#VALUE!</v>
      </c>
      <c r="EF57" t="e">
        <f>AND('Planilla_General_07-12-2012_8_3'!D852,"AAAAAF/Tf4c=")</f>
        <v>#VALUE!</v>
      </c>
      <c r="EG57" t="e">
        <f>AND('Planilla_General_07-12-2012_8_3'!E852,"AAAAAF/Tf4g=")</f>
        <v>#VALUE!</v>
      </c>
      <c r="EH57" t="e">
        <f>AND('Planilla_General_07-12-2012_8_3'!F852,"AAAAAF/Tf4k=")</f>
        <v>#VALUE!</v>
      </c>
      <c r="EI57" t="e">
        <f>AND('Planilla_General_07-12-2012_8_3'!G852,"AAAAAF/Tf4o=")</f>
        <v>#VALUE!</v>
      </c>
      <c r="EJ57" t="e">
        <f>AND('Planilla_General_07-12-2012_8_3'!H852,"AAAAAF/Tf4s=")</f>
        <v>#VALUE!</v>
      </c>
      <c r="EK57" t="e">
        <f>AND('Planilla_General_07-12-2012_8_3'!I852,"AAAAAF/Tf4w=")</f>
        <v>#VALUE!</v>
      </c>
      <c r="EL57" t="e">
        <f>AND('Planilla_General_07-12-2012_8_3'!J852,"AAAAAF/Tf40=")</f>
        <v>#VALUE!</v>
      </c>
      <c r="EM57" t="e">
        <f>AND('Planilla_General_07-12-2012_8_3'!K852,"AAAAAF/Tf44=")</f>
        <v>#VALUE!</v>
      </c>
      <c r="EN57" t="e">
        <f>AND('Planilla_General_07-12-2012_8_3'!L852,"AAAAAF/Tf48=")</f>
        <v>#VALUE!</v>
      </c>
      <c r="EO57" t="e">
        <f>AND('Planilla_General_07-12-2012_8_3'!M852,"AAAAAF/Tf5A=")</f>
        <v>#VALUE!</v>
      </c>
      <c r="EP57" t="e">
        <f>AND('Planilla_General_07-12-2012_8_3'!N852,"AAAAAF/Tf5E=")</f>
        <v>#VALUE!</v>
      </c>
      <c r="EQ57" t="e">
        <f>AND('Planilla_General_07-12-2012_8_3'!O852,"AAAAAF/Tf5I=")</f>
        <v>#VALUE!</v>
      </c>
      <c r="ER57" t="e">
        <f>AND('Planilla_General_07-12-2012_8_3'!P852,"AAAAAF/Tf5M=")</f>
        <v>#VALUE!</v>
      </c>
      <c r="ES57">
        <f>IF('Planilla_General_07-12-2012_8_3'!853:853,"AAAAAF/Tf5Q=",0)</f>
        <v>0</v>
      </c>
      <c r="ET57" t="e">
        <f>AND('Planilla_General_07-12-2012_8_3'!A853,"AAAAAF/Tf5U=")</f>
        <v>#VALUE!</v>
      </c>
      <c r="EU57" t="e">
        <f>AND('Planilla_General_07-12-2012_8_3'!B853,"AAAAAF/Tf5Y=")</f>
        <v>#VALUE!</v>
      </c>
      <c r="EV57" t="e">
        <f>AND('Planilla_General_07-12-2012_8_3'!C853,"AAAAAF/Tf5c=")</f>
        <v>#VALUE!</v>
      </c>
      <c r="EW57" t="e">
        <f>AND('Planilla_General_07-12-2012_8_3'!D853,"AAAAAF/Tf5g=")</f>
        <v>#VALUE!</v>
      </c>
      <c r="EX57" t="e">
        <f>AND('Planilla_General_07-12-2012_8_3'!E853,"AAAAAF/Tf5k=")</f>
        <v>#VALUE!</v>
      </c>
      <c r="EY57" t="e">
        <f>AND('Planilla_General_07-12-2012_8_3'!F853,"AAAAAF/Tf5o=")</f>
        <v>#VALUE!</v>
      </c>
      <c r="EZ57" t="e">
        <f>AND('Planilla_General_07-12-2012_8_3'!G853,"AAAAAF/Tf5s=")</f>
        <v>#VALUE!</v>
      </c>
      <c r="FA57" t="e">
        <f>AND('Planilla_General_07-12-2012_8_3'!H853,"AAAAAF/Tf5w=")</f>
        <v>#VALUE!</v>
      </c>
      <c r="FB57" t="e">
        <f>AND('Planilla_General_07-12-2012_8_3'!I853,"AAAAAF/Tf50=")</f>
        <v>#VALUE!</v>
      </c>
      <c r="FC57" t="e">
        <f>AND('Planilla_General_07-12-2012_8_3'!J853,"AAAAAF/Tf54=")</f>
        <v>#VALUE!</v>
      </c>
      <c r="FD57" t="e">
        <f>AND('Planilla_General_07-12-2012_8_3'!K853,"AAAAAF/Tf58=")</f>
        <v>#VALUE!</v>
      </c>
      <c r="FE57" t="e">
        <f>AND('Planilla_General_07-12-2012_8_3'!L853,"AAAAAF/Tf6A=")</f>
        <v>#VALUE!</v>
      </c>
      <c r="FF57" t="e">
        <f>AND('Planilla_General_07-12-2012_8_3'!M853,"AAAAAF/Tf6E=")</f>
        <v>#VALUE!</v>
      </c>
      <c r="FG57" t="e">
        <f>AND('Planilla_General_07-12-2012_8_3'!N853,"AAAAAF/Tf6I=")</f>
        <v>#VALUE!</v>
      </c>
      <c r="FH57" t="e">
        <f>AND('Planilla_General_07-12-2012_8_3'!O853,"AAAAAF/Tf6M=")</f>
        <v>#VALUE!</v>
      </c>
      <c r="FI57" t="e">
        <f>AND('Planilla_General_07-12-2012_8_3'!P853,"AAAAAF/Tf6Q=")</f>
        <v>#VALUE!</v>
      </c>
      <c r="FJ57">
        <f>IF('Planilla_General_07-12-2012_8_3'!854:854,"AAAAAF/Tf6U=",0)</f>
        <v>0</v>
      </c>
      <c r="FK57" t="e">
        <f>AND('Planilla_General_07-12-2012_8_3'!A854,"AAAAAF/Tf6Y=")</f>
        <v>#VALUE!</v>
      </c>
      <c r="FL57" t="e">
        <f>AND('Planilla_General_07-12-2012_8_3'!B854,"AAAAAF/Tf6c=")</f>
        <v>#VALUE!</v>
      </c>
      <c r="FM57" t="e">
        <f>AND('Planilla_General_07-12-2012_8_3'!C854,"AAAAAF/Tf6g=")</f>
        <v>#VALUE!</v>
      </c>
      <c r="FN57" t="e">
        <f>AND('Planilla_General_07-12-2012_8_3'!D854,"AAAAAF/Tf6k=")</f>
        <v>#VALUE!</v>
      </c>
      <c r="FO57" t="e">
        <f>AND('Planilla_General_07-12-2012_8_3'!E854,"AAAAAF/Tf6o=")</f>
        <v>#VALUE!</v>
      </c>
      <c r="FP57" t="e">
        <f>AND('Planilla_General_07-12-2012_8_3'!F854,"AAAAAF/Tf6s=")</f>
        <v>#VALUE!</v>
      </c>
      <c r="FQ57" t="e">
        <f>AND('Planilla_General_07-12-2012_8_3'!G854,"AAAAAF/Tf6w=")</f>
        <v>#VALUE!</v>
      </c>
      <c r="FR57" t="e">
        <f>AND('Planilla_General_07-12-2012_8_3'!H854,"AAAAAF/Tf60=")</f>
        <v>#VALUE!</v>
      </c>
      <c r="FS57" t="e">
        <f>AND('Planilla_General_07-12-2012_8_3'!I854,"AAAAAF/Tf64=")</f>
        <v>#VALUE!</v>
      </c>
      <c r="FT57" t="e">
        <f>AND('Planilla_General_07-12-2012_8_3'!J854,"AAAAAF/Tf68=")</f>
        <v>#VALUE!</v>
      </c>
      <c r="FU57" t="e">
        <f>AND('Planilla_General_07-12-2012_8_3'!K854,"AAAAAF/Tf7A=")</f>
        <v>#VALUE!</v>
      </c>
      <c r="FV57" t="e">
        <f>AND('Planilla_General_07-12-2012_8_3'!L854,"AAAAAF/Tf7E=")</f>
        <v>#VALUE!</v>
      </c>
      <c r="FW57" t="e">
        <f>AND('Planilla_General_07-12-2012_8_3'!M854,"AAAAAF/Tf7I=")</f>
        <v>#VALUE!</v>
      </c>
      <c r="FX57" t="e">
        <f>AND('Planilla_General_07-12-2012_8_3'!N854,"AAAAAF/Tf7M=")</f>
        <v>#VALUE!</v>
      </c>
      <c r="FY57" t="e">
        <f>AND('Planilla_General_07-12-2012_8_3'!O854,"AAAAAF/Tf7Q=")</f>
        <v>#VALUE!</v>
      </c>
      <c r="FZ57" t="e">
        <f>AND('Planilla_General_07-12-2012_8_3'!P854,"AAAAAF/Tf7U=")</f>
        <v>#VALUE!</v>
      </c>
      <c r="GA57">
        <f>IF('Planilla_General_07-12-2012_8_3'!855:855,"AAAAAF/Tf7Y=",0)</f>
        <v>0</v>
      </c>
      <c r="GB57" t="e">
        <f>AND('Planilla_General_07-12-2012_8_3'!A855,"AAAAAF/Tf7c=")</f>
        <v>#VALUE!</v>
      </c>
      <c r="GC57" t="e">
        <f>AND('Planilla_General_07-12-2012_8_3'!B855,"AAAAAF/Tf7g=")</f>
        <v>#VALUE!</v>
      </c>
      <c r="GD57" t="e">
        <f>AND('Planilla_General_07-12-2012_8_3'!C855,"AAAAAF/Tf7k=")</f>
        <v>#VALUE!</v>
      </c>
      <c r="GE57" t="e">
        <f>AND('Planilla_General_07-12-2012_8_3'!D855,"AAAAAF/Tf7o=")</f>
        <v>#VALUE!</v>
      </c>
      <c r="GF57" t="e">
        <f>AND('Planilla_General_07-12-2012_8_3'!E855,"AAAAAF/Tf7s=")</f>
        <v>#VALUE!</v>
      </c>
      <c r="GG57" t="e">
        <f>AND('Planilla_General_07-12-2012_8_3'!F855,"AAAAAF/Tf7w=")</f>
        <v>#VALUE!</v>
      </c>
      <c r="GH57" t="e">
        <f>AND('Planilla_General_07-12-2012_8_3'!G855,"AAAAAF/Tf70=")</f>
        <v>#VALUE!</v>
      </c>
      <c r="GI57" t="e">
        <f>AND('Planilla_General_07-12-2012_8_3'!H855,"AAAAAF/Tf74=")</f>
        <v>#VALUE!</v>
      </c>
      <c r="GJ57" t="e">
        <f>AND('Planilla_General_07-12-2012_8_3'!I855,"AAAAAF/Tf78=")</f>
        <v>#VALUE!</v>
      </c>
      <c r="GK57" t="e">
        <f>AND('Planilla_General_07-12-2012_8_3'!J855,"AAAAAF/Tf8A=")</f>
        <v>#VALUE!</v>
      </c>
      <c r="GL57" t="e">
        <f>AND('Planilla_General_07-12-2012_8_3'!K855,"AAAAAF/Tf8E=")</f>
        <v>#VALUE!</v>
      </c>
      <c r="GM57" t="e">
        <f>AND('Planilla_General_07-12-2012_8_3'!L855,"AAAAAF/Tf8I=")</f>
        <v>#VALUE!</v>
      </c>
      <c r="GN57" t="e">
        <f>AND('Planilla_General_07-12-2012_8_3'!M855,"AAAAAF/Tf8M=")</f>
        <v>#VALUE!</v>
      </c>
      <c r="GO57" t="e">
        <f>AND('Planilla_General_07-12-2012_8_3'!N855,"AAAAAF/Tf8Q=")</f>
        <v>#VALUE!</v>
      </c>
      <c r="GP57" t="e">
        <f>AND('Planilla_General_07-12-2012_8_3'!O855,"AAAAAF/Tf8U=")</f>
        <v>#VALUE!</v>
      </c>
      <c r="GQ57" t="e">
        <f>AND('Planilla_General_07-12-2012_8_3'!P855,"AAAAAF/Tf8Y=")</f>
        <v>#VALUE!</v>
      </c>
      <c r="GR57">
        <f>IF('Planilla_General_07-12-2012_8_3'!856:856,"AAAAAF/Tf8c=",0)</f>
        <v>0</v>
      </c>
      <c r="GS57" t="e">
        <f>AND('Planilla_General_07-12-2012_8_3'!A856,"AAAAAF/Tf8g=")</f>
        <v>#VALUE!</v>
      </c>
      <c r="GT57" t="e">
        <f>AND('Planilla_General_07-12-2012_8_3'!B856,"AAAAAF/Tf8k=")</f>
        <v>#VALUE!</v>
      </c>
      <c r="GU57" t="e">
        <f>AND('Planilla_General_07-12-2012_8_3'!C856,"AAAAAF/Tf8o=")</f>
        <v>#VALUE!</v>
      </c>
      <c r="GV57" t="e">
        <f>AND('Planilla_General_07-12-2012_8_3'!D856,"AAAAAF/Tf8s=")</f>
        <v>#VALUE!</v>
      </c>
      <c r="GW57" t="e">
        <f>AND('Planilla_General_07-12-2012_8_3'!E856,"AAAAAF/Tf8w=")</f>
        <v>#VALUE!</v>
      </c>
      <c r="GX57" t="e">
        <f>AND('Planilla_General_07-12-2012_8_3'!F856,"AAAAAF/Tf80=")</f>
        <v>#VALUE!</v>
      </c>
      <c r="GY57" t="e">
        <f>AND('Planilla_General_07-12-2012_8_3'!G856,"AAAAAF/Tf84=")</f>
        <v>#VALUE!</v>
      </c>
      <c r="GZ57" t="e">
        <f>AND('Planilla_General_07-12-2012_8_3'!H856,"AAAAAF/Tf88=")</f>
        <v>#VALUE!</v>
      </c>
      <c r="HA57" t="e">
        <f>AND('Planilla_General_07-12-2012_8_3'!I856,"AAAAAF/Tf9A=")</f>
        <v>#VALUE!</v>
      </c>
      <c r="HB57" t="e">
        <f>AND('Planilla_General_07-12-2012_8_3'!J856,"AAAAAF/Tf9E=")</f>
        <v>#VALUE!</v>
      </c>
      <c r="HC57" t="e">
        <f>AND('Planilla_General_07-12-2012_8_3'!K856,"AAAAAF/Tf9I=")</f>
        <v>#VALUE!</v>
      </c>
      <c r="HD57" t="e">
        <f>AND('Planilla_General_07-12-2012_8_3'!L856,"AAAAAF/Tf9M=")</f>
        <v>#VALUE!</v>
      </c>
      <c r="HE57" t="e">
        <f>AND('Planilla_General_07-12-2012_8_3'!M856,"AAAAAF/Tf9Q=")</f>
        <v>#VALUE!</v>
      </c>
      <c r="HF57" t="e">
        <f>AND('Planilla_General_07-12-2012_8_3'!N856,"AAAAAF/Tf9U=")</f>
        <v>#VALUE!</v>
      </c>
      <c r="HG57" t="e">
        <f>AND('Planilla_General_07-12-2012_8_3'!O856,"AAAAAF/Tf9Y=")</f>
        <v>#VALUE!</v>
      </c>
      <c r="HH57" t="e">
        <f>AND('Planilla_General_07-12-2012_8_3'!P856,"AAAAAF/Tf9c=")</f>
        <v>#VALUE!</v>
      </c>
      <c r="HI57">
        <f>IF('Planilla_General_07-12-2012_8_3'!857:857,"AAAAAF/Tf9g=",0)</f>
        <v>0</v>
      </c>
      <c r="HJ57" t="e">
        <f>AND('Planilla_General_07-12-2012_8_3'!A857,"AAAAAF/Tf9k=")</f>
        <v>#VALUE!</v>
      </c>
      <c r="HK57" t="e">
        <f>AND('Planilla_General_07-12-2012_8_3'!B857,"AAAAAF/Tf9o=")</f>
        <v>#VALUE!</v>
      </c>
      <c r="HL57" t="e">
        <f>AND('Planilla_General_07-12-2012_8_3'!C857,"AAAAAF/Tf9s=")</f>
        <v>#VALUE!</v>
      </c>
      <c r="HM57" t="e">
        <f>AND('Planilla_General_07-12-2012_8_3'!D857,"AAAAAF/Tf9w=")</f>
        <v>#VALUE!</v>
      </c>
      <c r="HN57" t="e">
        <f>AND('Planilla_General_07-12-2012_8_3'!E857,"AAAAAF/Tf90=")</f>
        <v>#VALUE!</v>
      </c>
      <c r="HO57" t="e">
        <f>AND('Planilla_General_07-12-2012_8_3'!F857,"AAAAAF/Tf94=")</f>
        <v>#VALUE!</v>
      </c>
      <c r="HP57" t="e">
        <f>AND('Planilla_General_07-12-2012_8_3'!G857,"AAAAAF/Tf98=")</f>
        <v>#VALUE!</v>
      </c>
      <c r="HQ57" t="e">
        <f>AND('Planilla_General_07-12-2012_8_3'!H857,"AAAAAF/Tf+A=")</f>
        <v>#VALUE!</v>
      </c>
      <c r="HR57" t="e">
        <f>AND('Planilla_General_07-12-2012_8_3'!I857,"AAAAAF/Tf+E=")</f>
        <v>#VALUE!</v>
      </c>
      <c r="HS57" t="e">
        <f>AND('Planilla_General_07-12-2012_8_3'!J857,"AAAAAF/Tf+I=")</f>
        <v>#VALUE!</v>
      </c>
      <c r="HT57" t="e">
        <f>AND('Planilla_General_07-12-2012_8_3'!K857,"AAAAAF/Tf+M=")</f>
        <v>#VALUE!</v>
      </c>
      <c r="HU57" t="e">
        <f>AND('Planilla_General_07-12-2012_8_3'!L857,"AAAAAF/Tf+Q=")</f>
        <v>#VALUE!</v>
      </c>
      <c r="HV57" t="e">
        <f>AND('Planilla_General_07-12-2012_8_3'!M857,"AAAAAF/Tf+U=")</f>
        <v>#VALUE!</v>
      </c>
      <c r="HW57" t="e">
        <f>AND('Planilla_General_07-12-2012_8_3'!N857,"AAAAAF/Tf+Y=")</f>
        <v>#VALUE!</v>
      </c>
      <c r="HX57" t="e">
        <f>AND('Planilla_General_07-12-2012_8_3'!O857,"AAAAAF/Tf+c=")</f>
        <v>#VALUE!</v>
      </c>
      <c r="HY57" t="e">
        <f>AND('Planilla_General_07-12-2012_8_3'!P857,"AAAAAF/Tf+g=")</f>
        <v>#VALUE!</v>
      </c>
      <c r="HZ57">
        <f>IF('Planilla_General_07-12-2012_8_3'!858:858,"AAAAAF/Tf+k=",0)</f>
        <v>0</v>
      </c>
      <c r="IA57" t="e">
        <f>AND('Planilla_General_07-12-2012_8_3'!A858,"AAAAAF/Tf+o=")</f>
        <v>#VALUE!</v>
      </c>
      <c r="IB57" t="e">
        <f>AND('Planilla_General_07-12-2012_8_3'!B858,"AAAAAF/Tf+s=")</f>
        <v>#VALUE!</v>
      </c>
      <c r="IC57" t="e">
        <f>AND('Planilla_General_07-12-2012_8_3'!C858,"AAAAAF/Tf+w=")</f>
        <v>#VALUE!</v>
      </c>
      <c r="ID57" t="e">
        <f>AND('Planilla_General_07-12-2012_8_3'!D858,"AAAAAF/Tf+0=")</f>
        <v>#VALUE!</v>
      </c>
      <c r="IE57" t="e">
        <f>AND('Planilla_General_07-12-2012_8_3'!E858,"AAAAAF/Tf+4=")</f>
        <v>#VALUE!</v>
      </c>
      <c r="IF57" t="e">
        <f>AND('Planilla_General_07-12-2012_8_3'!F858,"AAAAAF/Tf+8=")</f>
        <v>#VALUE!</v>
      </c>
      <c r="IG57" t="e">
        <f>AND('Planilla_General_07-12-2012_8_3'!G858,"AAAAAF/Tf/A=")</f>
        <v>#VALUE!</v>
      </c>
      <c r="IH57" t="e">
        <f>AND('Planilla_General_07-12-2012_8_3'!H858,"AAAAAF/Tf/E=")</f>
        <v>#VALUE!</v>
      </c>
      <c r="II57" t="e">
        <f>AND('Planilla_General_07-12-2012_8_3'!I858,"AAAAAF/Tf/I=")</f>
        <v>#VALUE!</v>
      </c>
      <c r="IJ57" t="e">
        <f>AND('Planilla_General_07-12-2012_8_3'!J858,"AAAAAF/Tf/M=")</f>
        <v>#VALUE!</v>
      </c>
      <c r="IK57" t="e">
        <f>AND('Planilla_General_07-12-2012_8_3'!K858,"AAAAAF/Tf/Q=")</f>
        <v>#VALUE!</v>
      </c>
      <c r="IL57" t="e">
        <f>AND('Planilla_General_07-12-2012_8_3'!L858,"AAAAAF/Tf/U=")</f>
        <v>#VALUE!</v>
      </c>
      <c r="IM57" t="e">
        <f>AND('Planilla_General_07-12-2012_8_3'!M858,"AAAAAF/Tf/Y=")</f>
        <v>#VALUE!</v>
      </c>
      <c r="IN57" t="e">
        <f>AND('Planilla_General_07-12-2012_8_3'!N858,"AAAAAF/Tf/c=")</f>
        <v>#VALUE!</v>
      </c>
      <c r="IO57" t="e">
        <f>AND('Planilla_General_07-12-2012_8_3'!O858,"AAAAAF/Tf/g=")</f>
        <v>#VALUE!</v>
      </c>
      <c r="IP57" t="e">
        <f>AND('Planilla_General_07-12-2012_8_3'!P858,"AAAAAF/Tf/k=")</f>
        <v>#VALUE!</v>
      </c>
      <c r="IQ57">
        <f>IF('Planilla_General_07-12-2012_8_3'!859:859,"AAAAAF/Tf/o=",0)</f>
        <v>0</v>
      </c>
      <c r="IR57" t="e">
        <f>AND('Planilla_General_07-12-2012_8_3'!A859,"AAAAAF/Tf/s=")</f>
        <v>#VALUE!</v>
      </c>
      <c r="IS57" t="e">
        <f>AND('Planilla_General_07-12-2012_8_3'!B859,"AAAAAF/Tf/w=")</f>
        <v>#VALUE!</v>
      </c>
      <c r="IT57" t="e">
        <f>AND('Planilla_General_07-12-2012_8_3'!C859,"AAAAAF/Tf/0=")</f>
        <v>#VALUE!</v>
      </c>
      <c r="IU57" t="e">
        <f>AND('Planilla_General_07-12-2012_8_3'!D859,"AAAAAF/Tf/4=")</f>
        <v>#VALUE!</v>
      </c>
      <c r="IV57" t="e">
        <f>AND('Planilla_General_07-12-2012_8_3'!E859,"AAAAAF/Tf/8=")</f>
        <v>#VALUE!</v>
      </c>
    </row>
    <row r="58" spans="1:256" x14ac:dyDescent="0.25">
      <c r="A58" t="e">
        <f>AND('Planilla_General_07-12-2012_8_3'!F859,"AAAAAE3/+wA=")</f>
        <v>#VALUE!</v>
      </c>
      <c r="B58" t="e">
        <f>AND('Planilla_General_07-12-2012_8_3'!G859,"AAAAAE3/+wE=")</f>
        <v>#VALUE!</v>
      </c>
      <c r="C58" t="e">
        <f>AND('Planilla_General_07-12-2012_8_3'!H859,"AAAAAE3/+wI=")</f>
        <v>#VALUE!</v>
      </c>
      <c r="D58" t="e">
        <f>AND('Planilla_General_07-12-2012_8_3'!I859,"AAAAAE3/+wM=")</f>
        <v>#VALUE!</v>
      </c>
      <c r="E58" t="e">
        <f>AND('Planilla_General_07-12-2012_8_3'!J859,"AAAAAE3/+wQ=")</f>
        <v>#VALUE!</v>
      </c>
      <c r="F58" t="e">
        <f>AND('Planilla_General_07-12-2012_8_3'!K859,"AAAAAE3/+wU=")</f>
        <v>#VALUE!</v>
      </c>
      <c r="G58" t="e">
        <f>AND('Planilla_General_07-12-2012_8_3'!L859,"AAAAAE3/+wY=")</f>
        <v>#VALUE!</v>
      </c>
      <c r="H58" t="e">
        <f>AND('Planilla_General_07-12-2012_8_3'!M859,"AAAAAE3/+wc=")</f>
        <v>#VALUE!</v>
      </c>
      <c r="I58" t="e">
        <f>AND('Planilla_General_07-12-2012_8_3'!N859,"AAAAAE3/+wg=")</f>
        <v>#VALUE!</v>
      </c>
      <c r="J58" t="e">
        <f>AND('Planilla_General_07-12-2012_8_3'!O859,"AAAAAE3/+wk=")</f>
        <v>#VALUE!</v>
      </c>
      <c r="K58" t="e">
        <f>AND('Planilla_General_07-12-2012_8_3'!P859,"AAAAAE3/+wo=")</f>
        <v>#VALUE!</v>
      </c>
      <c r="L58" t="str">
        <f>IF('Planilla_General_07-12-2012_8_3'!860:860,"AAAAAE3/+ws=",0)</f>
        <v>AAAAAE3/+ws=</v>
      </c>
      <c r="M58" t="e">
        <f>AND('Planilla_General_07-12-2012_8_3'!A860,"AAAAAE3/+ww=")</f>
        <v>#VALUE!</v>
      </c>
      <c r="N58" t="e">
        <f>AND('Planilla_General_07-12-2012_8_3'!B860,"AAAAAE3/+w0=")</f>
        <v>#VALUE!</v>
      </c>
      <c r="O58" t="e">
        <f>AND('Planilla_General_07-12-2012_8_3'!C860,"AAAAAE3/+w4=")</f>
        <v>#VALUE!</v>
      </c>
      <c r="P58" t="e">
        <f>AND('Planilla_General_07-12-2012_8_3'!D860,"AAAAAE3/+w8=")</f>
        <v>#VALUE!</v>
      </c>
      <c r="Q58" t="e">
        <f>AND('Planilla_General_07-12-2012_8_3'!E860,"AAAAAE3/+xA=")</f>
        <v>#VALUE!</v>
      </c>
      <c r="R58" t="e">
        <f>AND('Planilla_General_07-12-2012_8_3'!F860,"AAAAAE3/+xE=")</f>
        <v>#VALUE!</v>
      </c>
      <c r="S58" t="e">
        <f>AND('Planilla_General_07-12-2012_8_3'!G860,"AAAAAE3/+xI=")</f>
        <v>#VALUE!</v>
      </c>
      <c r="T58" t="e">
        <f>AND('Planilla_General_07-12-2012_8_3'!H860,"AAAAAE3/+xM=")</f>
        <v>#VALUE!</v>
      </c>
      <c r="U58" t="e">
        <f>AND('Planilla_General_07-12-2012_8_3'!I860,"AAAAAE3/+xQ=")</f>
        <v>#VALUE!</v>
      </c>
      <c r="V58" t="e">
        <f>AND('Planilla_General_07-12-2012_8_3'!J860,"AAAAAE3/+xU=")</f>
        <v>#VALUE!</v>
      </c>
      <c r="W58" t="e">
        <f>AND('Planilla_General_07-12-2012_8_3'!K860,"AAAAAE3/+xY=")</f>
        <v>#VALUE!</v>
      </c>
      <c r="X58" t="e">
        <f>AND('Planilla_General_07-12-2012_8_3'!L860,"AAAAAE3/+xc=")</f>
        <v>#VALUE!</v>
      </c>
      <c r="Y58" t="e">
        <f>AND('Planilla_General_07-12-2012_8_3'!M860,"AAAAAE3/+xg=")</f>
        <v>#VALUE!</v>
      </c>
      <c r="Z58" t="e">
        <f>AND('Planilla_General_07-12-2012_8_3'!N860,"AAAAAE3/+xk=")</f>
        <v>#VALUE!</v>
      </c>
      <c r="AA58" t="e">
        <f>AND('Planilla_General_07-12-2012_8_3'!O860,"AAAAAE3/+xo=")</f>
        <v>#VALUE!</v>
      </c>
      <c r="AB58" t="e">
        <f>AND('Planilla_General_07-12-2012_8_3'!P860,"AAAAAE3/+xs=")</f>
        <v>#VALUE!</v>
      </c>
      <c r="AC58">
        <f>IF('Planilla_General_07-12-2012_8_3'!861:861,"AAAAAE3/+xw=",0)</f>
        <v>0</v>
      </c>
      <c r="AD58" t="e">
        <f>AND('Planilla_General_07-12-2012_8_3'!A861,"AAAAAE3/+x0=")</f>
        <v>#VALUE!</v>
      </c>
      <c r="AE58" t="e">
        <f>AND('Planilla_General_07-12-2012_8_3'!B861,"AAAAAE3/+x4=")</f>
        <v>#VALUE!</v>
      </c>
      <c r="AF58" t="e">
        <f>AND('Planilla_General_07-12-2012_8_3'!C861,"AAAAAE3/+x8=")</f>
        <v>#VALUE!</v>
      </c>
      <c r="AG58" t="e">
        <f>AND('Planilla_General_07-12-2012_8_3'!D861,"AAAAAE3/+yA=")</f>
        <v>#VALUE!</v>
      </c>
      <c r="AH58" t="e">
        <f>AND('Planilla_General_07-12-2012_8_3'!E861,"AAAAAE3/+yE=")</f>
        <v>#VALUE!</v>
      </c>
      <c r="AI58" t="e">
        <f>AND('Planilla_General_07-12-2012_8_3'!F861,"AAAAAE3/+yI=")</f>
        <v>#VALUE!</v>
      </c>
      <c r="AJ58" t="e">
        <f>AND('Planilla_General_07-12-2012_8_3'!G861,"AAAAAE3/+yM=")</f>
        <v>#VALUE!</v>
      </c>
      <c r="AK58" t="e">
        <f>AND('Planilla_General_07-12-2012_8_3'!H861,"AAAAAE3/+yQ=")</f>
        <v>#VALUE!</v>
      </c>
      <c r="AL58" t="e">
        <f>AND('Planilla_General_07-12-2012_8_3'!I861,"AAAAAE3/+yU=")</f>
        <v>#VALUE!</v>
      </c>
      <c r="AM58" t="e">
        <f>AND('Planilla_General_07-12-2012_8_3'!J861,"AAAAAE3/+yY=")</f>
        <v>#VALUE!</v>
      </c>
      <c r="AN58" t="e">
        <f>AND('Planilla_General_07-12-2012_8_3'!K861,"AAAAAE3/+yc=")</f>
        <v>#VALUE!</v>
      </c>
      <c r="AO58" t="e">
        <f>AND('Planilla_General_07-12-2012_8_3'!L861,"AAAAAE3/+yg=")</f>
        <v>#VALUE!</v>
      </c>
      <c r="AP58" t="e">
        <f>AND('Planilla_General_07-12-2012_8_3'!M861,"AAAAAE3/+yk=")</f>
        <v>#VALUE!</v>
      </c>
      <c r="AQ58" t="e">
        <f>AND('Planilla_General_07-12-2012_8_3'!N861,"AAAAAE3/+yo=")</f>
        <v>#VALUE!</v>
      </c>
      <c r="AR58" t="e">
        <f>AND('Planilla_General_07-12-2012_8_3'!O861,"AAAAAE3/+ys=")</f>
        <v>#VALUE!</v>
      </c>
      <c r="AS58" t="e">
        <f>AND('Planilla_General_07-12-2012_8_3'!P861,"AAAAAE3/+yw=")</f>
        <v>#VALUE!</v>
      </c>
      <c r="AT58">
        <f>IF('Planilla_General_07-12-2012_8_3'!862:862,"AAAAAE3/+y0=",0)</f>
        <v>0</v>
      </c>
      <c r="AU58" t="e">
        <f>AND('Planilla_General_07-12-2012_8_3'!A862,"AAAAAE3/+y4=")</f>
        <v>#VALUE!</v>
      </c>
      <c r="AV58" t="e">
        <f>AND('Planilla_General_07-12-2012_8_3'!B862,"AAAAAE3/+y8=")</f>
        <v>#VALUE!</v>
      </c>
      <c r="AW58" t="e">
        <f>AND('Planilla_General_07-12-2012_8_3'!C862,"AAAAAE3/+zA=")</f>
        <v>#VALUE!</v>
      </c>
      <c r="AX58" t="e">
        <f>AND('Planilla_General_07-12-2012_8_3'!D862,"AAAAAE3/+zE=")</f>
        <v>#VALUE!</v>
      </c>
      <c r="AY58" t="e">
        <f>AND('Planilla_General_07-12-2012_8_3'!E862,"AAAAAE3/+zI=")</f>
        <v>#VALUE!</v>
      </c>
      <c r="AZ58" t="e">
        <f>AND('Planilla_General_07-12-2012_8_3'!F862,"AAAAAE3/+zM=")</f>
        <v>#VALUE!</v>
      </c>
      <c r="BA58" t="e">
        <f>AND('Planilla_General_07-12-2012_8_3'!G862,"AAAAAE3/+zQ=")</f>
        <v>#VALUE!</v>
      </c>
      <c r="BB58" t="e">
        <f>AND('Planilla_General_07-12-2012_8_3'!H862,"AAAAAE3/+zU=")</f>
        <v>#VALUE!</v>
      </c>
      <c r="BC58" t="e">
        <f>AND('Planilla_General_07-12-2012_8_3'!I862,"AAAAAE3/+zY=")</f>
        <v>#VALUE!</v>
      </c>
      <c r="BD58" t="e">
        <f>AND('Planilla_General_07-12-2012_8_3'!J862,"AAAAAE3/+zc=")</f>
        <v>#VALUE!</v>
      </c>
      <c r="BE58" t="e">
        <f>AND('Planilla_General_07-12-2012_8_3'!K862,"AAAAAE3/+zg=")</f>
        <v>#VALUE!</v>
      </c>
      <c r="BF58" t="e">
        <f>AND('Planilla_General_07-12-2012_8_3'!L862,"AAAAAE3/+zk=")</f>
        <v>#VALUE!</v>
      </c>
      <c r="BG58" t="e">
        <f>AND('Planilla_General_07-12-2012_8_3'!M862,"AAAAAE3/+zo=")</f>
        <v>#VALUE!</v>
      </c>
      <c r="BH58" t="e">
        <f>AND('Planilla_General_07-12-2012_8_3'!N862,"AAAAAE3/+zs=")</f>
        <v>#VALUE!</v>
      </c>
      <c r="BI58" t="e">
        <f>AND('Planilla_General_07-12-2012_8_3'!O862,"AAAAAE3/+zw=")</f>
        <v>#VALUE!</v>
      </c>
      <c r="BJ58" t="e">
        <f>AND('Planilla_General_07-12-2012_8_3'!P862,"AAAAAE3/+z0=")</f>
        <v>#VALUE!</v>
      </c>
      <c r="BK58">
        <f>IF('Planilla_General_07-12-2012_8_3'!863:863,"AAAAAE3/+z4=",0)</f>
        <v>0</v>
      </c>
      <c r="BL58" t="e">
        <f>AND('Planilla_General_07-12-2012_8_3'!A863,"AAAAAE3/+z8=")</f>
        <v>#VALUE!</v>
      </c>
      <c r="BM58" t="e">
        <f>AND('Planilla_General_07-12-2012_8_3'!B863,"AAAAAE3/+0A=")</f>
        <v>#VALUE!</v>
      </c>
      <c r="BN58" t="e">
        <f>AND('Planilla_General_07-12-2012_8_3'!C863,"AAAAAE3/+0E=")</f>
        <v>#VALUE!</v>
      </c>
      <c r="BO58" t="e">
        <f>AND('Planilla_General_07-12-2012_8_3'!D863,"AAAAAE3/+0I=")</f>
        <v>#VALUE!</v>
      </c>
      <c r="BP58" t="e">
        <f>AND('Planilla_General_07-12-2012_8_3'!E863,"AAAAAE3/+0M=")</f>
        <v>#VALUE!</v>
      </c>
      <c r="BQ58" t="e">
        <f>AND('Planilla_General_07-12-2012_8_3'!F863,"AAAAAE3/+0Q=")</f>
        <v>#VALUE!</v>
      </c>
      <c r="BR58" t="e">
        <f>AND('Planilla_General_07-12-2012_8_3'!G863,"AAAAAE3/+0U=")</f>
        <v>#VALUE!</v>
      </c>
      <c r="BS58" t="e">
        <f>AND('Planilla_General_07-12-2012_8_3'!H863,"AAAAAE3/+0Y=")</f>
        <v>#VALUE!</v>
      </c>
      <c r="BT58" t="e">
        <f>AND('Planilla_General_07-12-2012_8_3'!I863,"AAAAAE3/+0c=")</f>
        <v>#VALUE!</v>
      </c>
      <c r="BU58" t="e">
        <f>AND('Planilla_General_07-12-2012_8_3'!J863,"AAAAAE3/+0g=")</f>
        <v>#VALUE!</v>
      </c>
      <c r="BV58" t="e">
        <f>AND('Planilla_General_07-12-2012_8_3'!K863,"AAAAAE3/+0k=")</f>
        <v>#VALUE!</v>
      </c>
      <c r="BW58" t="e">
        <f>AND('Planilla_General_07-12-2012_8_3'!L863,"AAAAAE3/+0o=")</f>
        <v>#VALUE!</v>
      </c>
      <c r="BX58" t="e">
        <f>AND('Planilla_General_07-12-2012_8_3'!M863,"AAAAAE3/+0s=")</f>
        <v>#VALUE!</v>
      </c>
      <c r="BY58" t="e">
        <f>AND('Planilla_General_07-12-2012_8_3'!N863,"AAAAAE3/+0w=")</f>
        <v>#VALUE!</v>
      </c>
      <c r="BZ58" t="e">
        <f>AND('Planilla_General_07-12-2012_8_3'!O863,"AAAAAE3/+00=")</f>
        <v>#VALUE!</v>
      </c>
      <c r="CA58" t="e">
        <f>AND('Planilla_General_07-12-2012_8_3'!P863,"AAAAAE3/+04=")</f>
        <v>#VALUE!</v>
      </c>
      <c r="CB58">
        <f>IF('Planilla_General_07-12-2012_8_3'!864:864,"AAAAAE3/+08=",0)</f>
        <v>0</v>
      </c>
      <c r="CC58" t="e">
        <f>AND('Planilla_General_07-12-2012_8_3'!A864,"AAAAAE3/+1A=")</f>
        <v>#VALUE!</v>
      </c>
      <c r="CD58" t="e">
        <f>AND('Planilla_General_07-12-2012_8_3'!B864,"AAAAAE3/+1E=")</f>
        <v>#VALUE!</v>
      </c>
      <c r="CE58" t="e">
        <f>AND('Planilla_General_07-12-2012_8_3'!C864,"AAAAAE3/+1I=")</f>
        <v>#VALUE!</v>
      </c>
      <c r="CF58" t="e">
        <f>AND('Planilla_General_07-12-2012_8_3'!D864,"AAAAAE3/+1M=")</f>
        <v>#VALUE!</v>
      </c>
      <c r="CG58" t="e">
        <f>AND('Planilla_General_07-12-2012_8_3'!E864,"AAAAAE3/+1Q=")</f>
        <v>#VALUE!</v>
      </c>
      <c r="CH58" t="e">
        <f>AND('Planilla_General_07-12-2012_8_3'!F864,"AAAAAE3/+1U=")</f>
        <v>#VALUE!</v>
      </c>
      <c r="CI58" t="e">
        <f>AND('Planilla_General_07-12-2012_8_3'!G864,"AAAAAE3/+1Y=")</f>
        <v>#VALUE!</v>
      </c>
      <c r="CJ58" t="e">
        <f>AND('Planilla_General_07-12-2012_8_3'!H864,"AAAAAE3/+1c=")</f>
        <v>#VALUE!</v>
      </c>
      <c r="CK58" t="e">
        <f>AND('Planilla_General_07-12-2012_8_3'!I864,"AAAAAE3/+1g=")</f>
        <v>#VALUE!</v>
      </c>
      <c r="CL58" t="e">
        <f>AND('Planilla_General_07-12-2012_8_3'!J864,"AAAAAE3/+1k=")</f>
        <v>#VALUE!</v>
      </c>
      <c r="CM58" t="e">
        <f>AND('Planilla_General_07-12-2012_8_3'!K864,"AAAAAE3/+1o=")</f>
        <v>#VALUE!</v>
      </c>
      <c r="CN58" t="e">
        <f>AND('Planilla_General_07-12-2012_8_3'!L864,"AAAAAE3/+1s=")</f>
        <v>#VALUE!</v>
      </c>
      <c r="CO58" t="e">
        <f>AND('Planilla_General_07-12-2012_8_3'!M864,"AAAAAE3/+1w=")</f>
        <v>#VALUE!</v>
      </c>
      <c r="CP58" t="e">
        <f>AND('Planilla_General_07-12-2012_8_3'!N864,"AAAAAE3/+10=")</f>
        <v>#VALUE!</v>
      </c>
      <c r="CQ58" t="e">
        <f>AND('Planilla_General_07-12-2012_8_3'!O864,"AAAAAE3/+14=")</f>
        <v>#VALUE!</v>
      </c>
      <c r="CR58" t="e">
        <f>AND('Planilla_General_07-12-2012_8_3'!P864,"AAAAAE3/+18=")</f>
        <v>#VALUE!</v>
      </c>
      <c r="CS58">
        <f>IF('Planilla_General_07-12-2012_8_3'!865:865,"AAAAAE3/+2A=",0)</f>
        <v>0</v>
      </c>
      <c r="CT58" t="e">
        <f>AND('Planilla_General_07-12-2012_8_3'!A865,"AAAAAE3/+2E=")</f>
        <v>#VALUE!</v>
      </c>
      <c r="CU58" t="e">
        <f>AND('Planilla_General_07-12-2012_8_3'!B865,"AAAAAE3/+2I=")</f>
        <v>#VALUE!</v>
      </c>
      <c r="CV58" t="e">
        <f>AND('Planilla_General_07-12-2012_8_3'!C865,"AAAAAE3/+2M=")</f>
        <v>#VALUE!</v>
      </c>
      <c r="CW58" t="e">
        <f>AND('Planilla_General_07-12-2012_8_3'!D865,"AAAAAE3/+2Q=")</f>
        <v>#VALUE!</v>
      </c>
      <c r="CX58" t="e">
        <f>AND('Planilla_General_07-12-2012_8_3'!E865,"AAAAAE3/+2U=")</f>
        <v>#VALUE!</v>
      </c>
      <c r="CY58" t="e">
        <f>AND('Planilla_General_07-12-2012_8_3'!F865,"AAAAAE3/+2Y=")</f>
        <v>#VALUE!</v>
      </c>
      <c r="CZ58" t="e">
        <f>AND('Planilla_General_07-12-2012_8_3'!G865,"AAAAAE3/+2c=")</f>
        <v>#VALUE!</v>
      </c>
      <c r="DA58" t="e">
        <f>AND('Planilla_General_07-12-2012_8_3'!H865,"AAAAAE3/+2g=")</f>
        <v>#VALUE!</v>
      </c>
      <c r="DB58" t="e">
        <f>AND('Planilla_General_07-12-2012_8_3'!I865,"AAAAAE3/+2k=")</f>
        <v>#VALUE!</v>
      </c>
      <c r="DC58" t="e">
        <f>AND('Planilla_General_07-12-2012_8_3'!J865,"AAAAAE3/+2o=")</f>
        <v>#VALUE!</v>
      </c>
      <c r="DD58" t="e">
        <f>AND('Planilla_General_07-12-2012_8_3'!K865,"AAAAAE3/+2s=")</f>
        <v>#VALUE!</v>
      </c>
      <c r="DE58" t="e">
        <f>AND('Planilla_General_07-12-2012_8_3'!L865,"AAAAAE3/+2w=")</f>
        <v>#VALUE!</v>
      </c>
      <c r="DF58" t="e">
        <f>AND('Planilla_General_07-12-2012_8_3'!M865,"AAAAAE3/+20=")</f>
        <v>#VALUE!</v>
      </c>
      <c r="DG58" t="e">
        <f>AND('Planilla_General_07-12-2012_8_3'!N865,"AAAAAE3/+24=")</f>
        <v>#VALUE!</v>
      </c>
      <c r="DH58" t="e">
        <f>AND('Planilla_General_07-12-2012_8_3'!O865,"AAAAAE3/+28=")</f>
        <v>#VALUE!</v>
      </c>
      <c r="DI58" t="e">
        <f>AND('Planilla_General_07-12-2012_8_3'!P865,"AAAAAE3/+3A=")</f>
        <v>#VALUE!</v>
      </c>
      <c r="DJ58">
        <f>IF('Planilla_General_07-12-2012_8_3'!866:866,"AAAAAE3/+3E=",0)</f>
        <v>0</v>
      </c>
      <c r="DK58" t="e">
        <f>AND('Planilla_General_07-12-2012_8_3'!A866,"AAAAAE3/+3I=")</f>
        <v>#VALUE!</v>
      </c>
      <c r="DL58" t="e">
        <f>AND('Planilla_General_07-12-2012_8_3'!B866,"AAAAAE3/+3M=")</f>
        <v>#VALUE!</v>
      </c>
      <c r="DM58" t="e">
        <f>AND('Planilla_General_07-12-2012_8_3'!C866,"AAAAAE3/+3Q=")</f>
        <v>#VALUE!</v>
      </c>
      <c r="DN58" t="e">
        <f>AND('Planilla_General_07-12-2012_8_3'!D866,"AAAAAE3/+3U=")</f>
        <v>#VALUE!</v>
      </c>
      <c r="DO58" t="e">
        <f>AND('Planilla_General_07-12-2012_8_3'!E866,"AAAAAE3/+3Y=")</f>
        <v>#VALUE!</v>
      </c>
      <c r="DP58" t="e">
        <f>AND('Planilla_General_07-12-2012_8_3'!F866,"AAAAAE3/+3c=")</f>
        <v>#VALUE!</v>
      </c>
      <c r="DQ58" t="e">
        <f>AND('Planilla_General_07-12-2012_8_3'!G866,"AAAAAE3/+3g=")</f>
        <v>#VALUE!</v>
      </c>
      <c r="DR58" t="e">
        <f>AND('Planilla_General_07-12-2012_8_3'!H866,"AAAAAE3/+3k=")</f>
        <v>#VALUE!</v>
      </c>
      <c r="DS58" t="e">
        <f>AND('Planilla_General_07-12-2012_8_3'!I866,"AAAAAE3/+3o=")</f>
        <v>#VALUE!</v>
      </c>
      <c r="DT58" t="e">
        <f>AND('Planilla_General_07-12-2012_8_3'!J866,"AAAAAE3/+3s=")</f>
        <v>#VALUE!</v>
      </c>
      <c r="DU58" t="e">
        <f>AND('Planilla_General_07-12-2012_8_3'!K866,"AAAAAE3/+3w=")</f>
        <v>#VALUE!</v>
      </c>
      <c r="DV58" t="e">
        <f>AND('Planilla_General_07-12-2012_8_3'!L866,"AAAAAE3/+30=")</f>
        <v>#VALUE!</v>
      </c>
      <c r="DW58" t="e">
        <f>AND('Planilla_General_07-12-2012_8_3'!M866,"AAAAAE3/+34=")</f>
        <v>#VALUE!</v>
      </c>
      <c r="DX58" t="e">
        <f>AND('Planilla_General_07-12-2012_8_3'!N866,"AAAAAE3/+38=")</f>
        <v>#VALUE!</v>
      </c>
      <c r="DY58" t="e">
        <f>AND('Planilla_General_07-12-2012_8_3'!O866,"AAAAAE3/+4A=")</f>
        <v>#VALUE!</v>
      </c>
      <c r="DZ58" t="e">
        <f>AND('Planilla_General_07-12-2012_8_3'!P866,"AAAAAE3/+4E=")</f>
        <v>#VALUE!</v>
      </c>
      <c r="EA58">
        <f>IF('Planilla_General_07-12-2012_8_3'!867:867,"AAAAAE3/+4I=",0)</f>
        <v>0</v>
      </c>
      <c r="EB58" t="e">
        <f>AND('Planilla_General_07-12-2012_8_3'!A867,"AAAAAE3/+4M=")</f>
        <v>#VALUE!</v>
      </c>
      <c r="EC58" t="e">
        <f>AND('Planilla_General_07-12-2012_8_3'!B867,"AAAAAE3/+4Q=")</f>
        <v>#VALUE!</v>
      </c>
      <c r="ED58" t="e">
        <f>AND('Planilla_General_07-12-2012_8_3'!C867,"AAAAAE3/+4U=")</f>
        <v>#VALUE!</v>
      </c>
      <c r="EE58" t="e">
        <f>AND('Planilla_General_07-12-2012_8_3'!D867,"AAAAAE3/+4Y=")</f>
        <v>#VALUE!</v>
      </c>
      <c r="EF58" t="e">
        <f>AND('Planilla_General_07-12-2012_8_3'!E867,"AAAAAE3/+4c=")</f>
        <v>#VALUE!</v>
      </c>
      <c r="EG58" t="e">
        <f>AND('Planilla_General_07-12-2012_8_3'!F867,"AAAAAE3/+4g=")</f>
        <v>#VALUE!</v>
      </c>
      <c r="EH58" t="e">
        <f>AND('Planilla_General_07-12-2012_8_3'!G867,"AAAAAE3/+4k=")</f>
        <v>#VALUE!</v>
      </c>
      <c r="EI58" t="e">
        <f>AND('Planilla_General_07-12-2012_8_3'!H867,"AAAAAE3/+4o=")</f>
        <v>#VALUE!</v>
      </c>
      <c r="EJ58" t="e">
        <f>AND('Planilla_General_07-12-2012_8_3'!I867,"AAAAAE3/+4s=")</f>
        <v>#VALUE!</v>
      </c>
      <c r="EK58" t="e">
        <f>AND('Planilla_General_07-12-2012_8_3'!J867,"AAAAAE3/+4w=")</f>
        <v>#VALUE!</v>
      </c>
      <c r="EL58" t="e">
        <f>AND('Planilla_General_07-12-2012_8_3'!K867,"AAAAAE3/+40=")</f>
        <v>#VALUE!</v>
      </c>
      <c r="EM58" t="e">
        <f>AND('Planilla_General_07-12-2012_8_3'!L867,"AAAAAE3/+44=")</f>
        <v>#VALUE!</v>
      </c>
      <c r="EN58" t="e">
        <f>AND('Planilla_General_07-12-2012_8_3'!M867,"AAAAAE3/+48=")</f>
        <v>#VALUE!</v>
      </c>
      <c r="EO58" t="e">
        <f>AND('Planilla_General_07-12-2012_8_3'!N867,"AAAAAE3/+5A=")</f>
        <v>#VALUE!</v>
      </c>
      <c r="EP58" t="e">
        <f>AND('Planilla_General_07-12-2012_8_3'!O867,"AAAAAE3/+5E=")</f>
        <v>#VALUE!</v>
      </c>
      <c r="EQ58" t="e">
        <f>AND('Planilla_General_07-12-2012_8_3'!P867,"AAAAAE3/+5I=")</f>
        <v>#VALUE!</v>
      </c>
      <c r="ER58">
        <f>IF('Planilla_General_07-12-2012_8_3'!868:868,"AAAAAE3/+5M=",0)</f>
        <v>0</v>
      </c>
      <c r="ES58" t="e">
        <f>AND('Planilla_General_07-12-2012_8_3'!A868,"AAAAAE3/+5Q=")</f>
        <v>#VALUE!</v>
      </c>
      <c r="ET58" t="e">
        <f>AND('Planilla_General_07-12-2012_8_3'!B868,"AAAAAE3/+5U=")</f>
        <v>#VALUE!</v>
      </c>
      <c r="EU58" t="e">
        <f>AND('Planilla_General_07-12-2012_8_3'!C868,"AAAAAE3/+5Y=")</f>
        <v>#VALUE!</v>
      </c>
      <c r="EV58" t="e">
        <f>AND('Planilla_General_07-12-2012_8_3'!D868,"AAAAAE3/+5c=")</f>
        <v>#VALUE!</v>
      </c>
      <c r="EW58" t="e">
        <f>AND('Planilla_General_07-12-2012_8_3'!E868,"AAAAAE3/+5g=")</f>
        <v>#VALUE!</v>
      </c>
      <c r="EX58" t="e">
        <f>AND('Planilla_General_07-12-2012_8_3'!F868,"AAAAAE3/+5k=")</f>
        <v>#VALUE!</v>
      </c>
      <c r="EY58" t="e">
        <f>AND('Planilla_General_07-12-2012_8_3'!G868,"AAAAAE3/+5o=")</f>
        <v>#VALUE!</v>
      </c>
      <c r="EZ58" t="e">
        <f>AND('Planilla_General_07-12-2012_8_3'!H868,"AAAAAE3/+5s=")</f>
        <v>#VALUE!</v>
      </c>
      <c r="FA58" t="e">
        <f>AND('Planilla_General_07-12-2012_8_3'!I868,"AAAAAE3/+5w=")</f>
        <v>#VALUE!</v>
      </c>
      <c r="FB58" t="e">
        <f>AND('Planilla_General_07-12-2012_8_3'!J868,"AAAAAE3/+50=")</f>
        <v>#VALUE!</v>
      </c>
      <c r="FC58" t="e">
        <f>AND('Planilla_General_07-12-2012_8_3'!K868,"AAAAAE3/+54=")</f>
        <v>#VALUE!</v>
      </c>
      <c r="FD58" t="e">
        <f>AND('Planilla_General_07-12-2012_8_3'!L868,"AAAAAE3/+58=")</f>
        <v>#VALUE!</v>
      </c>
      <c r="FE58" t="e">
        <f>AND('Planilla_General_07-12-2012_8_3'!M868,"AAAAAE3/+6A=")</f>
        <v>#VALUE!</v>
      </c>
      <c r="FF58" t="e">
        <f>AND('Planilla_General_07-12-2012_8_3'!N868,"AAAAAE3/+6E=")</f>
        <v>#VALUE!</v>
      </c>
      <c r="FG58" t="e">
        <f>AND('Planilla_General_07-12-2012_8_3'!O868,"AAAAAE3/+6I=")</f>
        <v>#VALUE!</v>
      </c>
      <c r="FH58" t="e">
        <f>AND('Planilla_General_07-12-2012_8_3'!P868,"AAAAAE3/+6M=")</f>
        <v>#VALUE!</v>
      </c>
      <c r="FI58">
        <f>IF('Planilla_General_07-12-2012_8_3'!869:869,"AAAAAE3/+6Q=",0)</f>
        <v>0</v>
      </c>
      <c r="FJ58" t="e">
        <f>AND('Planilla_General_07-12-2012_8_3'!A869,"AAAAAE3/+6U=")</f>
        <v>#VALUE!</v>
      </c>
      <c r="FK58" t="e">
        <f>AND('Planilla_General_07-12-2012_8_3'!B869,"AAAAAE3/+6Y=")</f>
        <v>#VALUE!</v>
      </c>
      <c r="FL58" t="e">
        <f>AND('Planilla_General_07-12-2012_8_3'!C869,"AAAAAE3/+6c=")</f>
        <v>#VALUE!</v>
      </c>
      <c r="FM58" t="e">
        <f>AND('Planilla_General_07-12-2012_8_3'!D869,"AAAAAE3/+6g=")</f>
        <v>#VALUE!</v>
      </c>
      <c r="FN58" t="e">
        <f>AND('Planilla_General_07-12-2012_8_3'!E869,"AAAAAE3/+6k=")</f>
        <v>#VALUE!</v>
      </c>
      <c r="FO58" t="e">
        <f>AND('Planilla_General_07-12-2012_8_3'!F869,"AAAAAE3/+6o=")</f>
        <v>#VALUE!</v>
      </c>
      <c r="FP58" t="e">
        <f>AND('Planilla_General_07-12-2012_8_3'!G869,"AAAAAE3/+6s=")</f>
        <v>#VALUE!</v>
      </c>
      <c r="FQ58" t="e">
        <f>AND('Planilla_General_07-12-2012_8_3'!H869,"AAAAAE3/+6w=")</f>
        <v>#VALUE!</v>
      </c>
      <c r="FR58" t="e">
        <f>AND('Planilla_General_07-12-2012_8_3'!I869,"AAAAAE3/+60=")</f>
        <v>#VALUE!</v>
      </c>
      <c r="FS58" t="e">
        <f>AND('Planilla_General_07-12-2012_8_3'!J869,"AAAAAE3/+64=")</f>
        <v>#VALUE!</v>
      </c>
      <c r="FT58" t="e">
        <f>AND('Planilla_General_07-12-2012_8_3'!K869,"AAAAAE3/+68=")</f>
        <v>#VALUE!</v>
      </c>
      <c r="FU58" t="e">
        <f>AND('Planilla_General_07-12-2012_8_3'!L869,"AAAAAE3/+7A=")</f>
        <v>#VALUE!</v>
      </c>
      <c r="FV58" t="e">
        <f>AND('Planilla_General_07-12-2012_8_3'!M869,"AAAAAE3/+7E=")</f>
        <v>#VALUE!</v>
      </c>
      <c r="FW58" t="e">
        <f>AND('Planilla_General_07-12-2012_8_3'!N869,"AAAAAE3/+7I=")</f>
        <v>#VALUE!</v>
      </c>
      <c r="FX58" t="e">
        <f>AND('Planilla_General_07-12-2012_8_3'!O869,"AAAAAE3/+7M=")</f>
        <v>#VALUE!</v>
      </c>
      <c r="FY58" t="e">
        <f>AND('Planilla_General_07-12-2012_8_3'!P869,"AAAAAE3/+7Q=")</f>
        <v>#VALUE!</v>
      </c>
      <c r="FZ58">
        <f>IF('Planilla_General_07-12-2012_8_3'!870:870,"AAAAAE3/+7U=",0)</f>
        <v>0</v>
      </c>
      <c r="GA58" t="e">
        <f>AND('Planilla_General_07-12-2012_8_3'!A870,"AAAAAE3/+7Y=")</f>
        <v>#VALUE!</v>
      </c>
      <c r="GB58" t="e">
        <f>AND('Planilla_General_07-12-2012_8_3'!B870,"AAAAAE3/+7c=")</f>
        <v>#VALUE!</v>
      </c>
      <c r="GC58" t="e">
        <f>AND('Planilla_General_07-12-2012_8_3'!C870,"AAAAAE3/+7g=")</f>
        <v>#VALUE!</v>
      </c>
      <c r="GD58" t="e">
        <f>AND('Planilla_General_07-12-2012_8_3'!D870,"AAAAAE3/+7k=")</f>
        <v>#VALUE!</v>
      </c>
      <c r="GE58" t="e">
        <f>AND('Planilla_General_07-12-2012_8_3'!E870,"AAAAAE3/+7o=")</f>
        <v>#VALUE!</v>
      </c>
      <c r="GF58" t="e">
        <f>AND('Planilla_General_07-12-2012_8_3'!F870,"AAAAAE3/+7s=")</f>
        <v>#VALUE!</v>
      </c>
      <c r="GG58" t="e">
        <f>AND('Planilla_General_07-12-2012_8_3'!G870,"AAAAAE3/+7w=")</f>
        <v>#VALUE!</v>
      </c>
      <c r="GH58" t="e">
        <f>AND('Planilla_General_07-12-2012_8_3'!H870,"AAAAAE3/+70=")</f>
        <v>#VALUE!</v>
      </c>
      <c r="GI58" t="e">
        <f>AND('Planilla_General_07-12-2012_8_3'!I870,"AAAAAE3/+74=")</f>
        <v>#VALUE!</v>
      </c>
      <c r="GJ58" t="e">
        <f>AND('Planilla_General_07-12-2012_8_3'!J870,"AAAAAE3/+78=")</f>
        <v>#VALUE!</v>
      </c>
      <c r="GK58" t="e">
        <f>AND('Planilla_General_07-12-2012_8_3'!K870,"AAAAAE3/+8A=")</f>
        <v>#VALUE!</v>
      </c>
      <c r="GL58" t="e">
        <f>AND('Planilla_General_07-12-2012_8_3'!L870,"AAAAAE3/+8E=")</f>
        <v>#VALUE!</v>
      </c>
      <c r="GM58" t="e">
        <f>AND('Planilla_General_07-12-2012_8_3'!M870,"AAAAAE3/+8I=")</f>
        <v>#VALUE!</v>
      </c>
      <c r="GN58" t="e">
        <f>AND('Planilla_General_07-12-2012_8_3'!N870,"AAAAAE3/+8M=")</f>
        <v>#VALUE!</v>
      </c>
      <c r="GO58" t="e">
        <f>AND('Planilla_General_07-12-2012_8_3'!O870,"AAAAAE3/+8Q=")</f>
        <v>#VALUE!</v>
      </c>
      <c r="GP58" t="e">
        <f>AND('Planilla_General_07-12-2012_8_3'!P870,"AAAAAE3/+8U=")</f>
        <v>#VALUE!</v>
      </c>
      <c r="GQ58">
        <f>IF('Planilla_General_07-12-2012_8_3'!871:871,"AAAAAE3/+8Y=",0)</f>
        <v>0</v>
      </c>
      <c r="GR58" t="e">
        <f>AND('Planilla_General_07-12-2012_8_3'!A871,"AAAAAE3/+8c=")</f>
        <v>#VALUE!</v>
      </c>
      <c r="GS58" t="e">
        <f>AND('Planilla_General_07-12-2012_8_3'!B871,"AAAAAE3/+8g=")</f>
        <v>#VALUE!</v>
      </c>
      <c r="GT58" t="e">
        <f>AND('Planilla_General_07-12-2012_8_3'!C871,"AAAAAE3/+8k=")</f>
        <v>#VALUE!</v>
      </c>
      <c r="GU58" t="e">
        <f>AND('Planilla_General_07-12-2012_8_3'!D871,"AAAAAE3/+8o=")</f>
        <v>#VALUE!</v>
      </c>
      <c r="GV58" t="e">
        <f>AND('Planilla_General_07-12-2012_8_3'!E871,"AAAAAE3/+8s=")</f>
        <v>#VALUE!</v>
      </c>
      <c r="GW58" t="e">
        <f>AND('Planilla_General_07-12-2012_8_3'!F871,"AAAAAE3/+8w=")</f>
        <v>#VALUE!</v>
      </c>
      <c r="GX58" t="e">
        <f>AND('Planilla_General_07-12-2012_8_3'!G871,"AAAAAE3/+80=")</f>
        <v>#VALUE!</v>
      </c>
      <c r="GY58" t="e">
        <f>AND('Planilla_General_07-12-2012_8_3'!H871,"AAAAAE3/+84=")</f>
        <v>#VALUE!</v>
      </c>
      <c r="GZ58" t="e">
        <f>AND('Planilla_General_07-12-2012_8_3'!I871,"AAAAAE3/+88=")</f>
        <v>#VALUE!</v>
      </c>
      <c r="HA58" t="e">
        <f>AND('Planilla_General_07-12-2012_8_3'!J871,"AAAAAE3/+9A=")</f>
        <v>#VALUE!</v>
      </c>
      <c r="HB58" t="e">
        <f>AND('Planilla_General_07-12-2012_8_3'!K871,"AAAAAE3/+9E=")</f>
        <v>#VALUE!</v>
      </c>
      <c r="HC58" t="e">
        <f>AND('Planilla_General_07-12-2012_8_3'!L871,"AAAAAE3/+9I=")</f>
        <v>#VALUE!</v>
      </c>
      <c r="HD58" t="e">
        <f>AND('Planilla_General_07-12-2012_8_3'!M871,"AAAAAE3/+9M=")</f>
        <v>#VALUE!</v>
      </c>
      <c r="HE58" t="e">
        <f>AND('Planilla_General_07-12-2012_8_3'!N871,"AAAAAE3/+9Q=")</f>
        <v>#VALUE!</v>
      </c>
      <c r="HF58" t="e">
        <f>AND('Planilla_General_07-12-2012_8_3'!O871,"AAAAAE3/+9U=")</f>
        <v>#VALUE!</v>
      </c>
      <c r="HG58" t="e">
        <f>AND('Planilla_General_07-12-2012_8_3'!P871,"AAAAAE3/+9Y=")</f>
        <v>#VALUE!</v>
      </c>
      <c r="HH58">
        <f>IF('Planilla_General_07-12-2012_8_3'!872:872,"AAAAAE3/+9c=",0)</f>
        <v>0</v>
      </c>
      <c r="HI58" t="e">
        <f>AND('Planilla_General_07-12-2012_8_3'!A872,"AAAAAE3/+9g=")</f>
        <v>#VALUE!</v>
      </c>
      <c r="HJ58" t="e">
        <f>AND('Planilla_General_07-12-2012_8_3'!B872,"AAAAAE3/+9k=")</f>
        <v>#VALUE!</v>
      </c>
      <c r="HK58" t="e">
        <f>AND('Planilla_General_07-12-2012_8_3'!C872,"AAAAAE3/+9o=")</f>
        <v>#VALUE!</v>
      </c>
      <c r="HL58" t="e">
        <f>AND('Planilla_General_07-12-2012_8_3'!D872,"AAAAAE3/+9s=")</f>
        <v>#VALUE!</v>
      </c>
      <c r="HM58" t="e">
        <f>AND('Planilla_General_07-12-2012_8_3'!E872,"AAAAAE3/+9w=")</f>
        <v>#VALUE!</v>
      </c>
      <c r="HN58" t="e">
        <f>AND('Planilla_General_07-12-2012_8_3'!F872,"AAAAAE3/+90=")</f>
        <v>#VALUE!</v>
      </c>
      <c r="HO58" t="e">
        <f>AND('Planilla_General_07-12-2012_8_3'!G872,"AAAAAE3/+94=")</f>
        <v>#VALUE!</v>
      </c>
      <c r="HP58" t="e">
        <f>AND('Planilla_General_07-12-2012_8_3'!H872,"AAAAAE3/+98=")</f>
        <v>#VALUE!</v>
      </c>
      <c r="HQ58" t="e">
        <f>AND('Planilla_General_07-12-2012_8_3'!I872,"AAAAAE3/++A=")</f>
        <v>#VALUE!</v>
      </c>
      <c r="HR58" t="e">
        <f>AND('Planilla_General_07-12-2012_8_3'!J872,"AAAAAE3/++E=")</f>
        <v>#VALUE!</v>
      </c>
      <c r="HS58" t="e">
        <f>AND('Planilla_General_07-12-2012_8_3'!K872,"AAAAAE3/++I=")</f>
        <v>#VALUE!</v>
      </c>
      <c r="HT58" t="e">
        <f>AND('Planilla_General_07-12-2012_8_3'!L872,"AAAAAE3/++M=")</f>
        <v>#VALUE!</v>
      </c>
      <c r="HU58" t="e">
        <f>AND('Planilla_General_07-12-2012_8_3'!M872,"AAAAAE3/++Q=")</f>
        <v>#VALUE!</v>
      </c>
      <c r="HV58" t="e">
        <f>AND('Planilla_General_07-12-2012_8_3'!N872,"AAAAAE3/++U=")</f>
        <v>#VALUE!</v>
      </c>
      <c r="HW58" t="e">
        <f>AND('Planilla_General_07-12-2012_8_3'!O872,"AAAAAE3/++Y=")</f>
        <v>#VALUE!</v>
      </c>
      <c r="HX58" t="e">
        <f>AND('Planilla_General_07-12-2012_8_3'!P872,"AAAAAE3/++c=")</f>
        <v>#VALUE!</v>
      </c>
      <c r="HY58">
        <f>IF('Planilla_General_07-12-2012_8_3'!873:873,"AAAAAE3/++g=",0)</f>
        <v>0</v>
      </c>
      <c r="HZ58" t="e">
        <f>AND('Planilla_General_07-12-2012_8_3'!A873,"AAAAAE3/++k=")</f>
        <v>#VALUE!</v>
      </c>
      <c r="IA58" t="e">
        <f>AND('Planilla_General_07-12-2012_8_3'!B873,"AAAAAE3/++o=")</f>
        <v>#VALUE!</v>
      </c>
      <c r="IB58" t="e">
        <f>AND('Planilla_General_07-12-2012_8_3'!C873,"AAAAAE3/++s=")</f>
        <v>#VALUE!</v>
      </c>
      <c r="IC58" t="e">
        <f>AND('Planilla_General_07-12-2012_8_3'!D873,"AAAAAE3/++w=")</f>
        <v>#VALUE!</v>
      </c>
      <c r="ID58" t="e">
        <f>AND('Planilla_General_07-12-2012_8_3'!E873,"AAAAAE3/++0=")</f>
        <v>#VALUE!</v>
      </c>
      <c r="IE58" t="e">
        <f>AND('Planilla_General_07-12-2012_8_3'!F873,"AAAAAE3/++4=")</f>
        <v>#VALUE!</v>
      </c>
      <c r="IF58" t="e">
        <f>AND('Planilla_General_07-12-2012_8_3'!G873,"AAAAAE3/++8=")</f>
        <v>#VALUE!</v>
      </c>
      <c r="IG58" t="e">
        <f>AND('Planilla_General_07-12-2012_8_3'!H873,"AAAAAE3/+/A=")</f>
        <v>#VALUE!</v>
      </c>
      <c r="IH58" t="e">
        <f>AND('Planilla_General_07-12-2012_8_3'!I873,"AAAAAE3/+/E=")</f>
        <v>#VALUE!</v>
      </c>
      <c r="II58" t="e">
        <f>AND('Planilla_General_07-12-2012_8_3'!J873,"AAAAAE3/+/I=")</f>
        <v>#VALUE!</v>
      </c>
      <c r="IJ58" t="e">
        <f>AND('Planilla_General_07-12-2012_8_3'!K873,"AAAAAE3/+/M=")</f>
        <v>#VALUE!</v>
      </c>
      <c r="IK58" t="e">
        <f>AND('Planilla_General_07-12-2012_8_3'!L873,"AAAAAE3/+/Q=")</f>
        <v>#VALUE!</v>
      </c>
      <c r="IL58" t="e">
        <f>AND('Planilla_General_07-12-2012_8_3'!M873,"AAAAAE3/+/U=")</f>
        <v>#VALUE!</v>
      </c>
      <c r="IM58" t="e">
        <f>AND('Planilla_General_07-12-2012_8_3'!N873,"AAAAAE3/+/Y=")</f>
        <v>#VALUE!</v>
      </c>
      <c r="IN58" t="e">
        <f>AND('Planilla_General_07-12-2012_8_3'!O873,"AAAAAE3/+/c=")</f>
        <v>#VALUE!</v>
      </c>
      <c r="IO58" t="e">
        <f>AND('Planilla_General_07-12-2012_8_3'!P873,"AAAAAE3/+/g=")</f>
        <v>#VALUE!</v>
      </c>
      <c r="IP58">
        <f>IF('Planilla_General_07-12-2012_8_3'!874:874,"AAAAAE3/+/k=",0)</f>
        <v>0</v>
      </c>
      <c r="IQ58" t="e">
        <f>AND('Planilla_General_07-12-2012_8_3'!A874,"AAAAAE3/+/o=")</f>
        <v>#VALUE!</v>
      </c>
      <c r="IR58" t="e">
        <f>AND('Planilla_General_07-12-2012_8_3'!B874,"AAAAAE3/+/s=")</f>
        <v>#VALUE!</v>
      </c>
      <c r="IS58" t="e">
        <f>AND('Planilla_General_07-12-2012_8_3'!C874,"AAAAAE3/+/w=")</f>
        <v>#VALUE!</v>
      </c>
      <c r="IT58" t="e">
        <f>AND('Planilla_General_07-12-2012_8_3'!D874,"AAAAAE3/+/0=")</f>
        <v>#VALUE!</v>
      </c>
      <c r="IU58" t="e">
        <f>AND('Planilla_General_07-12-2012_8_3'!E874,"AAAAAE3/+/4=")</f>
        <v>#VALUE!</v>
      </c>
      <c r="IV58" t="e">
        <f>AND('Planilla_General_07-12-2012_8_3'!F874,"AAAAAE3/+/8=")</f>
        <v>#VALUE!</v>
      </c>
    </row>
    <row r="59" spans="1:256" x14ac:dyDescent="0.25">
      <c r="A59" t="e">
        <f>AND('Planilla_General_07-12-2012_8_3'!G874,"AAAAAHd//AA=")</f>
        <v>#VALUE!</v>
      </c>
      <c r="B59" t="e">
        <f>AND('Planilla_General_07-12-2012_8_3'!H874,"AAAAAHd//AE=")</f>
        <v>#VALUE!</v>
      </c>
      <c r="C59" t="e">
        <f>AND('Planilla_General_07-12-2012_8_3'!I874,"AAAAAHd//AI=")</f>
        <v>#VALUE!</v>
      </c>
      <c r="D59" t="e">
        <f>AND('Planilla_General_07-12-2012_8_3'!J874,"AAAAAHd//AM=")</f>
        <v>#VALUE!</v>
      </c>
      <c r="E59" t="e">
        <f>AND('Planilla_General_07-12-2012_8_3'!K874,"AAAAAHd//AQ=")</f>
        <v>#VALUE!</v>
      </c>
      <c r="F59" t="e">
        <f>AND('Planilla_General_07-12-2012_8_3'!L874,"AAAAAHd//AU=")</f>
        <v>#VALUE!</v>
      </c>
      <c r="G59" t="e">
        <f>AND('Planilla_General_07-12-2012_8_3'!M874,"AAAAAHd//AY=")</f>
        <v>#VALUE!</v>
      </c>
      <c r="H59" t="e">
        <f>AND('Planilla_General_07-12-2012_8_3'!N874,"AAAAAHd//Ac=")</f>
        <v>#VALUE!</v>
      </c>
      <c r="I59" t="e">
        <f>AND('Planilla_General_07-12-2012_8_3'!O874,"AAAAAHd//Ag=")</f>
        <v>#VALUE!</v>
      </c>
      <c r="J59" t="e">
        <f>AND('Planilla_General_07-12-2012_8_3'!P874,"AAAAAHd//Ak=")</f>
        <v>#VALUE!</v>
      </c>
      <c r="K59" t="str">
        <f>IF('Planilla_General_07-12-2012_8_3'!875:875,"AAAAAHd//Ao=",0)</f>
        <v>AAAAAHd//Ao=</v>
      </c>
      <c r="L59" t="e">
        <f>AND('Planilla_General_07-12-2012_8_3'!A875,"AAAAAHd//As=")</f>
        <v>#VALUE!</v>
      </c>
      <c r="M59" t="e">
        <f>AND('Planilla_General_07-12-2012_8_3'!B875,"AAAAAHd//Aw=")</f>
        <v>#VALUE!</v>
      </c>
      <c r="N59" t="e">
        <f>AND('Planilla_General_07-12-2012_8_3'!C875,"AAAAAHd//A0=")</f>
        <v>#VALUE!</v>
      </c>
      <c r="O59" t="e">
        <f>AND('Planilla_General_07-12-2012_8_3'!D875,"AAAAAHd//A4=")</f>
        <v>#VALUE!</v>
      </c>
      <c r="P59" t="e">
        <f>AND('Planilla_General_07-12-2012_8_3'!E875,"AAAAAHd//A8=")</f>
        <v>#VALUE!</v>
      </c>
      <c r="Q59" t="e">
        <f>AND('Planilla_General_07-12-2012_8_3'!F875,"AAAAAHd//BA=")</f>
        <v>#VALUE!</v>
      </c>
      <c r="R59" t="e">
        <f>AND('Planilla_General_07-12-2012_8_3'!G875,"AAAAAHd//BE=")</f>
        <v>#VALUE!</v>
      </c>
      <c r="S59" t="e">
        <f>AND('Planilla_General_07-12-2012_8_3'!H875,"AAAAAHd//BI=")</f>
        <v>#VALUE!</v>
      </c>
      <c r="T59" t="e">
        <f>AND('Planilla_General_07-12-2012_8_3'!I875,"AAAAAHd//BM=")</f>
        <v>#VALUE!</v>
      </c>
      <c r="U59" t="e">
        <f>AND('Planilla_General_07-12-2012_8_3'!J875,"AAAAAHd//BQ=")</f>
        <v>#VALUE!</v>
      </c>
      <c r="V59" t="e">
        <f>AND('Planilla_General_07-12-2012_8_3'!K875,"AAAAAHd//BU=")</f>
        <v>#VALUE!</v>
      </c>
      <c r="W59" t="e">
        <f>AND('Planilla_General_07-12-2012_8_3'!L875,"AAAAAHd//BY=")</f>
        <v>#VALUE!</v>
      </c>
      <c r="X59" t="e">
        <f>AND('Planilla_General_07-12-2012_8_3'!M875,"AAAAAHd//Bc=")</f>
        <v>#VALUE!</v>
      </c>
      <c r="Y59" t="e">
        <f>AND('Planilla_General_07-12-2012_8_3'!N875,"AAAAAHd//Bg=")</f>
        <v>#VALUE!</v>
      </c>
      <c r="Z59" t="e">
        <f>AND('Planilla_General_07-12-2012_8_3'!O875,"AAAAAHd//Bk=")</f>
        <v>#VALUE!</v>
      </c>
      <c r="AA59" t="e">
        <f>AND('Planilla_General_07-12-2012_8_3'!P875,"AAAAAHd//Bo=")</f>
        <v>#VALUE!</v>
      </c>
      <c r="AB59">
        <f>IF('Planilla_General_07-12-2012_8_3'!876:876,"AAAAAHd//Bs=",0)</f>
        <v>0</v>
      </c>
      <c r="AC59" t="e">
        <f>AND('Planilla_General_07-12-2012_8_3'!A876,"AAAAAHd//Bw=")</f>
        <v>#VALUE!</v>
      </c>
      <c r="AD59" t="e">
        <f>AND('Planilla_General_07-12-2012_8_3'!B876,"AAAAAHd//B0=")</f>
        <v>#VALUE!</v>
      </c>
      <c r="AE59" t="e">
        <f>AND('Planilla_General_07-12-2012_8_3'!C876,"AAAAAHd//B4=")</f>
        <v>#VALUE!</v>
      </c>
      <c r="AF59" t="e">
        <f>AND('Planilla_General_07-12-2012_8_3'!D876,"AAAAAHd//B8=")</f>
        <v>#VALUE!</v>
      </c>
      <c r="AG59" t="e">
        <f>AND('Planilla_General_07-12-2012_8_3'!E876,"AAAAAHd//CA=")</f>
        <v>#VALUE!</v>
      </c>
      <c r="AH59" t="e">
        <f>AND('Planilla_General_07-12-2012_8_3'!F876,"AAAAAHd//CE=")</f>
        <v>#VALUE!</v>
      </c>
      <c r="AI59" t="e">
        <f>AND('Planilla_General_07-12-2012_8_3'!G876,"AAAAAHd//CI=")</f>
        <v>#VALUE!</v>
      </c>
      <c r="AJ59" t="e">
        <f>AND('Planilla_General_07-12-2012_8_3'!H876,"AAAAAHd//CM=")</f>
        <v>#VALUE!</v>
      </c>
      <c r="AK59" t="e">
        <f>AND('Planilla_General_07-12-2012_8_3'!I876,"AAAAAHd//CQ=")</f>
        <v>#VALUE!</v>
      </c>
      <c r="AL59" t="e">
        <f>AND('Planilla_General_07-12-2012_8_3'!J876,"AAAAAHd//CU=")</f>
        <v>#VALUE!</v>
      </c>
      <c r="AM59" t="e">
        <f>AND('Planilla_General_07-12-2012_8_3'!K876,"AAAAAHd//CY=")</f>
        <v>#VALUE!</v>
      </c>
      <c r="AN59" t="e">
        <f>AND('Planilla_General_07-12-2012_8_3'!L876,"AAAAAHd//Cc=")</f>
        <v>#VALUE!</v>
      </c>
      <c r="AO59" t="e">
        <f>AND('Planilla_General_07-12-2012_8_3'!M876,"AAAAAHd//Cg=")</f>
        <v>#VALUE!</v>
      </c>
      <c r="AP59" t="e">
        <f>AND('Planilla_General_07-12-2012_8_3'!N876,"AAAAAHd//Ck=")</f>
        <v>#VALUE!</v>
      </c>
      <c r="AQ59" t="e">
        <f>AND('Planilla_General_07-12-2012_8_3'!O876,"AAAAAHd//Co=")</f>
        <v>#VALUE!</v>
      </c>
      <c r="AR59" t="e">
        <f>AND('Planilla_General_07-12-2012_8_3'!P876,"AAAAAHd//Cs=")</f>
        <v>#VALUE!</v>
      </c>
      <c r="AS59">
        <f>IF('Planilla_General_07-12-2012_8_3'!877:877,"AAAAAHd//Cw=",0)</f>
        <v>0</v>
      </c>
      <c r="AT59" t="e">
        <f>AND('Planilla_General_07-12-2012_8_3'!A877,"AAAAAHd//C0=")</f>
        <v>#VALUE!</v>
      </c>
      <c r="AU59" t="e">
        <f>AND('Planilla_General_07-12-2012_8_3'!B877,"AAAAAHd//C4=")</f>
        <v>#VALUE!</v>
      </c>
      <c r="AV59" t="e">
        <f>AND('Planilla_General_07-12-2012_8_3'!C877,"AAAAAHd//C8=")</f>
        <v>#VALUE!</v>
      </c>
      <c r="AW59" t="e">
        <f>AND('Planilla_General_07-12-2012_8_3'!D877,"AAAAAHd//DA=")</f>
        <v>#VALUE!</v>
      </c>
      <c r="AX59" t="e">
        <f>AND('Planilla_General_07-12-2012_8_3'!E877,"AAAAAHd//DE=")</f>
        <v>#VALUE!</v>
      </c>
      <c r="AY59" t="e">
        <f>AND('Planilla_General_07-12-2012_8_3'!F877,"AAAAAHd//DI=")</f>
        <v>#VALUE!</v>
      </c>
      <c r="AZ59" t="e">
        <f>AND('Planilla_General_07-12-2012_8_3'!G877,"AAAAAHd//DM=")</f>
        <v>#VALUE!</v>
      </c>
      <c r="BA59" t="e">
        <f>AND('Planilla_General_07-12-2012_8_3'!H877,"AAAAAHd//DQ=")</f>
        <v>#VALUE!</v>
      </c>
      <c r="BB59" t="e">
        <f>AND('Planilla_General_07-12-2012_8_3'!I877,"AAAAAHd//DU=")</f>
        <v>#VALUE!</v>
      </c>
      <c r="BC59" t="e">
        <f>AND('Planilla_General_07-12-2012_8_3'!J877,"AAAAAHd//DY=")</f>
        <v>#VALUE!</v>
      </c>
      <c r="BD59" t="e">
        <f>AND('Planilla_General_07-12-2012_8_3'!K877,"AAAAAHd//Dc=")</f>
        <v>#VALUE!</v>
      </c>
      <c r="BE59" t="e">
        <f>AND('Planilla_General_07-12-2012_8_3'!L877,"AAAAAHd//Dg=")</f>
        <v>#VALUE!</v>
      </c>
      <c r="BF59" t="e">
        <f>AND('Planilla_General_07-12-2012_8_3'!M877,"AAAAAHd//Dk=")</f>
        <v>#VALUE!</v>
      </c>
      <c r="BG59" t="e">
        <f>AND('Planilla_General_07-12-2012_8_3'!N877,"AAAAAHd//Do=")</f>
        <v>#VALUE!</v>
      </c>
      <c r="BH59" t="e">
        <f>AND('Planilla_General_07-12-2012_8_3'!O877,"AAAAAHd//Ds=")</f>
        <v>#VALUE!</v>
      </c>
      <c r="BI59" t="e">
        <f>AND('Planilla_General_07-12-2012_8_3'!P877,"AAAAAHd//Dw=")</f>
        <v>#VALUE!</v>
      </c>
      <c r="BJ59">
        <f>IF('Planilla_General_07-12-2012_8_3'!878:878,"AAAAAHd//D0=",0)</f>
        <v>0</v>
      </c>
      <c r="BK59" t="e">
        <f>AND('Planilla_General_07-12-2012_8_3'!A878,"AAAAAHd//D4=")</f>
        <v>#VALUE!</v>
      </c>
      <c r="BL59" t="e">
        <f>AND('Planilla_General_07-12-2012_8_3'!B878,"AAAAAHd//D8=")</f>
        <v>#VALUE!</v>
      </c>
      <c r="BM59" t="e">
        <f>AND('Planilla_General_07-12-2012_8_3'!C878,"AAAAAHd//EA=")</f>
        <v>#VALUE!</v>
      </c>
      <c r="BN59" t="e">
        <f>AND('Planilla_General_07-12-2012_8_3'!D878,"AAAAAHd//EE=")</f>
        <v>#VALUE!</v>
      </c>
      <c r="BO59" t="e">
        <f>AND('Planilla_General_07-12-2012_8_3'!E878,"AAAAAHd//EI=")</f>
        <v>#VALUE!</v>
      </c>
      <c r="BP59" t="e">
        <f>AND('Planilla_General_07-12-2012_8_3'!F878,"AAAAAHd//EM=")</f>
        <v>#VALUE!</v>
      </c>
      <c r="BQ59" t="e">
        <f>AND('Planilla_General_07-12-2012_8_3'!G878,"AAAAAHd//EQ=")</f>
        <v>#VALUE!</v>
      </c>
      <c r="BR59" t="e">
        <f>AND('Planilla_General_07-12-2012_8_3'!H878,"AAAAAHd//EU=")</f>
        <v>#VALUE!</v>
      </c>
      <c r="BS59" t="e">
        <f>AND('Planilla_General_07-12-2012_8_3'!I878,"AAAAAHd//EY=")</f>
        <v>#VALUE!</v>
      </c>
      <c r="BT59" t="e">
        <f>AND('Planilla_General_07-12-2012_8_3'!J878,"AAAAAHd//Ec=")</f>
        <v>#VALUE!</v>
      </c>
      <c r="BU59" t="e">
        <f>AND('Planilla_General_07-12-2012_8_3'!K878,"AAAAAHd//Eg=")</f>
        <v>#VALUE!</v>
      </c>
      <c r="BV59" t="e">
        <f>AND('Planilla_General_07-12-2012_8_3'!L878,"AAAAAHd//Ek=")</f>
        <v>#VALUE!</v>
      </c>
      <c r="BW59" t="e">
        <f>AND('Planilla_General_07-12-2012_8_3'!M878,"AAAAAHd//Eo=")</f>
        <v>#VALUE!</v>
      </c>
      <c r="BX59" t="e">
        <f>AND('Planilla_General_07-12-2012_8_3'!N878,"AAAAAHd//Es=")</f>
        <v>#VALUE!</v>
      </c>
      <c r="BY59" t="e">
        <f>AND('Planilla_General_07-12-2012_8_3'!O878,"AAAAAHd//Ew=")</f>
        <v>#VALUE!</v>
      </c>
      <c r="BZ59" t="e">
        <f>AND('Planilla_General_07-12-2012_8_3'!P878,"AAAAAHd//E0=")</f>
        <v>#VALUE!</v>
      </c>
      <c r="CA59">
        <f>IF('Planilla_General_07-12-2012_8_3'!879:879,"AAAAAHd//E4=",0)</f>
        <v>0</v>
      </c>
      <c r="CB59" t="e">
        <f>AND('Planilla_General_07-12-2012_8_3'!A879,"AAAAAHd//E8=")</f>
        <v>#VALUE!</v>
      </c>
      <c r="CC59" t="e">
        <f>AND('Planilla_General_07-12-2012_8_3'!B879,"AAAAAHd//FA=")</f>
        <v>#VALUE!</v>
      </c>
      <c r="CD59" t="e">
        <f>AND('Planilla_General_07-12-2012_8_3'!C879,"AAAAAHd//FE=")</f>
        <v>#VALUE!</v>
      </c>
      <c r="CE59" t="e">
        <f>AND('Planilla_General_07-12-2012_8_3'!D879,"AAAAAHd//FI=")</f>
        <v>#VALUE!</v>
      </c>
      <c r="CF59" t="e">
        <f>AND('Planilla_General_07-12-2012_8_3'!E879,"AAAAAHd//FM=")</f>
        <v>#VALUE!</v>
      </c>
      <c r="CG59" t="e">
        <f>AND('Planilla_General_07-12-2012_8_3'!F879,"AAAAAHd//FQ=")</f>
        <v>#VALUE!</v>
      </c>
      <c r="CH59" t="e">
        <f>AND('Planilla_General_07-12-2012_8_3'!G879,"AAAAAHd//FU=")</f>
        <v>#VALUE!</v>
      </c>
      <c r="CI59" t="e">
        <f>AND('Planilla_General_07-12-2012_8_3'!H879,"AAAAAHd//FY=")</f>
        <v>#VALUE!</v>
      </c>
      <c r="CJ59" t="e">
        <f>AND('Planilla_General_07-12-2012_8_3'!I879,"AAAAAHd//Fc=")</f>
        <v>#VALUE!</v>
      </c>
      <c r="CK59" t="e">
        <f>AND('Planilla_General_07-12-2012_8_3'!J879,"AAAAAHd//Fg=")</f>
        <v>#VALUE!</v>
      </c>
      <c r="CL59" t="e">
        <f>AND('Planilla_General_07-12-2012_8_3'!K879,"AAAAAHd//Fk=")</f>
        <v>#VALUE!</v>
      </c>
      <c r="CM59" t="e">
        <f>AND('Planilla_General_07-12-2012_8_3'!L879,"AAAAAHd//Fo=")</f>
        <v>#VALUE!</v>
      </c>
      <c r="CN59" t="e">
        <f>AND('Planilla_General_07-12-2012_8_3'!M879,"AAAAAHd//Fs=")</f>
        <v>#VALUE!</v>
      </c>
      <c r="CO59" t="e">
        <f>AND('Planilla_General_07-12-2012_8_3'!N879,"AAAAAHd//Fw=")</f>
        <v>#VALUE!</v>
      </c>
      <c r="CP59" t="e">
        <f>AND('Planilla_General_07-12-2012_8_3'!O879,"AAAAAHd//F0=")</f>
        <v>#VALUE!</v>
      </c>
      <c r="CQ59" t="e">
        <f>AND('Planilla_General_07-12-2012_8_3'!P879,"AAAAAHd//F4=")</f>
        <v>#VALUE!</v>
      </c>
      <c r="CR59">
        <f>IF('Planilla_General_07-12-2012_8_3'!880:880,"AAAAAHd//F8=",0)</f>
        <v>0</v>
      </c>
      <c r="CS59" t="e">
        <f>AND('Planilla_General_07-12-2012_8_3'!A880,"AAAAAHd//GA=")</f>
        <v>#VALUE!</v>
      </c>
      <c r="CT59" t="e">
        <f>AND('Planilla_General_07-12-2012_8_3'!B880,"AAAAAHd//GE=")</f>
        <v>#VALUE!</v>
      </c>
      <c r="CU59" t="e">
        <f>AND('Planilla_General_07-12-2012_8_3'!C880,"AAAAAHd//GI=")</f>
        <v>#VALUE!</v>
      </c>
      <c r="CV59" t="e">
        <f>AND('Planilla_General_07-12-2012_8_3'!D880,"AAAAAHd//GM=")</f>
        <v>#VALUE!</v>
      </c>
      <c r="CW59" t="e">
        <f>AND('Planilla_General_07-12-2012_8_3'!E880,"AAAAAHd//GQ=")</f>
        <v>#VALUE!</v>
      </c>
      <c r="CX59" t="e">
        <f>AND('Planilla_General_07-12-2012_8_3'!F880,"AAAAAHd//GU=")</f>
        <v>#VALUE!</v>
      </c>
      <c r="CY59" t="e">
        <f>AND('Planilla_General_07-12-2012_8_3'!G880,"AAAAAHd//GY=")</f>
        <v>#VALUE!</v>
      </c>
      <c r="CZ59" t="e">
        <f>AND('Planilla_General_07-12-2012_8_3'!H880,"AAAAAHd//Gc=")</f>
        <v>#VALUE!</v>
      </c>
      <c r="DA59" t="e">
        <f>AND('Planilla_General_07-12-2012_8_3'!I880,"AAAAAHd//Gg=")</f>
        <v>#VALUE!</v>
      </c>
      <c r="DB59" t="e">
        <f>AND('Planilla_General_07-12-2012_8_3'!J880,"AAAAAHd//Gk=")</f>
        <v>#VALUE!</v>
      </c>
      <c r="DC59" t="e">
        <f>AND('Planilla_General_07-12-2012_8_3'!K880,"AAAAAHd//Go=")</f>
        <v>#VALUE!</v>
      </c>
      <c r="DD59" t="e">
        <f>AND('Planilla_General_07-12-2012_8_3'!L880,"AAAAAHd//Gs=")</f>
        <v>#VALUE!</v>
      </c>
      <c r="DE59" t="e">
        <f>AND('Planilla_General_07-12-2012_8_3'!M880,"AAAAAHd//Gw=")</f>
        <v>#VALUE!</v>
      </c>
      <c r="DF59" t="e">
        <f>AND('Planilla_General_07-12-2012_8_3'!N880,"AAAAAHd//G0=")</f>
        <v>#VALUE!</v>
      </c>
      <c r="DG59" t="e">
        <f>AND('Planilla_General_07-12-2012_8_3'!O880,"AAAAAHd//G4=")</f>
        <v>#VALUE!</v>
      </c>
      <c r="DH59" t="e">
        <f>AND('Planilla_General_07-12-2012_8_3'!P880,"AAAAAHd//G8=")</f>
        <v>#VALUE!</v>
      </c>
      <c r="DI59">
        <f>IF('Planilla_General_07-12-2012_8_3'!881:881,"AAAAAHd//HA=",0)</f>
        <v>0</v>
      </c>
      <c r="DJ59" t="e">
        <f>AND('Planilla_General_07-12-2012_8_3'!A881,"AAAAAHd//HE=")</f>
        <v>#VALUE!</v>
      </c>
      <c r="DK59" t="e">
        <f>AND('Planilla_General_07-12-2012_8_3'!B881,"AAAAAHd//HI=")</f>
        <v>#VALUE!</v>
      </c>
      <c r="DL59" t="e">
        <f>AND('Planilla_General_07-12-2012_8_3'!C881,"AAAAAHd//HM=")</f>
        <v>#VALUE!</v>
      </c>
      <c r="DM59" t="e">
        <f>AND('Planilla_General_07-12-2012_8_3'!D881,"AAAAAHd//HQ=")</f>
        <v>#VALUE!</v>
      </c>
      <c r="DN59" t="e">
        <f>AND('Planilla_General_07-12-2012_8_3'!E881,"AAAAAHd//HU=")</f>
        <v>#VALUE!</v>
      </c>
      <c r="DO59" t="e">
        <f>AND('Planilla_General_07-12-2012_8_3'!F881,"AAAAAHd//HY=")</f>
        <v>#VALUE!</v>
      </c>
      <c r="DP59" t="e">
        <f>AND('Planilla_General_07-12-2012_8_3'!G881,"AAAAAHd//Hc=")</f>
        <v>#VALUE!</v>
      </c>
      <c r="DQ59" t="e">
        <f>AND('Planilla_General_07-12-2012_8_3'!H881,"AAAAAHd//Hg=")</f>
        <v>#VALUE!</v>
      </c>
      <c r="DR59" t="e">
        <f>AND('Planilla_General_07-12-2012_8_3'!I881,"AAAAAHd//Hk=")</f>
        <v>#VALUE!</v>
      </c>
      <c r="DS59" t="e">
        <f>AND('Planilla_General_07-12-2012_8_3'!J881,"AAAAAHd//Ho=")</f>
        <v>#VALUE!</v>
      </c>
      <c r="DT59" t="e">
        <f>AND('Planilla_General_07-12-2012_8_3'!K881,"AAAAAHd//Hs=")</f>
        <v>#VALUE!</v>
      </c>
      <c r="DU59" t="e">
        <f>AND('Planilla_General_07-12-2012_8_3'!L881,"AAAAAHd//Hw=")</f>
        <v>#VALUE!</v>
      </c>
      <c r="DV59" t="e">
        <f>AND('Planilla_General_07-12-2012_8_3'!M881,"AAAAAHd//H0=")</f>
        <v>#VALUE!</v>
      </c>
      <c r="DW59" t="e">
        <f>AND('Planilla_General_07-12-2012_8_3'!N881,"AAAAAHd//H4=")</f>
        <v>#VALUE!</v>
      </c>
      <c r="DX59" t="e">
        <f>AND('Planilla_General_07-12-2012_8_3'!O881,"AAAAAHd//H8=")</f>
        <v>#VALUE!</v>
      </c>
      <c r="DY59" t="e">
        <f>AND('Planilla_General_07-12-2012_8_3'!P881,"AAAAAHd//IA=")</f>
        <v>#VALUE!</v>
      </c>
      <c r="DZ59">
        <f>IF('Planilla_General_07-12-2012_8_3'!882:882,"AAAAAHd//IE=",0)</f>
        <v>0</v>
      </c>
      <c r="EA59" t="e">
        <f>AND('Planilla_General_07-12-2012_8_3'!A882,"AAAAAHd//II=")</f>
        <v>#VALUE!</v>
      </c>
      <c r="EB59" t="e">
        <f>AND('Planilla_General_07-12-2012_8_3'!B882,"AAAAAHd//IM=")</f>
        <v>#VALUE!</v>
      </c>
      <c r="EC59" t="e">
        <f>AND('Planilla_General_07-12-2012_8_3'!C882,"AAAAAHd//IQ=")</f>
        <v>#VALUE!</v>
      </c>
      <c r="ED59" t="e">
        <f>AND('Planilla_General_07-12-2012_8_3'!D882,"AAAAAHd//IU=")</f>
        <v>#VALUE!</v>
      </c>
      <c r="EE59" t="e">
        <f>AND('Planilla_General_07-12-2012_8_3'!E882,"AAAAAHd//IY=")</f>
        <v>#VALUE!</v>
      </c>
      <c r="EF59" t="e">
        <f>AND('Planilla_General_07-12-2012_8_3'!F882,"AAAAAHd//Ic=")</f>
        <v>#VALUE!</v>
      </c>
      <c r="EG59" t="e">
        <f>AND('Planilla_General_07-12-2012_8_3'!G882,"AAAAAHd//Ig=")</f>
        <v>#VALUE!</v>
      </c>
      <c r="EH59" t="e">
        <f>AND('Planilla_General_07-12-2012_8_3'!H882,"AAAAAHd//Ik=")</f>
        <v>#VALUE!</v>
      </c>
      <c r="EI59" t="e">
        <f>AND('Planilla_General_07-12-2012_8_3'!I882,"AAAAAHd//Io=")</f>
        <v>#VALUE!</v>
      </c>
      <c r="EJ59" t="e">
        <f>AND('Planilla_General_07-12-2012_8_3'!J882,"AAAAAHd//Is=")</f>
        <v>#VALUE!</v>
      </c>
      <c r="EK59" t="e">
        <f>AND('Planilla_General_07-12-2012_8_3'!K882,"AAAAAHd//Iw=")</f>
        <v>#VALUE!</v>
      </c>
      <c r="EL59" t="e">
        <f>AND('Planilla_General_07-12-2012_8_3'!L882,"AAAAAHd//I0=")</f>
        <v>#VALUE!</v>
      </c>
      <c r="EM59" t="e">
        <f>AND('Planilla_General_07-12-2012_8_3'!M882,"AAAAAHd//I4=")</f>
        <v>#VALUE!</v>
      </c>
      <c r="EN59" t="e">
        <f>AND('Planilla_General_07-12-2012_8_3'!N882,"AAAAAHd//I8=")</f>
        <v>#VALUE!</v>
      </c>
      <c r="EO59" t="e">
        <f>AND('Planilla_General_07-12-2012_8_3'!O882,"AAAAAHd//JA=")</f>
        <v>#VALUE!</v>
      </c>
      <c r="EP59" t="e">
        <f>AND('Planilla_General_07-12-2012_8_3'!P882,"AAAAAHd//JE=")</f>
        <v>#VALUE!</v>
      </c>
      <c r="EQ59">
        <f>IF('Planilla_General_07-12-2012_8_3'!883:883,"AAAAAHd//JI=",0)</f>
        <v>0</v>
      </c>
      <c r="ER59" t="e">
        <f>AND('Planilla_General_07-12-2012_8_3'!A883,"AAAAAHd//JM=")</f>
        <v>#VALUE!</v>
      </c>
      <c r="ES59" t="e">
        <f>AND('Planilla_General_07-12-2012_8_3'!B883,"AAAAAHd//JQ=")</f>
        <v>#VALUE!</v>
      </c>
      <c r="ET59" t="e">
        <f>AND('Planilla_General_07-12-2012_8_3'!C883,"AAAAAHd//JU=")</f>
        <v>#VALUE!</v>
      </c>
      <c r="EU59" t="e">
        <f>AND('Planilla_General_07-12-2012_8_3'!D883,"AAAAAHd//JY=")</f>
        <v>#VALUE!</v>
      </c>
      <c r="EV59" t="e">
        <f>AND('Planilla_General_07-12-2012_8_3'!E883,"AAAAAHd//Jc=")</f>
        <v>#VALUE!</v>
      </c>
      <c r="EW59" t="e">
        <f>AND('Planilla_General_07-12-2012_8_3'!F883,"AAAAAHd//Jg=")</f>
        <v>#VALUE!</v>
      </c>
      <c r="EX59" t="e">
        <f>AND('Planilla_General_07-12-2012_8_3'!G883,"AAAAAHd//Jk=")</f>
        <v>#VALUE!</v>
      </c>
      <c r="EY59" t="e">
        <f>AND('Planilla_General_07-12-2012_8_3'!H883,"AAAAAHd//Jo=")</f>
        <v>#VALUE!</v>
      </c>
      <c r="EZ59" t="e">
        <f>AND('Planilla_General_07-12-2012_8_3'!I883,"AAAAAHd//Js=")</f>
        <v>#VALUE!</v>
      </c>
      <c r="FA59" t="e">
        <f>AND('Planilla_General_07-12-2012_8_3'!J883,"AAAAAHd//Jw=")</f>
        <v>#VALUE!</v>
      </c>
      <c r="FB59" t="e">
        <f>AND('Planilla_General_07-12-2012_8_3'!K883,"AAAAAHd//J0=")</f>
        <v>#VALUE!</v>
      </c>
      <c r="FC59" t="e">
        <f>AND('Planilla_General_07-12-2012_8_3'!L883,"AAAAAHd//J4=")</f>
        <v>#VALUE!</v>
      </c>
      <c r="FD59" t="e">
        <f>AND('Planilla_General_07-12-2012_8_3'!M883,"AAAAAHd//J8=")</f>
        <v>#VALUE!</v>
      </c>
      <c r="FE59" t="e">
        <f>AND('Planilla_General_07-12-2012_8_3'!N883,"AAAAAHd//KA=")</f>
        <v>#VALUE!</v>
      </c>
      <c r="FF59" t="e">
        <f>AND('Planilla_General_07-12-2012_8_3'!O883,"AAAAAHd//KE=")</f>
        <v>#VALUE!</v>
      </c>
      <c r="FG59" t="e">
        <f>AND('Planilla_General_07-12-2012_8_3'!P883,"AAAAAHd//KI=")</f>
        <v>#VALUE!</v>
      </c>
      <c r="FH59">
        <f>IF('Planilla_General_07-12-2012_8_3'!884:884,"AAAAAHd//KM=",0)</f>
        <v>0</v>
      </c>
      <c r="FI59" t="e">
        <f>AND('Planilla_General_07-12-2012_8_3'!A884,"AAAAAHd//KQ=")</f>
        <v>#VALUE!</v>
      </c>
      <c r="FJ59" t="e">
        <f>AND('Planilla_General_07-12-2012_8_3'!B884,"AAAAAHd//KU=")</f>
        <v>#VALUE!</v>
      </c>
      <c r="FK59" t="e">
        <f>AND('Planilla_General_07-12-2012_8_3'!C884,"AAAAAHd//KY=")</f>
        <v>#VALUE!</v>
      </c>
      <c r="FL59" t="e">
        <f>AND('Planilla_General_07-12-2012_8_3'!D884,"AAAAAHd//Kc=")</f>
        <v>#VALUE!</v>
      </c>
      <c r="FM59" t="e">
        <f>AND('Planilla_General_07-12-2012_8_3'!E884,"AAAAAHd//Kg=")</f>
        <v>#VALUE!</v>
      </c>
      <c r="FN59" t="e">
        <f>AND('Planilla_General_07-12-2012_8_3'!F884,"AAAAAHd//Kk=")</f>
        <v>#VALUE!</v>
      </c>
      <c r="FO59" t="e">
        <f>AND('Planilla_General_07-12-2012_8_3'!G884,"AAAAAHd//Ko=")</f>
        <v>#VALUE!</v>
      </c>
      <c r="FP59" t="e">
        <f>AND('Planilla_General_07-12-2012_8_3'!H884,"AAAAAHd//Ks=")</f>
        <v>#VALUE!</v>
      </c>
      <c r="FQ59" t="e">
        <f>AND('Planilla_General_07-12-2012_8_3'!I884,"AAAAAHd//Kw=")</f>
        <v>#VALUE!</v>
      </c>
      <c r="FR59" t="e">
        <f>AND('Planilla_General_07-12-2012_8_3'!J884,"AAAAAHd//K0=")</f>
        <v>#VALUE!</v>
      </c>
      <c r="FS59" t="e">
        <f>AND('Planilla_General_07-12-2012_8_3'!K884,"AAAAAHd//K4=")</f>
        <v>#VALUE!</v>
      </c>
      <c r="FT59" t="e">
        <f>AND('Planilla_General_07-12-2012_8_3'!L884,"AAAAAHd//K8=")</f>
        <v>#VALUE!</v>
      </c>
      <c r="FU59" t="e">
        <f>AND('Planilla_General_07-12-2012_8_3'!M884,"AAAAAHd//LA=")</f>
        <v>#VALUE!</v>
      </c>
      <c r="FV59" t="e">
        <f>AND('Planilla_General_07-12-2012_8_3'!N884,"AAAAAHd//LE=")</f>
        <v>#VALUE!</v>
      </c>
      <c r="FW59" t="e">
        <f>AND('Planilla_General_07-12-2012_8_3'!O884,"AAAAAHd//LI=")</f>
        <v>#VALUE!</v>
      </c>
      <c r="FX59" t="e">
        <f>AND('Planilla_General_07-12-2012_8_3'!P884,"AAAAAHd//LM=")</f>
        <v>#VALUE!</v>
      </c>
      <c r="FY59">
        <f>IF('Planilla_General_07-12-2012_8_3'!885:885,"AAAAAHd//LQ=",0)</f>
        <v>0</v>
      </c>
      <c r="FZ59" t="e">
        <f>AND('Planilla_General_07-12-2012_8_3'!A885,"AAAAAHd//LU=")</f>
        <v>#VALUE!</v>
      </c>
      <c r="GA59" t="e">
        <f>AND('Planilla_General_07-12-2012_8_3'!B885,"AAAAAHd//LY=")</f>
        <v>#VALUE!</v>
      </c>
      <c r="GB59" t="e">
        <f>AND('Planilla_General_07-12-2012_8_3'!C885,"AAAAAHd//Lc=")</f>
        <v>#VALUE!</v>
      </c>
      <c r="GC59" t="e">
        <f>AND('Planilla_General_07-12-2012_8_3'!D885,"AAAAAHd//Lg=")</f>
        <v>#VALUE!</v>
      </c>
      <c r="GD59" t="e">
        <f>AND('Planilla_General_07-12-2012_8_3'!E885,"AAAAAHd//Lk=")</f>
        <v>#VALUE!</v>
      </c>
      <c r="GE59" t="e">
        <f>AND('Planilla_General_07-12-2012_8_3'!F885,"AAAAAHd//Lo=")</f>
        <v>#VALUE!</v>
      </c>
      <c r="GF59" t="e">
        <f>AND('Planilla_General_07-12-2012_8_3'!G885,"AAAAAHd//Ls=")</f>
        <v>#VALUE!</v>
      </c>
      <c r="GG59" t="e">
        <f>AND('Planilla_General_07-12-2012_8_3'!H885,"AAAAAHd//Lw=")</f>
        <v>#VALUE!</v>
      </c>
      <c r="GH59" t="e">
        <f>AND('Planilla_General_07-12-2012_8_3'!I885,"AAAAAHd//L0=")</f>
        <v>#VALUE!</v>
      </c>
      <c r="GI59" t="e">
        <f>AND('Planilla_General_07-12-2012_8_3'!J885,"AAAAAHd//L4=")</f>
        <v>#VALUE!</v>
      </c>
      <c r="GJ59" t="e">
        <f>AND('Planilla_General_07-12-2012_8_3'!K885,"AAAAAHd//L8=")</f>
        <v>#VALUE!</v>
      </c>
      <c r="GK59" t="e">
        <f>AND('Planilla_General_07-12-2012_8_3'!L885,"AAAAAHd//MA=")</f>
        <v>#VALUE!</v>
      </c>
      <c r="GL59" t="e">
        <f>AND('Planilla_General_07-12-2012_8_3'!M885,"AAAAAHd//ME=")</f>
        <v>#VALUE!</v>
      </c>
      <c r="GM59" t="e">
        <f>AND('Planilla_General_07-12-2012_8_3'!N885,"AAAAAHd//MI=")</f>
        <v>#VALUE!</v>
      </c>
      <c r="GN59" t="e">
        <f>AND('Planilla_General_07-12-2012_8_3'!O885,"AAAAAHd//MM=")</f>
        <v>#VALUE!</v>
      </c>
      <c r="GO59" t="e">
        <f>AND('Planilla_General_07-12-2012_8_3'!P885,"AAAAAHd//MQ=")</f>
        <v>#VALUE!</v>
      </c>
      <c r="GP59">
        <f>IF('Planilla_General_07-12-2012_8_3'!886:886,"AAAAAHd//MU=",0)</f>
        <v>0</v>
      </c>
      <c r="GQ59" t="e">
        <f>AND('Planilla_General_07-12-2012_8_3'!A886,"AAAAAHd//MY=")</f>
        <v>#VALUE!</v>
      </c>
      <c r="GR59" t="e">
        <f>AND('Planilla_General_07-12-2012_8_3'!B886,"AAAAAHd//Mc=")</f>
        <v>#VALUE!</v>
      </c>
      <c r="GS59" t="e">
        <f>AND('Planilla_General_07-12-2012_8_3'!C886,"AAAAAHd//Mg=")</f>
        <v>#VALUE!</v>
      </c>
      <c r="GT59" t="e">
        <f>AND('Planilla_General_07-12-2012_8_3'!D886,"AAAAAHd//Mk=")</f>
        <v>#VALUE!</v>
      </c>
      <c r="GU59" t="e">
        <f>AND('Planilla_General_07-12-2012_8_3'!E886,"AAAAAHd//Mo=")</f>
        <v>#VALUE!</v>
      </c>
      <c r="GV59" t="e">
        <f>AND('Planilla_General_07-12-2012_8_3'!F886,"AAAAAHd//Ms=")</f>
        <v>#VALUE!</v>
      </c>
      <c r="GW59" t="e">
        <f>AND('Planilla_General_07-12-2012_8_3'!G886,"AAAAAHd//Mw=")</f>
        <v>#VALUE!</v>
      </c>
      <c r="GX59" t="e">
        <f>AND('Planilla_General_07-12-2012_8_3'!H886,"AAAAAHd//M0=")</f>
        <v>#VALUE!</v>
      </c>
      <c r="GY59" t="e">
        <f>AND('Planilla_General_07-12-2012_8_3'!I886,"AAAAAHd//M4=")</f>
        <v>#VALUE!</v>
      </c>
      <c r="GZ59" t="e">
        <f>AND('Planilla_General_07-12-2012_8_3'!J886,"AAAAAHd//M8=")</f>
        <v>#VALUE!</v>
      </c>
      <c r="HA59" t="e">
        <f>AND('Planilla_General_07-12-2012_8_3'!K886,"AAAAAHd//NA=")</f>
        <v>#VALUE!</v>
      </c>
      <c r="HB59" t="e">
        <f>AND('Planilla_General_07-12-2012_8_3'!L886,"AAAAAHd//NE=")</f>
        <v>#VALUE!</v>
      </c>
      <c r="HC59" t="e">
        <f>AND('Planilla_General_07-12-2012_8_3'!M886,"AAAAAHd//NI=")</f>
        <v>#VALUE!</v>
      </c>
      <c r="HD59" t="e">
        <f>AND('Planilla_General_07-12-2012_8_3'!N886,"AAAAAHd//NM=")</f>
        <v>#VALUE!</v>
      </c>
      <c r="HE59" t="e">
        <f>AND('Planilla_General_07-12-2012_8_3'!O886,"AAAAAHd//NQ=")</f>
        <v>#VALUE!</v>
      </c>
      <c r="HF59" t="e">
        <f>AND('Planilla_General_07-12-2012_8_3'!P886,"AAAAAHd//NU=")</f>
        <v>#VALUE!</v>
      </c>
      <c r="HG59">
        <f>IF('Planilla_General_07-12-2012_8_3'!887:887,"AAAAAHd//NY=",0)</f>
        <v>0</v>
      </c>
      <c r="HH59" t="e">
        <f>AND('Planilla_General_07-12-2012_8_3'!A887,"AAAAAHd//Nc=")</f>
        <v>#VALUE!</v>
      </c>
      <c r="HI59" t="e">
        <f>AND('Planilla_General_07-12-2012_8_3'!B887,"AAAAAHd//Ng=")</f>
        <v>#VALUE!</v>
      </c>
      <c r="HJ59" t="e">
        <f>AND('Planilla_General_07-12-2012_8_3'!C887,"AAAAAHd//Nk=")</f>
        <v>#VALUE!</v>
      </c>
      <c r="HK59" t="e">
        <f>AND('Planilla_General_07-12-2012_8_3'!D887,"AAAAAHd//No=")</f>
        <v>#VALUE!</v>
      </c>
      <c r="HL59" t="e">
        <f>AND('Planilla_General_07-12-2012_8_3'!E887,"AAAAAHd//Ns=")</f>
        <v>#VALUE!</v>
      </c>
      <c r="HM59" t="e">
        <f>AND('Planilla_General_07-12-2012_8_3'!F887,"AAAAAHd//Nw=")</f>
        <v>#VALUE!</v>
      </c>
      <c r="HN59" t="e">
        <f>AND('Planilla_General_07-12-2012_8_3'!G887,"AAAAAHd//N0=")</f>
        <v>#VALUE!</v>
      </c>
      <c r="HO59" t="e">
        <f>AND('Planilla_General_07-12-2012_8_3'!H887,"AAAAAHd//N4=")</f>
        <v>#VALUE!</v>
      </c>
      <c r="HP59" t="e">
        <f>AND('Planilla_General_07-12-2012_8_3'!I887,"AAAAAHd//N8=")</f>
        <v>#VALUE!</v>
      </c>
      <c r="HQ59" t="e">
        <f>AND('Planilla_General_07-12-2012_8_3'!J887,"AAAAAHd//OA=")</f>
        <v>#VALUE!</v>
      </c>
      <c r="HR59" t="e">
        <f>AND('Planilla_General_07-12-2012_8_3'!K887,"AAAAAHd//OE=")</f>
        <v>#VALUE!</v>
      </c>
      <c r="HS59" t="e">
        <f>AND('Planilla_General_07-12-2012_8_3'!L887,"AAAAAHd//OI=")</f>
        <v>#VALUE!</v>
      </c>
      <c r="HT59" t="e">
        <f>AND('Planilla_General_07-12-2012_8_3'!M887,"AAAAAHd//OM=")</f>
        <v>#VALUE!</v>
      </c>
      <c r="HU59" t="e">
        <f>AND('Planilla_General_07-12-2012_8_3'!N887,"AAAAAHd//OQ=")</f>
        <v>#VALUE!</v>
      </c>
      <c r="HV59" t="e">
        <f>AND('Planilla_General_07-12-2012_8_3'!O887,"AAAAAHd//OU=")</f>
        <v>#VALUE!</v>
      </c>
      <c r="HW59" t="e">
        <f>AND('Planilla_General_07-12-2012_8_3'!P887,"AAAAAHd//OY=")</f>
        <v>#VALUE!</v>
      </c>
      <c r="HX59">
        <f>IF('Planilla_General_07-12-2012_8_3'!888:888,"AAAAAHd//Oc=",0)</f>
        <v>0</v>
      </c>
      <c r="HY59" t="e">
        <f>AND('Planilla_General_07-12-2012_8_3'!A888,"AAAAAHd//Og=")</f>
        <v>#VALUE!</v>
      </c>
      <c r="HZ59" t="e">
        <f>AND('Planilla_General_07-12-2012_8_3'!B888,"AAAAAHd//Ok=")</f>
        <v>#VALUE!</v>
      </c>
      <c r="IA59" t="e">
        <f>AND('Planilla_General_07-12-2012_8_3'!C888,"AAAAAHd//Oo=")</f>
        <v>#VALUE!</v>
      </c>
      <c r="IB59" t="e">
        <f>AND('Planilla_General_07-12-2012_8_3'!D888,"AAAAAHd//Os=")</f>
        <v>#VALUE!</v>
      </c>
      <c r="IC59" t="e">
        <f>AND('Planilla_General_07-12-2012_8_3'!E888,"AAAAAHd//Ow=")</f>
        <v>#VALUE!</v>
      </c>
      <c r="ID59" t="e">
        <f>AND('Planilla_General_07-12-2012_8_3'!F888,"AAAAAHd//O0=")</f>
        <v>#VALUE!</v>
      </c>
      <c r="IE59" t="e">
        <f>AND('Planilla_General_07-12-2012_8_3'!G888,"AAAAAHd//O4=")</f>
        <v>#VALUE!</v>
      </c>
      <c r="IF59" t="e">
        <f>AND('Planilla_General_07-12-2012_8_3'!H888,"AAAAAHd//O8=")</f>
        <v>#VALUE!</v>
      </c>
      <c r="IG59" t="e">
        <f>AND('Planilla_General_07-12-2012_8_3'!I888,"AAAAAHd//PA=")</f>
        <v>#VALUE!</v>
      </c>
      <c r="IH59" t="e">
        <f>AND('Planilla_General_07-12-2012_8_3'!J888,"AAAAAHd//PE=")</f>
        <v>#VALUE!</v>
      </c>
      <c r="II59" t="e">
        <f>AND('Planilla_General_07-12-2012_8_3'!K888,"AAAAAHd//PI=")</f>
        <v>#VALUE!</v>
      </c>
      <c r="IJ59" t="e">
        <f>AND('Planilla_General_07-12-2012_8_3'!L888,"AAAAAHd//PM=")</f>
        <v>#VALUE!</v>
      </c>
      <c r="IK59" t="e">
        <f>AND('Planilla_General_07-12-2012_8_3'!M888,"AAAAAHd//PQ=")</f>
        <v>#VALUE!</v>
      </c>
      <c r="IL59" t="e">
        <f>AND('Planilla_General_07-12-2012_8_3'!N888,"AAAAAHd//PU=")</f>
        <v>#VALUE!</v>
      </c>
      <c r="IM59" t="e">
        <f>AND('Planilla_General_07-12-2012_8_3'!O888,"AAAAAHd//PY=")</f>
        <v>#VALUE!</v>
      </c>
      <c r="IN59" t="e">
        <f>AND('Planilla_General_07-12-2012_8_3'!P888,"AAAAAHd//Pc=")</f>
        <v>#VALUE!</v>
      </c>
      <c r="IO59">
        <f>IF('Planilla_General_07-12-2012_8_3'!889:889,"AAAAAHd//Pg=",0)</f>
        <v>0</v>
      </c>
      <c r="IP59" t="e">
        <f>AND('Planilla_General_07-12-2012_8_3'!A889,"AAAAAHd//Pk=")</f>
        <v>#VALUE!</v>
      </c>
      <c r="IQ59" t="e">
        <f>AND('Planilla_General_07-12-2012_8_3'!B889,"AAAAAHd//Po=")</f>
        <v>#VALUE!</v>
      </c>
      <c r="IR59" t="e">
        <f>AND('Planilla_General_07-12-2012_8_3'!C889,"AAAAAHd//Ps=")</f>
        <v>#VALUE!</v>
      </c>
      <c r="IS59" t="e">
        <f>AND('Planilla_General_07-12-2012_8_3'!D889,"AAAAAHd//Pw=")</f>
        <v>#VALUE!</v>
      </c>
      <c r="IT59" t="e">
        <f>AND('Planilla_General_07-12-2012_8_3'!E889,"AAAAAHd//P0=")</f>
        <v>#VALUE!</v>
      </c>
      <c r="IU59" t="e">
        <f>AND('Planilla_General_07-12-2012_8_3'!F889,"AAAAAHd//P4=")</f>
        <v>#VALUE!</v>
      </c>
      <c r="IV59" t="e">
        <f>AND('Planilla_General_07-12-2012_8_3'!G889,"AAAAAHd//P8=")</f>
        <v>#VALUE!</v>
      </c>
    </row>
    <row r="60" spans="1:256" x14ac:dyDescent="0.25">
      <c r="A60" t="e">
        <f>AND('Planilla_General_07-12-2012_8_3'!H889,"AAAAAHfX3wA=")</f>
        <v>#VALUE!</v>
      </c>
      <c r="B60" t="e">
        <f>AND('Planilla_General_07-12-2012_8_3'!I889,"AAAAAHfX3wE=")</f>
        <v>#VALUE!</v>
      </c>
      <c r="C60" t="e">
        <f>AND('Planilla_General_07-12-2012_8_3'!J889,"AAAAAHfX3wI=")</f>
        <v>#VALUE!</v>
      </c>
      <c r="D60" t="e">
        <f>AND('Planilla_General_07-12-2012_8_3'!K889,"AAAAAHfX3wM=")</f>
        <v>#VALUE!</v>
      </c>
      <c r="E60" t="e">
        <f>AND('Planilla_General_07-12-2012_8_3'!L889,"AAAAAHfX3wQ=")</f>
        <v>#VALUE!</v>
      </c>
      <c r="F60" t="e">
        <f>AND('Planilla_General_07-12-2012_8_3'!M889,"AAAAAHfX3wU=")</f>
        <v>#VALUE!</v>
      </c>
      <c r="G60" t="e">
        <f>AND('Planilla_General_07-12-2012_8_3'!N889,"AAAAAHfX3wY=")</f>
        <v>#VALUE!</v>
      </c>
      <c r="H60" t="e">
        <f>AND('Planilla_General_07-12-2012_8_3'!O889,"AAAAAHfX3wc=")</f>
        <v>#VALUE!</v>
      </c>
      <c r="I60" t="e">
        <f>AND('Planilla_General_07-12-2012_8_3'!P889,"AAAAAHfX3wg=")</f>
        <v>#VALUE!</v>
      </c>
      <c r="J60" t="e">
        <f>IF('Planilla_General_07-12-2012_8_3'!890:890,"AAAAAHfX3wk=",0)</f>
        <v>#VALUE!</v>
      </c>
      <c r="K60" t="e">
        <f>AND('Planilla_General_07-12-2012_8_3'!A890,"AAAAAHfX3wo=")</f>
        <v>#VALUE!</v>
      </c>
      <c r="L60" t="e">
        <f>AND('Planilla_General_07-12-2012_8_3'!B890,"AAAAAHfX3ws=")</f>
        <v>#VALUE!</v>
      </c>
      <c r="M60" t="e">
        <f>AND('Planilla_General_07-12-2012_8_3'!C890,"AAAAAHfX3ww=")</f>
        <v>#VALUE!</v>
      </c>
      <c r="N60" t="e">
        <f>AND('Planilla_General_07-12-2012_8_3'!D890,"AAAAAHfX3w0=")</f>
        <v>#VALUE!</v>
      </c>
      <c r="O60" t="e">
        <f>AND('Planilla_General_07-12-2012_8_3'!E890,"AAAAAHfX3w4=")</f>
        <v>#VALUE!</v>
      </c>
      <c r="P60" t="e">
        <f>AND('Planilla_General_07-12-2012_8_3'!F890,"AAAAAHfX3w8=")</f>
        <v>#VALUE!</v>
      </c>
      <c r="Q60" t="e">
        <f>AND('Planilla_General_07-12-2012_8_3'!G890,"AAAAAHfX3xA=")</f>
        <v>#VALUE!</v>
      </c>
      <c r="R60" t="e">
        <f>AND('Planilla_General_07-12-2012_8_3'!H890,"AAAAAHfX3xE=")</f>
        <v>#VALUE!</v>
      </c>
      <c r="S60" t="e">
        <f>AND('Planilla_General_07-12-2012_8_3'!I890,"AAAAAHfX3xI=")</f>
        <v>#VALUE!</v>
      </c>
      <c r="T60" t="e">
        <f>AND('Planilla_General_07-12-2012_8_3'!J890,"AAAAAHfX3xM=")</f>
        <v>#VALUE!</v>
      </c>
      <c r="U60" t="e">
        <f>AND('Planilla_General_07-12-2012_8_3'!K890,"AAAAAHfX3xQ=")</f>
        <v>#VALUE!</v>
      </c>
      <c r="V60" t="e">
        <f>AND('Planilla_General_07-12-2012_8_3'!L890,"AAAAAHfX3xU=")</f>
        <v>#VALUE!</v>
      </c>
      <c r="W60" t="e">
        <f>AND('Planilla_General_07-12-2012_8_3'!M890,"AAAAAHfX3xY=")</f>
        <v>#VALUE!</v>
      </c>
      <c r="X60" t="e">
        <f>AND('Planilla_General_07-12-2012_8_3'!N890,"AAAAAHfX3xc=")</f>
        <v>#VALUE!</v>
      </c>
      <c r="Y60" t="e">
        <f>AND('Planilla_General_07-12-2012_8_3'!O890,"AAAAAHfX3xg=")</f>
        <v>#VALUE!</v>
      </c>
      <c r="Z60" t="e">
        <f>AND('Planilla_General_07-12-2012_8_3'!P890,"AAAAAHfX3xk=")</f>
        <v>#VALUE!</v>
      </c>
      <c r="AA60">
        <f>IF('Planilla_General_07-12-2012_8_3'!891:891,"AAAAAHfX3xo=",0)</f>
        <v>0</v>
      </c>
      <c r="AB60" t="e">
        <f>AND('Planilla_General_07-12-2012_8_3'!A891,"AAAAAHfX3xs=")</f>
        <v>#VALUE!</v>
      </c>
      <c r="AC60" t="e">
        <f>AND('Planilla_General_07-12-2012_8_3'!B891,"AAAAAHfX3xw=")</f>
        <v>#VALUE!</v>
      </c>
      <c r="AD60" t="e">
        <f>AND('Planilla_General_07-12-2012_8_3'!C891,"AAAAAHfX3x0=")</f>
        <v>#VALUE!</v>
      </c>
      <c r="AE60" t="e">
        <f>AND('Planilla_General_07-12-2012_8_3'!D891,"AAAAAHfX3x4=")</f>
        <v>#VALUE!</v>
      </c>
      <c r="AF60" t="e">
        <f>AND('Planilla_General_07-12-2012_8_3'!E891,"AAAAAHfX3x8=")</f>
        <v>#VALUE!</v>
      </c>
      <c r="AG60" t="e">
        <f>AND('Planilla_General_07-12-2012_8_3'!F891,"AAAAAHfX3yA=")</f>
        <v>#VALUE!</v>
      </c>
      <c r="AH60" t="e">
        <f>AND('Planilla_General_07-12-2012_8_3'!G891,"AAAAAHfX3yE=")</f>
        <v>#VALUE!</v>
      </c>
      <c r="AI60" t="e">
        <f>AND('Planilla_General_07-12-2012_8_3'!H891,"AAAAAHfX3yI=")</f>
        <v>#VALUE!</v>
      </c>
      <c r="AJ60" t="e">
        <f>AND('Planilla_General_07-12-2012_8_3'!I891,"AAAAAHfX3yM=")</f>
        <v>#VALUE!</v>
      </c>
      <c r="AK60" t="e">
        <f>AND('Planilla_General_07-12-2012_8_3'!J891,"AAAAAHfX3yQ=")</f>
        <v>#VALUE!</v>
      </c>
      <c r="AL60" t="e">
        <f>AND('Planilla_General_07-12-2012_8_3'!K891,"AAAAAHfX3yU=")</f>
        <v>#VALUE!</v>
      </c>
      <c r="AM60" t="e">
        <f>AND('Planilla_General_07-12-2012_8_3'!L891,"AAAAAHfX3yY=")</f>
        <v>#VALUE!</v>
      </c>
      <c r="AN60" t="e">
        <f>AND('Planilla_General_07-12-2012_8_3'!M891,"AAAAAHfX3yc=")</f>
        <v>#VALUE!</v>
      </c>
      <c r="AO60" t="e">
        <f>AND('Planilla_General_07-12-2012_8_3'!N891,"AAAAAHfX3yg=")</f>
        <v>#VALUE!</v>
      </c>
      <c r="AP60" t="e">
        <f>AND('Planilla_General_07-12-2012_8_3'!O891,"AAAAAHfX3yk=")</f>
        <v>#VALUE!</v>
      </c>
      <c r="AQ60" t="e">
        <f>AND('Planilla_General_07-12-2012_8_3'!P891,"AAAAAHfX3yo=")</f>
        <v>#VALUE!</v>
      </c>
      <c r="AR60">
        <f>IF('Planilla_General_07-12-2012_8_3'!892:892,"AAAAAHfX3ys=",0)</f>
        <v>0</v>
      </c>
      <c r="AS60" t="e">
        <f>AND('Planilla_General_07-12-2012_8_3'!A892,"AAAAAHfX3yw=")</f>
        <v>#VALUE!</v>
      </c>
      <c r="AT60" t="e">
        <f>AND('Planilla_General_07-12-2012_8_3'!B892,"AAAAAHfX3y0=")</f>
        <v>#VALUE!</v>
      </c>
      <c r="AU60" t="e">
        <f>AND('Planilla_General_07-12-2012_8_3'!C892,"AAAAAHfX3y4=")</f>
        <v>#VALUE!</v>
      </c>
      <c r="AV60" t="e">
        <f>AND('Planilla_General_07-12-2012_8_3'!D892,"AAAAAHfX3y8=")</f>
        <v>#VALUE!</v>
      </c>
      <c r="AW60" t="e">
        <f>AND('Planilla_General_07-12-2012_8_3'!E892,"AAAAAHfX3zA=")</f>
        <v>#VALUE!</v>
      </c>
      <c r="AX60" t="e">
        <f>AND('Planilla_General_07-12-2012_8_3'!F892,"AAAAAHfX3zE=")</f>
        <v>#VALUE!</v>
      </c>
      <c r="AY60" t="e">
        <f>AND('Planilla_General_07-12-2012_8_3'!G892,"AAAAAHfX3zI=")</f>
        <v>#VALUE!</v>
      </c>
      <c r="AZ60" t="e">
        <f>AND('Planilla_General_07-12-2012_8_3'!H892,"AAAAAHfX3zM=")</f>
        <v>#VALUE!</v>
      </c>
      <c r="BA60" t="e">
        <f>AND('Planilla_General_07-12-2012_8_3'!I892,"AAAAAHfX3zQ=")</f>
        <v>#VALUE!</v>
      </c>
      <c r="BB60" t="e">
        <f>AND('Planilla_General_07-12-2012_8_3'!J892,"AAAAAHfX3zU=")</f>
        <v>#VALUE!</v>
      </c>
      <c r="BC60" t="e">
        <f>AND('Planilla_General_07-12-2012_8_3'!K892,"AAAAAHfX3zY=")</f>
        <v>#VALUE!</v>
      </c>
      <c r="BD60" t="e">
        <f>AND('Planilla_General_07-12-2012_8_3'!L892,"AAAAAHfX3zc=")</f>
        <v>#VALUE!</v>
      </c>
      <c r="BE60" t="e">
        <f>AND('Planilla_General_07-12-2012_8_3'!M892,"AAAAAHfX3zg=")</f>
        <v>#VALUE!</v>
      </c>
      <c r="BF60" t="e">
        <f>AND('Planilla_General_07-12-2012_8_3'!N892,"AAAAAHfX3zk=")</f>
        <v>#VALUE!</v>
      </c>
      <c r="BG60" t="e">
        <f>AND('Planilla_General_07-12-2012_8_3'!O892,"AAAAAHfX3zo=")</f>
        <v>#VALUE!</v>
      </c>
      <c r="BH60" t="e">
        <f>AND('Planilla_General_07-12-2012_8_3'!P892,"AAAAAHfX3zs=")</f>
        <v>#VALUE!</v>
      </c>
      <c r="BI60">
        <f>IF('Planilla_General_07-12-2012_8_3'!893:893,"AAAAAHfX3zw=",0)</f>
        <v>0</v>
      </c>
      <c r="BJ60" t="e">
        <f>AND('Planilla_General_07-12-2012_8_3'!A893,"AAAAAHfX3z0=")</f>
        <v>#VALUE!</v>
      </c>
      <c r="BK60" t="e">
        <f>AND('Planilla_General_07-12-2012_8_3'!B893,"AAAAAHfX3z4=")</f>
        <v>#VALUE!</v>
      </c>
      <c r="BL60" t="e">
        <f>AND('Planilla_General_07-12-2012_8_3'!C893,"AAAAAHfX3z8=")</f>
        <v>#VALUE!</v>
      </c>
      <c r="BM60" t="e">
        <f>AND('Planilla_General_07-12-2012_8_3'!D893,"AAAAAHfX30A=")</f>
        <v>#VALUE!</v>
      </c>
      <c r="BN60" t="e">
        <f>AND('Planilla_General_07-12-2012_8_3'!E893,"AAAAAHfX30E=")</f>
        <v>#VALUE!</v>
      </c>
      <c r="BO60" t="e">
        <f>AND('Planilla_General_07-12-2012_8_3'!F893,"AAAAAHfX30I=")</f>
        <v>#VALUE!</v>
      </c>
      <c r="BP60" t="e">
        <f>AND('Planilla_General_07-12-2012_8_3'!G893,"AAAAAHfX30M=")</f>
        <v>#VALUE!</v>
      </c>
      <c r="BQ60" t="e">
        <f>AND('Planilla_General_07-12-2012_8_3'!H893,"AAAAAHfX30Q=")</f>
        <v>#VALUE!</v>
      </c>
      <c r="BR60" t="e">
        <f>AND('Planilla_General_07-12-2012_8_3'!I893,"AAAAAHfX30U=")</f>
        <v>#VALUE!</v>
      </c>
      <c r="BS60" t="e">
        <f>AND('Planilla_General_07-12-2012_8_3'!J893,"AAAAAHfX30Y=")</f>
        <v>#VALUE!</v>
      </c>
      <c r="BT60" t="e">
        <f>AND('Planilla_General_07-12-2012_8_3'!K893,"AAAAAHfX30c=")</f>
        <v>#VALUE!</v>
      </c>
      <c r="BU60" t="e">
        <f>AND('Planilla_General_07-12-2012_8_3'!L893,"AAAAAHfX30g=")</f>
        <v>#VALUE!</v>
      </c>
      <c r="BV60" t="e">
        <f>AND('Planilla_General_07-12-2012_8_3'!M893,"AAAAAHfX30k=")</f>
        <v>#VALUE!</v>
      </c>
      <c r="BW60" t="e">
        <f>AND('Planilla_General_07-12-2012_8_3'!N893,"AAAAAHfX30o=")</f>
        <v>#VALUE!</v>
      </c>
      <c r="BX60" t="e">
        <f>AND('Planilla_General_07-12-2012_8_3'!O893,"AAAAAHfX30s=")</f>
        <v>#VALUE!</v>
      </c>
      <c r="BY60" t="e">
        <f>AND('Planilla_General_07-12-2012_8_3'!P893,"AAAAAHfX30w=")</f>
        <v>#VALUE!</v>
      </c>
      <c r="BZ60">
        <f>IF('Planilla_General_07-12-2012_8_3'!894:894,"AAAAAHfX300=",0)</f>
        <v>0</v>
      </c>
      <c r="CA60" t="e">
        <f>AND('Planilla_General_07-12-2012_8_3'!A894,"AAAAAHfX304=")</f>
        <v>#VALUE!</v>
      </c>
      <c r="CB60" t="e">
        <f>AND('Planilla_General_07-12-2012_8_3'!B894,"AAAAAHfX308=")</f>
        <v>#VALUE!</v>
      </c>
      <c r="CC60" t="e">
        <f>AND('Planilla_General_07-12-2012_8_3'!C894,"AAAAAHfX31A=")</f>
        <v>#VALUE!</v>
      </c>
      <c r="CD60" t="e">
        <f>AND('Planilla_General_07-12-2012_8_3'!D894,"AAAAAHfX31E=")</f>
        <v>#VALUE!</v>
      </c>
      <c r="CE60" t="e">
        <f>AND('Planilla_General_07-12-2012_8_3'!E894,"AAAAAHfX31I=")</f>
        <v>#VALUE!</v>
      </c>
      <c r="CF60" t="e">
        <f>AND('Planilla_General_07-12-2012_8_3'!F894,"AAAAAHfX31M=")</f>
        <v>#VALUE!</v>
      </c>
      <c r="CG60" t="e">
        <f>AND('Planilla_General_07-12-2012_8_3'!G894,"AAAAAHfX31Q=")</f>
        <v>#VALUE!</v>
      </c>
      <c r="CH60" t="e">
        <f>AND('Planilla_General_07-12-2012_8_3'!H894,"AAAAAHfX31U=")</f>
        <v>#VALUE!</v>
      </c>
      <c r="CI60" t="e">
        <f>AND('Planilla_General_07-12-2012_8_3'!I894,"AAAAAHfX31Y=")</f>
        <v>#VALUE!</v>
      </c>
      <c r="CJ60" t="e">
        <f>AND('Planilla_General_07-12-2012_8_3'!J894,"AAAAAHfX31c=")</f>
        <v>#VALUE!</v>
      </c>
      <c r="CK60" t="e">
        <f>AND('Planilla_General_07-12-2012_8_3'!K894,"AAAAAHfX31g=")</f>
        <v>#VALUE!</v>
      </c>
      <c r="CL60" t="e">
        <f>AND('Planilla_General_07-12-2012_8_3'!L894,"AAAAAHfX31k=")</f>
        <v>#VALUE!</v>
      </c>
      <c r="CM60" t="e">
        <f>AND('Planilla_General_07-12-2012_8_3'!M894,"AAAAAHfX31o=")</f>
        <v>#VALUE!</v>
      </c>
      <c r="CN60" t="e">
        <f>AND('Planilla_General_07-12-2012_8_3'!N894,"AAAAAHfX31s=")</f>
        <v>#VALUE!</v>
      </c>
      <c r="CO60" t="e">
        <f>AND('Planilla_General_07-12-2012_8_3'!O894,"AAAAAHfX31w=")</f>
        <v>#VALUE!</v>
      </c>
      <c r="CP60" t="e">
        <f>AND('Planilla_General_07-12-2012_8_3'!P894,"AAAAAHfX310=")</f>
        <v>#VALUE!</v>
      </c>
      <c r="CQ60">
        <f>IF('Planilla_General_07-12-2012_8_3'!895:895,"AAAAAHfX314=",0)</f>
        <v>0</v>
      </c>
      <c r="CR60" t="e">
        <f>AND('Planilla_General_07-12-2012_8_3'!A895,"AAAAAHfX318=")</f>
        <v>#VALUE!</v>
      </c>
      <c r="CS60" t="e">
        <f>AND('Planilla_General_07-12-2012_8_3'!B895,"AAAAAHfX32A=")</f>
        <v>#VALUE!</v>
      </c>
      <c r="CT60" t="e">
        <f>AND('Planilla_General_07-12-2012_8_3'!C895,"AAAAAHfX32E=")</f>
        <v>#VALUE!</v>
      </c>
      <c r="CU60" t="e">
        <f>AND('Planilla_General_07-12-2012_8_3'!D895,"AAAAAHfX32I=")</f>
        <v>#VALUE!</v>
      </c>
      <c r="CV60" t="e">
        <f>AND('Planilla_General_07-12-2012_8_3'!E895,"AAAAAHfX32M=")</f>
        <v>#VALUE!</v>
      </c>
      <c r="CW60" t="e">
        <f>AND('Planilla_General_07-12-2012_8_3'!F895,"AAAAAHfX32Q=")</f>
        <v>#VALUE!</v>
      </c>
      <c r="CX60" t="e">
        <f>AND('Planilla_General_07-12-2012_8_3'!G895,"AAAAAHfX32U=")</f>
        <v>#VALUE!</v>
      </c>
      <c r="CY60" t="e">
        <f>AND('Planilla_General_07-12-2012_8_3'!H895,"AAAAAHfX32Y=")</f>
        <v>#VALUE!</v>
      </c>
      <c r="CZ60" t="e">
        <f>AND('Planilla_General_07-12-2012_8_3'!I895,"AAAAAHfX32c=")</f>
        <v>#VALUE!</v>
      </c>
      <c r="DA60" t="e">
        <f>AND('Planilla_General_07-12-2012_8_3'!J895,"AAAAAHfX32g=")</f>
        <v>#VALUE!</v>
      </c>
      <c r="DB60" t="e">
        <f>AND('Planilla_General_07-12-2012_8_3'!K895,"AAAAAHfX32k=")</f>
        <v>#VALUE!</v>
      </c>
      <c r="DC60" t="e">
        <f>AND('Planilla_General_07-12-2012_8_3'!L895,"AAAAAHfX32o=")</f>
        <v>#VALUE!</v>
      </c>
      <c r="DD60" t="e">
        <f>AND('Planilla_General_07-12-2012_8_3'!M895,"AAAAAHfX32s=")</f>
        <v>#VALUE!</v>
      </c>
      <c r="DE60" t="e">
        <f>AND('Planilla_General_07-12-2012_8_3'!N895,"AAAAAHfX32w=")</f>
        <v>#VALUE!</v>
      </c>
      <c r="DF60" t="e">
        <f>AND('Planilla_General_07-12-2012_8_3'!O895,"AAAAAHfX320=")</f>
        <v>#VALUE!</v>
      </c>
      <c r="DG60" t="e">
        <f>AND('Planilla_General_07-12-2012_8_3'!P895,"AAAAAHfX324=")</f>
        <v>#VALUE!</v>
      </c>
      <c r="DH60">
        <f>IF('Planilla_General_07-12-2012_8_3'!896:896,"AAAAAHfX328=",0)</f>
        <v>0</v>
      </c>
      <c r="DI60" t="e">
        <f>AND('Planilla_General_07-12-2012_8_3'!A896,"AAAAAHfX33A=")</f>
        <v>#VALUE!</v>
      </c>
      <c r="DJ60" t="e">
        <f>AND('Planilla_General_07-12-2012_8_3'!B896,"AAAAAHfX33E=")</f>
        <v>#VALUE!</v>
      </c>
      <c r="DK60" t="e">
        <f>AND('Planilla_General_07-12-2012_8_3'!C896,"AAAAAHfX33I=")</f>
        <v>#VALUE!</v>
      </c>
      <c r="DL60" t="e">
        <f>AND('Planilla_General_07-12-2012_8_3'!D896,"AAAAAHfX33M=")</f>
        <v>#VALUE!</v>
      </c>
      <c r="DM60" t="e">
        <f>AND('Planilla_General_07-12-2012_8_3'!E896,"AAAAAHfX33Q=")</f>
        <v>#VALUE!</v>
      </c>
      <c r="DN60" t="e">
        <f>AND('Planilla_General_07-12-2012_8_3'!F896,"AAAAAHfX33U=")</f>
        <v>#VALUE!</v>
      </c>
      <c r="DO60" t="e">
        <f>AND('Planilla_General_07-12-2012_8_3'!G896,"AAAAAHfX33Y=")</f>
        <v>#VALUE!</v>
      </c>
      <c r="DP60" t="e">
        <f>AND('Planilla_General_07-12-2012_8_3'!H896,"AAAAAHfX33c=")</f>
        <v>#VALUE!</v>
      </c>
      <c r="DQ60" t="e">
        <f>AND('Planilla_General_07-12-2012_8_3'!I896,"AAAAAHfX33g=")</f>
        <v>#VALUE!</v>
      </c>
      <c r="DR60" t="e">
        <f>AND('Planilla_General_07-12-2012_8_3'!J896,"AAAAAHfX33k=")</f>
        <v>#VALUE!</v>
      </c>
      <c r="DS60" t="e">
        <f>AND('Planilla_General_07-12-2012_8_3'!K896,"AAAAAHfX33o=")</f>
        <v>#VALUE!</v>
      </c>
      <c r="DT60" t="e">
        <f>AND('Planilla_General_07-12-2012_8_3'!L896,"AAAAAHfX33s=")</f>
        <v>#VALUE!</v>
      </c>
      <c r="DU60" t="e">
        <f>AND('Planilla_General_07-12-2012_8_3'!M896,"AAAAAHfX33w=")</f>
        <v>#VALUE!</v>
      </c>
      <c r="DV60" t="e">
        <f>AND('Planilla_General_07-12-2012_8_3'!N896,"AAAAAHfX330=")</f>
        <v>#VALUE!</v>
      </c>
      <c r="DW60" t="e">
        <f>AND('Planilla_General_07-12-2012_8_3'!O896,"AAAAAHfX334=")</f>
        <v>#VALUE!</v>
      </c>
      <c r="DX60" t="e">
        <f>AND('Planilla_General_07-12-2012_8_3'!P896,"AAAAAHfX338=")</f>
        <v>#VALUE!</v>
      </c>
      <c r="DY60">
        <f>IF('Planilla_General_07-12-2012_8_3'!897:897,"AAAAAHfX34A=",0)</f>
        <v>0</v>
      </c>
      <c r="DZ60" t="e">
        <f>AND('Planilla_General_07-12-2012_8_3'!A897,"AAAAAHfX34E=")</f>
        <v>#VALUE!</v>
      </c>
      <c r="EA60" t="e">
        <f>AND('Planilla_General_07-12-2012_8_3'!B897,"AAAAAHfX34I=")</f>
        <v>#VALUE!</v>
      </c>
      <c r="EB60" t="e">
        <f>AND('Planilla_General_07-12-2012_8_3'!C897,"AAAAAHfX34M=")</f>
        <v>#VALUE!</v>
      </c>
      <c r="EC60" t="e">
        <f>AND('Planilla_General_07-12-2012_8_3'!D897,"AAAAAHfX34Q=")</f>
        <v>#VALUE!</v>
      </c>
      <c r="ED60" t="e">
        <f>AND('Planilla_General_07-12-2012_8_3'!E897,"AAAAAHfX34U=")</f>
        <v>#VALUE!</v>
      </c>
      <c r="EE60" t="e">
        <f>AND('Planilla_General_07-12-2012_8_3'!F897,"AAAAAHfX34Y=")</f>
        <v>#VALUE!</v>
      </c>
      <c r="EF60" t="e">
        <f>AND('Planilla_General_07-12-2012_8_3'!G897,"AAAAAHfX34c=")</f>
        <v>#VALUE!</v>
      </c>
      <c r="EG60" t="e">
        <f>AND('Planilla_General_07-12-2012_8_3'!H897,"AAAAAHfX34g=")</f>
        <v>#VALUE!</v>
      </c>
      <c r="EH60" t="e">
        <f>AND('Planilla_General_07-12-2012_8_3'!I897,"AAAAAHfX34k=")</f>
        <v>#VALUE!</v>
      </c>
      <c r="EI60" t="e">
        <f>AND('Planilla_General_07-12-2012_8_3'!J897,"AAAAAHfX34o=")</f>
        <v>#VALUE!</v>
      </c>
      <c r="EJ60" t="e">
        <f>AND('Planilla_General_07-12-2012_8_3'!K897,"AAAAAHfX34s=")</f>
        <v>#VALUE!</v>
      </c>
      <c r="EK60" t="e">
        <f>AND('Planilla_General_07-12-2012_8_3'!L897,"AAAAAHfX34w=")</f>
        <v>#VALUE!</v>
      </c>
      <c r="EL60" t="e">
        <f>AND('Planilla_General_07-12-2012_8_3'!M897,"AAAAAHfX340=")</f>
        <v>#VALUE!</v>
      </c>
      <c r="EM60" t="e">
        <f>AND('Planilla_General_07-12-2012_8_3'!N897,"AAAAAHfX344=")</f>
        <v>#VALUE!</v>
      </c>
      <c r="EN60" t="e">
        <f>AND('Planilla_General_07-12-2012_8_3'!O897,"AAAAAHfX348=")</f>
        <v>#VALUE!</v>
      </c>
      <c r="EO60" t="e">
        <f>AND('Planilla_General_07-12-2012_8_3'!P897,"AAAAAHfX35A=")</f>
        <v>#VALUE!</v>
      </c>
      <c r="EP60">
        <f>IF('Planilla_General_07-12-2012_8_3'!898:898,"AAAAAHfX35E=",0)</f>
        <v>0</v>
      </c>
      <c r="EQ60" t="e">
        <f>AND('Planilla_General_07-12-2012_8_3'!A898,"AAAAAHfX35I=")</f>
        <v>#VALUE!</v>
      </c>
      <c r="ER60" t="e">
        <f>AND('Planilla_General_07-12-2012_8_3'!B898,"AAAAAHfX35M=")</f>
        <v>#VALUE!</v>
      </c>
      <c r="ES60" t="e">
        <f>AND('Planilla_General_07-12-2012_8_3'!C898,"AAAAAHfX35Q=")</f>
        <v>#VALUE!</v>
      </c>
      <c r="ET60" t="e">
        <f>AND('Planilla_General_07-12-2012_8_3'!D898,"AAAAAHfX35U=")</f>
        <v>#VALUE!</v>
      </c>
      <c r="EU60" t="e">
        <f>AND('Planilla_General_07-12-2012_8_3'!E898,"AAAAAHfX35Y=")</f>
        <v>#VALUE!</v>
      </c>
      <c r="EV60" t="e">
        <f>AND('Planilla_General_07-12-2012_8_3'!F898,"AAAAAHfX35c=")</f>
        <v>#VALUE!</v>
      </c>
      <c r="EW60" t="e">
        <f>AND('Planilla_General_07-12-2012_8_3'!G898,"AAAAAHfX35g=")</f>
        <v>#VALUE!</v>
      </c>
      <c r="EX60" t="e">
        <f>AND('Planilla_General_07-12-2012_8_3'!H898,"AAAAAHfX35k=")</f>
        <v>#VALUE!</v>
      </c>
      <c r="EY60" t="e">
        <f>AND('Planilla_General_07-12-2012_8_3'!I898,"AAAAAHfX35o=")</f>
        <v>#VALUE!</v>
      </c>
      <c r="EZ60" t="e">
        <f>AND('Planilla_General_07-12-2012_8_3'!J898,"AAAAAHfX35s=")</f>
        <v>#VALUE!</v>
      </c>
      <c r="FA60" t="e">
        <f>AND('Planilla_General_07-12-2012_8_3'!K898,"AAAAAHfX35w=")</f>
        <v>#VALUE!</v>
      </c>
      <c r="FB60" t="e">
        <f>AND('Planilla_General_07-12-2012_8_3'!L898,"AAAAAHfX350=")</f>
        <v>#VALUE!</v>
      </c>
      <c r="FC60" t="e">
        <f>AND('Planilla_General_07-12-2012_8_3'!M898,"AAAAAHfX354=")</f>
        <v>#VALUE!</v>
      </c>
      <c r="FD60" t="e">
        <f>AND('Planilla_General_07-12-2012_8_3'!N898,"AAAAAHfX358=")</f>
        <v>#VALUE!</v>
      </c>
      <c r="FE60" t="e">
        <f>AND('Planilla_General_07-12-2012_8_3'!O898,"AAAAAHfX36A=")</f>
        <v>#VALUE!</v>
      </c>
      <c r="FF60" t="e">
        <f>AND('Planilla_General_07-12-2012_8_3'!P898,"AAAAAHfX36E=")</f>
        <v>#VALUE!</v>
      </c>
      <c r="FG60">
        <f>IF('Planilla_General_07-12-2012_8_3'!899:899,"AAAAAHfX36I=",0)</f>
        <v>0</v>
      </c>
      <c r="FH60" t="e">
        <f>AND('Planilla_General_07-12-2012_8_3'!A899,"AAAAAHfX36M=")</f>
        <v>#VALUE!</v>
      </c>
      <c r="FI60" t="e">
        <f>AND('Planilla_General_07-12-2012_8_3'!B899,"AAAAAHfX36Q=")</f>
        <v>#VALUE!</v>
      </c>
      <c r="FJ60" t="e">
        <f>AND('Planilla_General_07-12-2012_8_3'!C899,"AAAAAHfX36U=")</f>
        <v>#VALUE!</v>
      </c>
      <c r="FK60" t="e">
        <f>AND('Planilla_General_07-12-2012_8_3'!D899,"AAAAAHfX36Y=")</f>
        <v>#VALUE!</v>
      </c>
      <c r="FL60" t="e">
        <f>AND('Planilla_General_07-12-2012_8_3'!E899,"AAAAAHfX36c=")</f>
        <v>#VALUE!</v>
      </c>
      <c r="FM60" t="e">
        <f>AND('Planilla_General_07-12-2012_8_3'!F899,"AAAAAHfX36g=")</f>
        <v>#VALUE!</v>
      </c>
      <c r="FN60" t="e">
        <f>AND('Planilla_General_07-12-2012_8_3'!G899,"AAAAAHfX36k=")</f>
        <v>#VALUE!</v>
      </c>
      <c r="FO60" t="e">
        <f>AND('Planilla_General_07-12-2012_8_3'!H899,"AAAAAHfX36o=")</f>
        <v>#VALUE!</v>
      </c>
      <c r="FP60" t="e">
        <f>AND('Planilla_General_07-12-2012_8_3'!I899,"AAAAAHfX36s=")</f>
        <v>#VALUE!</v>
      </c>
      <c r="FQ60" t="e">
        <f>AND('Planilla_General_07-12-2012_8_3'!J899,"AAAAAHfX36w=")</f>
        <v>#VALUE!</v>
      </c>
      <c r="FR60" t="e">
        <f>AND('Planilla_General_07-12-2012_8_3'!K899,"AAAAAHfX360=")</f>
        <v>#VALUE!</v>
      </c>
      <c r="FS60" t="e">
        <f>AND('Planilla_General_07-12-2012_8_3'!L899,"AAAAAHfX364=")</f>
        <v>#VALUE!</v>
      </c>
      <c r="FT60" t="e">
        <f>AND('Planilla_General_07-12-2012_8_3'!M899,"AAAAAHfX368=")</f>
        <v>#VALUE!</v>
      </c>
      <c r="FU60" t="e">
        <f>AND('Planilla_General_07-12-2012_8_3'!N899,"AAAAAHfX37A=")</f>
        <v>#VALUE!</v>
      </c>
      <c r="FV60" t="e">
        <f>AND('Planilla_General_07-12-2012_8_3'!O899,"AAAAAHfX37E=")</f>
        <v>#VALUE!</v>
      </c>
      <c r="FW60" t="e">
        <f>AND('Planilla_General_07-12-2012_8_3'!P899,"AAAAAHfX37I=")</f>
        <v>#VALUE!</v>
      </c>
      <c r="FX60">
        <f>IF('Planilla_General_07-12-2012_8_3'!900:900,"AAAAAHfX37M=",0)</f>
        <v>0</v>
      </c>
      <c r="FY60" t="e">
        <f>AND('Planilla_General_07-12-2012_8_3'!A900,"AAAAAHfX37Q=")</f>
        <v>#VALUE!</v>
      </c>
      <c r="FZ60" t="e">
        <f>AND('Planilla_General_07-12-2012_8_3'!B900,"AAAAAHfX37U=")</f>
        <v>#VALUE!</v>
      </c>
      <c r="GA60" t="e">
        <f>AND('Planilla_General_07-12-2012_8_3'!C900,"AAAAAHfX37Y=")</f>
        <v>#VALUE!</v>
      </c>
      <c r="GB60" t="e">
        <f>AND('Planilla_General_07-12-2012_8_3'!D900,"AAAAAHfX37c=")</f>
        <v>#VALUE!</v>
      </c>
      <c r="GC60" t="e">
        <f>AND('Planilla_General_07-12-2012_8_3'!E900,"AAAAAHfX37g=")</f>
        <v>#VALUE!</v>
      </c>
      <c r="GD60" t="e">
        <f>AND('Planilla_General_07-12-2012_8_3'!F900,"AAAAAHfX37k=")</f>
        <v>#VALUE!</v>
      </c>
      <c r="GE60" t="e">
        <f>AND('Planilla_General_07-12-2012_8_3'!G900,"AAAAAHfX37o=")</f>
        <v>#VALUE!</v>
      </c>
      <c r="GF60" t="e">
        <f>AND('Planilla_General_07-12-2012_8_3'!H900,"AAAAAHfX37s=")</f>
        <v>#VALUE!</v>
      </c>
      <c r="GG60" t="e">
        <f>AND('Planilla_General_07-12-2012_8_3'!I900,"AAAAAHfX37w=")</f>
        <v>#VALUE!</v>
      </c>
      <c r="GH60" t="e">
        <f>AND('Planilla_General_07-12-2012_8_3'!J900,"AAAAAHfX370=")</f>
        <v>#VALUE!</v>
      </c>
      <c r="GI60" t="e">
        <f>AND('Planilla_General_07-12-2012_8_3'!K900,"AAAAAHfX374=")</f>
        <v>#VALUE!</v>
      </c>
      <c r="GJ60" t="e">
        <f>AND('Planilla_General_07-12-2012_8_3'!L900,"AAAAAHfX378=")</f>
        <v>#VALUE!</v>
      </c>
      <c r="GK60" t="e">
        <f>AND('Planilla_General_07-12-2012_8_3'!M900,"AAAAAHfX38A=")</f>
        <v>#VALUE!</v>
      </c>
      <c r="GL60" t="e">
        <f>AND('Planilla_General_07-12-2012_8_3'!N900,"AAAAAHfX38E=")</f>
        <v>#VALUE!</v>
      </c>
      <c r="GM60" t="e">
        <f>AND('Planilla_General_07-12-2012_8_3'!O900,"AAAAAHfX38I=")</f>
        <v>#VALUE!</v>
      </c>
      <c r="GN60" t="e">
        <f>AND('Planilla_General_07-12-2012_8_3'!P900,"AAAAAHfX38M=")</f>
        <v>#VALUE!</v>
      </c>
      <c r="GO60">
        <f>IF('Planilla_General_07-12-2012_8_3'!901:901,"AAAAAHfX38Q=",0)</f>
        <v>0</v>
      </c>
      <c r="GP60" t="e">
        <f>AND('Planilla_General_07-12-2012_8_3'!A901,"AAAAAHfX38U=")</f>
        <v>#VALUE!</v>
      </c>
      <c r="GQ60" t="e">
        <f>AND('Planilla_General_07-12-2012_8_3'!B901,"AAAAAHfX38Y=")</f>
        <v>#VALUE!</v>
      </c>
      <c r="GR60" t="e">
        <f>AND('Planilla_General_07-12-2012_8_3'!C901,"AAAAAHfX38c=")</f>
        <v>#VALUE!</v>
      </c>
      <c r="GS60" t="e">
        <f>AND('Planilla_General_07-12-2012_8_3'!D901,"AAAAAHfX38g=")</f>
        <v>#VALUE!</v>
      </c>
      <c r="GT60" t="e">
        <f>AND('Planilla_General_07-12-2012_8_3'!E901,"AAAAAHfX38k=")</f>
        <v>#VALUE!</v>
      </c>
      <c r="GU60" t="e">
        <f>AND('Planilla_General_07-12-2012_8_3'!F901,"AAAAAHfX38o=")</f>
        <v>#VALUE!</v>
      </c>
      <c r="GV60" t="e">
        <f>AND('Planilla_General_07-12-2012_8_3'!G901,"AAAAAHfX38s=")</f>
        <v>#VALUE!</v>
      </c>
      <c r="GW60" t="e">
        <f>AND('Planilla_General_07-12-2012_8_3'!H901,"AAAAAHfX38w=")</f>
        <v>#VALUE!</v>
      </c>
      <c r="GX60" t="e">
        <f>AND('Planilla_General_07-12-2012_8_3'!I901,"AAAAAHfX380=")</f>
        <v>#VALUE!</v>
      </c>
      <c r="GY60" t="e">
        <f>AND('Planilla_General_07-12-2012_8_3'!J901,"AAAAAHfX384=")</f>
        <v>#VALUE!</v>
      </c>
      <c r="GZ60" t="e">
        <f>AND('Planilla_General_07-12-2012_8_3'!K901,"AAAAAHfX388=")</f>
        <v>#VALUE!</v>
      </c>
      <c r="HA60" t="e">
        <f>AND('Planilla_General_07-12-2012_8_3'!L901,"AAAAAHfX39A=")</f>
        <v>#VALUE!</v>
      </c>
      <c r="HB60" t="e">
        <f>AND('Planilla_General_07-12-2012_8_3'!M901,"AAAAAHfX39E=")</f>
        <v>#VALUE!</v>
      </c>
      <c r="HC60" t="e">
        <f>AND('Planilla_General_07-12-2012_8_3'!N901,"AAAAAHfX39I=")</f>
        <v>#VALUE!</v>
      </c>
      <c r="HD60" t="e">
        <f>AND('Planilla_General_07-12-2012_8_3'!O901,"AAAAAHfX39M=")</f>
        <v>#VALUE!</v>
      </c>
      <c r="HE60" t="e">
        <f>AND('Planilla_General_07-12-2012_8_3'!P901,"AAAAAHfX39Q=")</f>
        <v>#VALUE!</v>
      </c>
      <c r="HF60">
        <f>IF('Planilla_General_07-12-2012_8_3'!902:902,"AAAAAHfX39U=",0)</f>
        <v>0</v>
      </c>
      <c r="HG60" t="e">
        <f>AND('Planilla_General_07-12-2012_8_3'!A902,"AAAAAHfX39Y=")</f>
        <v>#VALUE!</v>
      </c>
      <c r="HH60" t="e">
        <f>AND('Planilla_General_07-12-2012_8_3'!B902,"AAAAAHfX39c=")</f>
        <v>#VALUE!</v>
      </c>
      <c r="HI60" t="e">
        <f>AND('Planilla_General_07-12-2012_8_3'!C902,"AAAAAHfX39g=")</f>
        <v>#VALUE!</v>
      </c>
      <c r="HJ60" t="e">
        <f>AND('Planilla_General_07-12-2012_8_3'!D902,"AAAAAHfX39k=")</f>
        <v>#VALUE!</v>
      </c>
      <c r="HK60" t="e">
        <f>AND('Planilla_General_07-12-2012_8_3'!E902,"AAAAAHfX39o=")</f>
        <v>#VALUE!</v>
      </c>
      <c r="HL60" t="e">
        <f>AND('Planilla_General_07-12-2012_8_3'!F902,"AAAAAHfX39s=")</f>
        <v>#VALUE!</v>
      </c>
      <c r="HM60" t="e">
        <f>AND('Planilla_General_07-12-2012_8_3'!G902,"AAAAAHfX39w=")</f>
        <v>#VALUE!</v>
      </c>
      <c r="HN60" t="e">
        <f>AND('Planilla_General_07-12-2012_8_3'!H902,"AAAAAHfX390=")</f>
        <v>#VALUE!</v>
      </c>
      <c r="HO60" t="e">
        <f>AND('Planilla_General_07-12-2012_8_3'!I902,"AAAAAHfX394=")</f>
        <v>#VALUE!</v>
      </c>
      <c r="HP60" t="e">
        <f>AND('Planilla_General_07-12-2012_8_3'!J902,"AAAAAHfX398=")</f>
        <v>#VALUE!</v>
      </c>
      <c r="HQ60" t="e">
        <f>AND('Planilla_General_07-12-2012_8_3'!K902,"AAAAAHfX3+A=")</f>
        <v>#VALUE!</v>
      </c>
      <c r="HR60" t="e">
        <f>AND('Planilla_General_07-12-2012_8_3'!L902,"AAAAAHfX3+E=")</f>
        <v>#VALUE!</v>
      </c>
      <c r="HS60" t="e">
        <f>AND('Planilla_General_07-12-2012_8_3'!M902,"AAAAAHfX3+I=")</f>
        <v>#VALUE!</v>
      </c>
      <c r="HT60" t="e">
        <f>AND('Planilla_General_07-12-2012_8_3'!N902,"AAAAAHfX3+M=")</f>
        <v>#VALUE!</v>
      </c>
      <c r="HU60" t="e">
        <f>AND('Planilla_General_07-12-2012_8_3'!O902,"AAAAAHfX3+Q=")</f>
        <v>#VALUE!</v>
      </c>
      <c r="HV60" t="e">
        <f>AND('Planilla_General_07-12-2012_8_3'!P902,"AAAAAHfX3+U=")</f>
        <v>#VALUE!</v>
      </c>
      <c r="HW60">
        <f>IF('Planilla_General_07-12-2012_8_3'!903:903,"AAAAAHfX3+Y=",0)</f>
        <v>0</v>
      </c>
      <c r="HX60" t="e">
        <f>AND('Planilla_General_07-12-2012_8_3'!A903,"AAAAAHfX3+c=")</f>
        <v>#VALUE!</v>
      </c>
      <c r="HY60" t="e">
        <f>AND('Planilla_General_07-12-2012_8_3'!B903,"AAAAAHfX3+g=")</f>
        <v>#VALUE!</v>
      </c>
      <c r="HZ60" t="e">
        <f>AND('Planilla_General_07-12-2012_8_3'!C903,"AAAAAHfX3+k=")</f>
        <v>#VALUE!</v>
      </c>
      <c r="IA60" t="e">
        <f>AND('Planilla_General_07-12-2012_8_3'!D903,"AAAAAHfX3+o=")</f>
        <v>#VALUE!</v>
      </c>
      <c r="IB60" t="e">
        <f>AND('Planilla_General_07-12-2012_8_3'!E903,"AAAAAHfX3+s=")</f>
        <v>#VALUE!</v>
      </c>
      <c r="IC60" t="e">
        <f>AND('Planilla_General_07-12-2012_8_3'!F903,"AAAAAHfX3+w=")</f>
        <v>#VALUE!</v>
      </c>
      <c r="ID60" t="e">
        <f>AND('Planilla_General_07-12-2012_8_3'!G903,"AAAAAHfX3+0=")</f>
        <v>#VALUE!</v>
      </c>
      <c r="IE60" t="e">
        <f>AND('Planilla_General_07-12-2012_8_3'!H903,"AAAAAHfX3+4=")</f>
        <v>#VALUE!</v>
      </c>
      <c r="IF60" t="e">
        <f>AND('Planilla_General_07-12-2012_8_3'!I903,"AAAAAHfX3+8=")</f>
        <v>#VALUE!</v>
      </c>
      <c r="IG60" t="e">
        <f>AND('Planilla_General_07-12-2012_8_3'!J903,"AAAAAHfX3/A=")</f>
        <v>#VALUE!</v>
      </c>
      <c r="IH60" t="e">
        <f>AND('Planilla_General_07-12-2012_8_3'!K903,"AAAAAHfX3/E=")</f>
        <v>#VALUE!</v>
      </c>
      <c r="II60" t="e">
        <f>AND('Planilla_General_07-12-2012_8_3'!L903,"AAAAAHfX3/I=")</f>
        <v>#VALUE!</v>
      </c>
      <c r="IJ60" t="e">
        <f>AND('Planilla_General_07-12-2012_8_3'!M903,"AAAAAHfX3/M=")</f>
        <v>#VALUE!</v>
      </c>
      <c r="IK60" t="e">
        <f>AND('Planilla_General_07-12-2012_8_3'!N903,"AAAAAHfX3/Q=")</f>
        <v>#VALUE!</v>
      </c>
      <c r="IL60" t="e">
        <f>AND('Planilla_General_07-12-2012_8_3'!O903,"AAAAAHfX3/U=")</f>
        <v>#VALUE!</v>
      </c>
      <c r="IM60" t="e">
        <f>AND('Planilla_General_07-12-2012_8_3'!P903,"AAAAAHfX3/Y=")</f>
        <v>#VALUE!</v>
      </c>
      <c r="IN60">
        <f>IF('Planilla_General_07-12-2012_8_3'!904:904,"AAAAAHfX3/c=",0)</f>
        <v>0</v>
      </c>
      <c r="IO60" t="e">
        <f>AND('Planilla_General_07-12-2012_8_3'!A904,"AAAAAHfX3/g=")</f>
        <v>#VALUE!</v>
      </c>
      <c r="IP60" t="e">
        <f>AND('Planilla_General_07-12-2012_8_3'!B904,"AAAAAHfX3/k=")</f>
        <v>#VALUE!</v>
      </c>
      <c r="IQ60" t="e">
        <f>AND('Planilla_General_07-12-2012_8_3'!C904,"AAAAAHfX3/o=")</f>
        <v>#VALUE!</v>
      </c>
      <c r="IR60" t="e">
        <f>AND('Planilla_General_07-12-2012_8_3'!D904,"AAAAAHfX3/s=")</f>
        <v>#VALUE!</v>
      </c>
      <c r="IS60" t="e">
        <f>AND('Planilla_General_07-12-2012_8_3'!E904,"AAAAAHfX3/w=")</f>
        <v>#VALUE!</v>
      </c>
      <c r="IT60" t="e">
        <f>AND('Planilla_General_07-12-2012_8_3'!F904,"AAAAAHfX3/0=")</f>
        <v>#VALUE!</v>
      </c>
      <c r="IU60" t="e">
        <f>AND('Planilla_General_07-12-2012_8_3'!G904,"AAAAAHfX3/4=")</f>
        <v>#VALUE!</v>
      </c>
      <c r="IV60" t="e">
        <f>AND('Planilla_General_07-12-2012_8_3'!H904,"AAAAAHfX3/8=")</f>
        <v>#VALUE!</v>
      </c>
    </row>
    <row r="61" spans="1:256" x14ac:dyDescent="0.25">
      <c r="A61" t="e">
        <f>AND('Planilla_General_07-12-2012_8_3'!I904,"AAAAAHjW3QA=")</f>
        <v>#VALUE!</v>
      </c>
      <c r="B61" t="e">
        <f>AND('Planilla_General_07-12-2012_8_3'!J904,"AAAAAHjW3QE=")</f>
        <v>#VALUE!</v>
      </c>
      <c r="C61" t="e">
        <f>AND('Planilla_General_07-12-2012_8_3'!K904,"AAAAAHjW3QI=")</f>
        <v>#VALUE!</v>
      </c>
      <c r="D61" t="e">
        <f>AND('Planilla_General_07-12-2012_8_3'!L904,"AAAAAHjW3QM=")</f>
        <v>#VALUE!</v>
      </c>
      <c r="E61" t="e">
        <f>AND('Planilla_General_07-12-2012_8_3'!M904,"AAAAAHjW3QQ=")</f>
        <v>#VALUE!</v>
      </c>
      <c r="F61" t="e">
        <f>AND('Planilla_General_07-12-2012_8_3'!N904,"AAAAAHjW3QU=")</f>
        <v>#VALUE!</v>
      </c>
      <c r="G61" t="e">
        <f>AND('Planilla_General_07-12-2012_8_3'!O904,"AAAAAHjW3QY=")</f>
        <v>#VALUE!</v>
      </c>
      <c r="H61" t="e">
        <f>AND('Planilla_General_07-12-2012_8_3'!P904,"AAAAAHjW3Qc=")</f>
        <v>#VALUE!</v>
      </c>
      <c r="I61" t="e">
        <f>IF('Planilla_General_07-12-2012_8_3'!905:905,"AAAAAHjW3Qg=",0)</f>
        <v>#VALUE!</v>
      </c>
      <c r="J61" t="e">
        <f>AND('Planilla_General_07-12-2012_8_3'!A905,"AAAAAHjW3Qk=")</f>
        <v>#VALUE!</v>
      </c>
      <c r="K61" t="e">
        <f>AND('Planilla_General_07-12-2012_8_3'!B905,"AAAAAHjW3Qo=")</f>
        <v>#VALUE!</v>
      </c>
      <c r="L61" t="e">
        <f>AND('Planilla_General_07-12-2012_8_3'!C905,"AAAAAHjW3Qs=")</f>
        <v>#VALUE!</v>
      </c>
      <c r="M61" t="e">
        <f>AND('Planilla_General_07-12-2012_8_3'!D905,"AAAAAHjW3Qw=")</f>
        <v>#VALUE!</v>
      </c>
      <c r="N61" t="e">
        <f>AND('Planilla_General_07-12-2012_8_3'!E905,"AAAAAHjW3Q0=")</f>
        <v>#VALUE!</v>
      </c>
      <c r="O61" t="e">
        <f>AND('Planilla_General_07-12-2012_8_3'!F905,"AAAAAHjW3Q4=")</f>
        <v>#VALUE!</v>
      </c>
      <c r="P61" t="e">
        <f>AND('Planilla_General_07-12-2012_8_3'!G905,"AAAAAHjW3Q8=")</f>
        <v>#VALUE!</v>
      </c>
      <c r="Q61" t="e">
        <f>AND('Planilla_General_07-12-2012_8_3'!H905,"AAAAAHjW3RA=")</f>
        <v>#VALUE!</v>
      </c>
      <c r="R61" t="e">
        <f>AND('Planilla_General_07-12-2012_8_3'!I905,"AAAAAHjW3RE=")</f>
        <v>#VALUE!</v>
      </c>
      <c r="S61" t="e">
        <f>AND('Planilla_General_07-12-2012_8_3'!J905,"AAAAAHjW3RI=")</f>
        <v>#VALUE!</v>
      </c>
      <c r="T61" t="e">
        <f>AND('Planilla_General_07-12-2012_8_3'!K905,"AAAAAHjW3RM=")</f>
        <v>#VALUE!</v>
      </c>
      <c r="U61" t="e">
        <f>AND('Planilla_General_07-12-2012_8_3'!L905,"AAAAAHjW3RQ=")</f>
        <v>#VALUE!</v>
      </c>
      <c r="V61" t="e">
        <f>AND('Planilla_General_07-12-2012_8_3'!M905,"AAAAAHjW3RU=")</f>
        <v>#VALUE!</v>
      </c>
      <c r="W61" t="e">
        <f>AND('Planilla_General_07-12-2012_8_3'!N905,"AAAAAHjW3RY=")</f>
        <v>#VALUE!</v>
      </c>
      <c r="X61" t="e">
        <f>AND('Planilla_General_07-12-2012_8_3'!O905,"AAAAAHjW3Rc=")</f>
        <v>#VALUE!</v>
      </c>
      <c r="Y61" t="e">
        <f>AND('Planilla_General_07-12-2012_8_3'!P905,"AAAAAHjW3Rg=")</f>
        <v>#VALUE!</v>
      </c>
      <c r="Z61">
        <f>IF('Planilla_General_07-12-2012_8_3'!906:906,"AAAAAHjW3Rk=",0)</f>
        <v>0</v>
      </c>
      <c r="AA61" t="e">
        <f>AND('Planilla_General_07-12-2012_8_3'!A906,"AAAAAHjW3Ro=")</f>
        <v>#VALUE!</v>
      </c>
      <c r="AB61" t="e">
        <f>AND('Planilla_General_07-12-2012_8_3'!B906,"AAAAAHjW3Rs=")</f>
        <v>#VALUE!</v>
      </c>
      <c r="AC61" t="e">
        <f>AND('Planilla_General_07-12-2012_8_3'!C906,"AAAAAHjW3Rw=")</f>
        <v>#VALUE!</v>
      </c>
      <c r="AD61" t="e">
        <f>AND('Planilla_General_07-12-2012_8_3'!D906,"AAAAAHjW3R0=")</f>
        <v>#VALUE!</v>
      </c>
      <c r="AE61" t="e">
        <f>AND('Planilla_General_07-12-2012_8_3'!E906,"AAAAAHjW3R4=")</f>
        <v>#VALUE!</v>
      </c>
      <c r="AF61" t="e">
        <f>AND('Planilla_General_07-12-2012_8_3'!F906,"AAAAAHjW3R8=")</f>
        <v>#VALUE!</v>
      </c>
      <c r="AG61" t="e">
        <f>AND('Planilla_General_07-12-2012_8_3'!G906,"AAAAAHjW3SA=")</f>
        <v>#VALUE!</v>
      </c>
      <c r="AH61" t="e">
        <f>AND('Planilla_General_07-12-2012_8_3'!H906,"AAAAAHjW3SE=")</f>
        <v>#VALUE!</v>
      </c>
      <c r="AI61" t="e">
        <f>AND('Planilla_General_07-12-2012_8_3'!I906,"AAAAAHjW3SI=")</f>
        <v>#VALUE!</v>
      </c>
      <c r="AJ61" t="e">
        <f>AND('Planilla_General_07-12-2012_8_3'!J906,"AAAAAHjW3SM=")</f>
        <v>#VALUE!</v>
      </c>
      <c r="AK61" t="e">
        <f>AND('Planilla_General_07-12-2012_8_3'!K906,"AAAAAHjW3SQ=")</f>
        <v>#VALUE!</v>
      </c>
      <c r="AL61" t="e">
        <f>AND('Planilla_General_07-12-2012_8_3'!L906,"AAAAAHjW3SU=")</f>
        <v>#VALUE!</v>
      </c>
      <c r="AM61" t="e">
        <f>AND('Planilla_General_07-12-2012_8_3'!M906,"AAAAAHjW3SY=")</f>
        <v>#VALUE!</v>
      </c>
      <c r="AN61" t="e">
        <f>AND('Planilla_General_07-12-2012_8_3'!N906,"AAAAAHjW3Sc=")</f>
        <v>#VALUE!</v>
      </c>
      <c r="AO61" t="e">
        <f>AND('Planilla_General_07-12-2012_8_3'!O906,"AAAAAHjW3Sg=")</f>
        <v>#VALUE!</v>
      </c>
      <c r="AP61" t="e">
        <f>AND('Planilla_General_07-12-2012_8_3'!P906,"AAAAAHjW3Sk=")</f>
        <v>#VALUE!</v>
      </c>
      <c r="AQ61">
        <f>IF('Planilla_General_07-12-2012_8_3'!907:907,"AAAAAHjW3So=",0)</f>
        <v>0</v>
      </c>
      <c r="AR61" t="e">
        <f>AND('Planilla_General_07-12-2012_8_3'!A907,"AAAAAHjW3Ss=")</f>
        <v>#VALUE!</v>
      </c>
      <c r="AS61" t="e">
        <f>AND('Planilla_General_07-12-2012_8_3'!B907,"AAAAAHjW3Sw=")</f>
        <v>#VALUE!</v>
      </c>
      <c r="AT61" t="e">
        <f>AND('Planilla_General_07-12-2012_8_3'!C907,"AAAAAHjW3S0=")</f>
        <v>#VALUE!</v>
      </c>
      <c r="AU61" t="e">
        <f>AND('Planilla_General_07-12-2012_8_3'!D907,"AAAAAHjW3S4=")</f>
        <v>#VALUE!</v>
      </c>
      <c r="AV61" t="e">
        <f>AND('Planilla_General_07-12-2012_8_3'!E907,"AAAAAHjW3S8=")</f>
        <v>#VALUE!</v>
      </c>
      <c r="AW61" t="e">
        <f>AND('Planilla_General_07-12-2012_8_3'!F907,"AAAAAHjW3TA=")</f>
        <v>#VALUE!</v>
      </c>
      <c r="AX61" t="e">
        <f>AND('Planilla_General_07-12-2012_8_3'!G907,"AAAAAHjW3TE=")</f>
        <v>#VALUE!</v>
      </c>
      <c r="AY61" t="e">
        <f>AND('Planilla_General_07-12-2012_8_3'!H907,"AAAAAHjW3TI=")</f>
        <v>#VALUE!</v>
      </c>
      <c r="AZ61" t="e">
        <f>AND('Planilla_General_07-12-2012_8_3'!I907,"AAAAAHjW3TM=")</f>
        <v>#VALUE!</v>
      </c>
      <c r="BA61" t="e">
        <f>AND('Planilla_General_07-12-2012_8_3'!J907,"AAAAAHjW3TQ=")</f>
        <v>#VALUE!</v>
      </c>
      <c r="BB61" t="e">
        <f>AND('Planilla_General_07-12-2012_8_3'!K907,"AAAAAHjW3TU=")</f>
        <v>#VALUE!</v>
      </c>
      <c r="BC61" t="e">
        <f>AND('Planilla_General_07-12-2012_8_3'!L907,"AAAAAHjW3TY=")</f>
        <v>#VALUE!</v>
      </c>
      <c r="BD61" t="e">
        <f>AND('Planilla_General_07-12-2012_8_3'!M907,"AAAAAHjW3Tc=")</f>
        <v>#VALUE!</v>
      </c>
      <c r="BE61" t="e">
        <f>AND('Planilla_General_07-12-2012_8_3'!N907,"AAAAAHjW3Tg=")</f>
        <v>#VALUE!</v>
      </c>
      <c r="BF61" t="e">
        <f>AND('Planilla_General_07-12-2012_8_3'!O907,"AAAAAHjW3Tk=")</f>
        <v>#VALUE!</v>
      </c>
      <c r="BG61" t="e">
        <f>AND('Planilla_General_07-12-2012_8_3'!P907,"AAAAAHjW3To=")</f>
        <v>#VALUE!</v>
      </c>
      <c r="BH61">
        <f>IF('Planilla_General_07-12-2012_8_3'!908:908,"AAAAAHjW3Ts=",0)</f>
        <v>0</v>
      </c>
      <c r="BI61" t="e">
        <f>AND('Planilla_General_07-12-2012_8_3'!A908,"AAAAAHjW3Tw=")</f>
        <v>#VALUE!</v>
      </c>
      <c r="BJ61" t="e">
        <f>AND('Planilla_General_07-12-2012_8_3'!B908,"AAAAAHjW3T0=")</f>
        <v>#VALUE!</v>
      </c>
      <c r="BK61" t="e">
        <f>AND('Planilla_General_07-12-2012_8_3'!C908,"AAAAAHjW3T4=")</f>
        <v>#VALUE!</v>
      </c>
      <c r="BL61" t="e">
        <f>AND('Planilla_General_07-12-2012_8_3'!D908,"AAAAAHjW3T8=")</f>
        <v>#VALUE!</v>
      </c>
      <c r="BM61" t="e">
        <f>AND('Planilla_General_07-12-2012_8_3'!E908,"AAAAAHjW3UA=")</f>
        <v>#VALUE!</v>
      </c>
      <c r="BN61" t="e">
        <f>AND('Planilla_General_07-12-2012_8_3'!F908,"AAAAAHjW3UE=")</f>
        <v>#VALUE!</v>
      </c>
      <c r="BO61" t="e">
        <f>AND('Planilla_General_07-12-2012_8_3'!G908,"AAAAAHjW3UI=")</f>
        <v>#VALUE!</v>
      </c>
      <c r="BP61" t="e">
        <f>AND('Planilla_General_07-12-2012_8_3'!H908,"AAAAAHjW3UM=")</f>
        <v>#VALUE!</v>
      </c>
      <c r="BQ61" t="e">
        <f>AND('Planilla_General_07-12-2012_8_3'!I908,"AAAAAHjW3UQ=")</f>
        <v>#VALUE!</v>
      </c>
      <c r="BR61" t="e">
        <f>AND('Planilla_General_07-12-2012_8_3'!J908,"AAAAAHjW3UU=")</f>
        <v>#VALUE!</v>
      </c>
      <c r="BS61" t="e">
        <f>AND('Planilla_General_07-12-2012_8_3'!K908,"AAAAAHjW3UY=")</f>
        <v>#VALUE!</v>
      </c>
      <c r="BT61" t="e">
        <f>AND('Planilla_General_07-12-2012_8_3'!L908,"AAAAAHjW3Uc=")</f>
        <v>#VALUE!</v>
      </c>
      <c r="BU61" t="e">
        <f>AND('Planilla_General_07-12-2012_8_3'!M908,"AAAAAHjW3Ug=")</f>
        <v>#VALUE!</v>
      </c>
      <c r="BV61" t="e">
        <f>AND('Planilla_General_07-12-2012_8_3'!N908,"AAAAAHjW3Uk=")</f>
        <v>#VALUE!</v>
      </c>
      <c r="BW61" t="e">
        <f>AND('Planilla_General_07-12-2012_8_3'!O908,"AAAAAHjW3Uo=")</f>
        <v>#VALUE!</v>
      </c>
      <c r="BX61" t="e">
        <f>AND('Planilla_General_07-12-2012_8_3'!P908,"AAAAAHjW3Us=")</f>
        <v>#VALUE!</v>
      </c>
      <c r="BY61">
        <f>IF('Planilla_General_07-12-2012_8_3'!909:909,"AAAAAHjW3Uw=",0)</f>
        <v>0</v>
      </c>
      <c r="BZ61" t="e">
        <f>AND('Planilla_General_07-12-2012_8_3'!A909,"AAAAAHjW3U0=")</f>
        <v>#VALUE!</v>
      </c>
      <c r="CA61" t="e">
        <f>AND('Planilla_General_07-12-2012_8_3'!B909,"AAAAAHjW3U4=")</f>
        <v>#VALUE!</v>
      </c>
      <c r="CB61" t="e">
        <f>AND('Planilla_General_07-12-2012_8_3'!C909,"AAAAAHjW3U8=")</f>
        <v>#VALUE!</v>
      </c>
      <c r="CC61" t="e">
        <f>AND('Planilla_General_07-12-2012_8_3'!D909,"AAAAAHjW3VA=")</f>
        <v>#VALUE!</v>
      </c>
      <c r="CD61" t="e">
        <f>AND('Planilla_General_07-12-2012_8_3'!E909,"AAAAAHjW3VE=")</f>
        <v>#VALUE!</v>
      </c>
      <c r="CE61" t="e">
        <f>AND('Planilla_General_07-12-2012_8_3'!F909,"AAAAAHjW3VI=")</f>
        <v>#VALUE!</v>
      </c>
      <c r="CF61" t="e">
        <f>AND('Planilla_General_07-12-2012_8_3'!G909,"AAAAAHjW3VM=")</f>
        <v>#VALUE!</v>
      </c>
      <c r="CG61" t="e">
        <f>AND('Planilla_General_07-12-2012_8_3'!H909,"AAAAAHjW3VQ=")</f>
        <v>#VALUE!</v>
      </c>
      <c r="CH61" t="e">
        <f>AND('Planilla_General_07-12-2012_8_3'!I909,"AAAAAHjW3VU=")</f>
        <v>#VALUE!</v>
      </c>
      <c r="CI61" t="e">
        <f>AND('Planilla_General_07-12-2012_8_3'!J909,"AAAAAHjW3VY=")</f>
        <v>#VALUE!</v>
      </c>
      <c r="CJ61" t="e">
        <f>AND('Planilla_General_07-12-2012_8_3'!K909,"AAAAAHjW3Vc=")</f>
        <v>#VALUE!</v>
      </c>
      <c r="CK61" t="e">
        <f>AND('Planilla_General_07-12-2012_8_3'!L909,"AAAAAHjW3Vg=")</f>
        <v>#VALUE!</v>
      </c>
      <c r="CL61" t="e">
        <f>AND('Planilla_General_07-12-2012_8_3'!M909,"AAAAAHjW3Vk=")</f>
        <v>#VALUE!</v>
      </c>
      <c r="CM61" t="e">
        <f>AND('Planilla_General_07-12-2012_8_3'!N909,"AAAAAHjW3Vo=")</f>
        <v>#VALUE!</v>
      </c>
      <c r="CN61" t="e">
        <f>AND('Planilla_General_07-12-2012_8_3'!O909,"AAAAAHjW3Vs=")</f>
        <v>#VALUE!</v>
      </c>
      <c r="CO61" t="e">
        <f>AND('Planilla_General_07-12-2012_8_3'!P909,"AAAAAHjW3Vw=")</f>
        <v>#VALUE!</v>
      </c>
      <c r="CP61">
        <f>IF('Planilla_General_07-12-2012_8_3'!910:910,"AAAAAHjW3V0=",0)</f>
        <v>0</v>
      </c>
      <c r="CQ61" t="e">
        <f>AND('Planilla_General_07-12-2012_8_3'!A910,"AAAAAHjW3V4=")</f>
        <v>#VALUE!</v>
      </c>
      <c r="CR61" t="e">
        <f>AND('Planilla_General_07-12-2012_8_3'!B910,"AAAAAHjW3V8=")</f>
        <v>#VALUE!</v>
      </c>
      <c r="CS61" t="e">
        <f>AND('Planilla_General_07-12-2012_8_3'!C910,"AAAAAHjW3WA=")</f>
        <v>#VALUE!</v>
      </c>
      <c r="CT61" t="e">
        <f>AND('Planilla_General_07-12-2012_8_3'!D910,"AAAAAHjW3WE=")</f>
        <v>#VALUE!</v>
      </c>
      <c r="CU61" t="e">
        <f>AND('Planilla_General_07-12-2012_8_3'!E910,"AAAAAHjW3WI=")</f>
        <v>#VALUE!</v>
      </c>
      <c r="CV61" t="e">
        <f>AND('Planilla_General_07-12-2012_8_3'!F910,"AAAAAHjW3WM=")</f>
        <v>#VALUE!</v>
      </c>
      <c r="CW61" t="e">
        <f>AND('Planilla_General_07-12-2012_8_3'!G910,"AAAAAHjW3WQ=")</f>
        <v>#VALUE!</v>
      </c>
      <c r="CX61" t="e">
        <f>AND('Planilla_General_07-12-2012_8_3'!H910,"AAAAAHjW3WU=")</f>
        <v>#VALUE!</v>
      </c>
      <c r="CY61" t="e">
        <f>AND('Planilla_General_07-12-2012_8_3'!I910,"AAAAAHjW3WY=")</f>
        <v>#VALUE!</v>
      </c>
      <c r="CZ61" t="e">
        <f>AND('Planilla_General_07-12-2012_8_3'!J910,"AAAAAHjW3Wc=")</f>
        <v>#VALUE!</v>
      </c>
      <c r="DA61" t="e">
        <f>AND('Planilla_General_07-12-2012_8_3'!K910,"AAAAAHjW3Wg=")</f>
        <v>#VALUE!</v>
      </c>
      <c r="DB61" t="e">
        <f>AND('Planilla_General_07-12-2012_8_3'!L910,"AAAAAHjW3Wk=")</f>
        <v>#VALUE!</v>
      </c>
      <c r="DC61" t="e">
        <f>AND('Planilla_General_07-12-2012_8_3'!M910,"AAAAAHjW3Wo=")</f>
        <v>#VALUE!</v>
      </c>
      <c r="DD61" t="e">
        <f>AND('Planilla_General_07-12-2012_8_3'!N910,"AAAAAHjW3Ws=")</f>
        <v>#VALUE!</v>
      </c>
      <c r="DE61" t="e">
        <f>AND('Planilla_General_07-12-2012_8_3'!O910,"AAAAAHjW3Ww=")</f>
        <v>#VALUE!</v>
      </c>
      <c r="DF61" t="e">
        <f>AND('Planilla_General_07-12-2012_8_3'!P910,"AAAAAHjW3W0=")</f>
        <v>#VALUE!</v>
      </c>
      <c r="DG61">
        <f>IF('Planilla_General_07-12-2012_8_3'!911:911,"AAAAAHjW3W4=",0)</f>
        <v>0</v>
      </c>
      <c r="DH61" t="e">
        <f>AND('Planilla_General_07-12-2012_8_3'!A911,"AAAAAHjW3W8=")</f>
        <v>#VALUE!</v>
      </c>
      <c r="DI61" t="e">
        <f>AND('Planilla_General_07-12-2012_8_3'!B911,"AAAAAHjW3XA=")</f>
        <v>#VALUE!</v>
      </c>
      <c r="DJ61" t="e">
        <f>AND('Planilla_General_07-12-2012_8_3'!C911,"AAAAAHjW3XE=")</f>
        <v>#VALUE!</v>
      </c>
      <c r="DK61" t="e">
        <f>AND('Planilla_General_07-12-2012_8_3'!D911,"AAAAAHjW3XI=")</f>
        <v>#VALUE!</v>
      </c>
      <c r="DL61" t="e">
        <f>AND('Planilla_General_07-12-2012_8_3'!E911,"AAAAAHjW3XM=")</f>
        <v>#VALUE!</v>
      </c>
      <c r="DM61" t="e">
        <f>AND('Planilla_General_07-12-2012_8_3'!F911,"AAAAAHjW3XQ=")</f>
        <v>#VALUE!</v>
      </c>
      <c r="DN61" t="e">
        <f>AND('Planilla_General_07-12-2012_8_3'!G911,"AAAAAHjW3XU=")</f>
        <v>#VALUE!</v>
      </c>
      <c r="DO61" t="e">
        <f>AND('Planilla_General_07-12-2012_8_3'!H911,"AAAAAHjW3XY=")</f>
        <v>#VALUE!</v>
      </c>
      <c r="DP61" t="e">
        <f>AND('Planilla_General_07-12-2012_8_3'!I911,"AAAAAHjW3Xc=")</f>
        <v>#VALUE!</v>
      </c>
      <c r="DQ61" t="e">
        <f>AND('Planilla_General_07-12-2012_8_3'!J911,"AAAAAHjW3Xg=")</f>
        <v>#VALUE!</v>
      </c>
      <c r="DR61" t="e">
        <f>AND('Planilla_General_07-12-2012_8_3'!K911,"AAAAAHjW3Xk=")</f>
        <v>#VALUE!</v>
      </c>
      <c r="DS61" t="e">
        <f>AND('Planilla_General_07-12-2012_8_3'!L911,"AAAAAHjW3Xo=")</f>
        <v>#VALUE!</v>
      </c>
      <c r="DT61" t="e">
        <f>AND('Planilla_General_07-12-2012_8_3'!M911,"AAAAAHjW3Xs=")</f>
        <v>#VALUE!</v>
      </c>
      <c r="DU61" t="e">
        <f>AND('Planilla_General_07-12-2012_8_3'!N911,"AAAAAHjW3Xw=")</f>
        <v>#VALUE!</v>
      </c>
      <c r="DV61" t="e">
        <f>AND('Planilla_General_07-12-2012_8_3'!O911,"AAAAAHjW3X0=")</f>
        <v>#VALUE!</v>
      </c>
      <c r="DW61" t="e">
        <f>AND('Planilla_General_07-12-2012_8_3'!P911,"AAAAAHjW3X4=")</f>
        <v>#VALUE!</v>
      </c>
      <c r="DX61">
        <f>IF('Planilla_General_07-12-2012_8_3'!912:912,"AAAAAHjW3X8=",0)</f>
        <v>0</v>
      </c>
      <c r="DY61" t="e">
        <f>AND('Planilla_General_07-12-2012_8_3'!A912,"AAAAAHjW3YA=")</f>
        <v>#VALUE!</v>
      </c>
      <c r="DZ61" t="e">
        <f>AND('Planilla_General_07-12-2012_8_3'!B912,"AAAAAHjW3YE=")</f>
        <v>#VALUE!</v>
      </c>
      <c r="EA61" t="e">
        <f>AND('Planilla_General_07-12-2012_8_3'!C912,"AAAAAHjW3YI=")</f>
        <v>#VALUE!</v>
      </c>
      <c r="EB61" t="e">
        <f>AND('Planilla_General_07-12-2012_8_3'!D912,"AAAAAHjW3YM=")</f>
        <v>#VALUE!</v>
      </c>
      <c r="EC61" t="e">
        <f>AND('Planilla_General_07-12-2012_8_3'!E912,"AAAAAHjW3YQ=")</f>
        <v>#VALUE!</v>
      </c>
      <c r="ED61" t="e">
        <f>AND('Planilla_General_07-12-2012_8_3'!F912,"AAAAAHjW3YU=")</f>
        <v>#VALUE!</v>
      </c>
      <c r="EE61" t="e">
        <f>AND('Planilla_General_07-12-2012_8_3'!G912,"AAAAAHjW3YY=")</f>
        <v>#VALUE!</v>
      </c>
      <c r="EF61" t="e">
        <f>AND('Planilla_General_07-12-2012_8_3'!H912,"AAAAAHjW3Yc=")</f>
        <v>#VALUE!</v>
      </c>
      <c r="EG61" t="e">
        <f>AND('Planilla_General_07-12-2012_8_3'!I912,"AAAAAHjW3Yg=")</f>
        <v>#VALUE!</v>
      </c>
      <c r="EH61" t="e">
        <f>AND('Planilla_General_07-12-2012_8_3'!J912,"AAAAAHjW3Yk=")</f>
        <v>#VALUE!</v>
      </c>
      <c r="EI61" t="e">
        <f>AND('Planilla_General_07-12-2012_8_3'!K912,"AAAAAHjW3Yo=")</f>
        <v>#VALUE!</v>
      </c>
      <c r="EJ61" t="e">
        <f>AND('Planilla_General_07-12-2012_8_3'!L912,"AAAAAHjW3Ys=")</f>
        <v>#VALUE!</v>
      </c>
      <c r="EK61" t="e">
        <f>AND('Planilla_General_07-12-2012_8_3'!M912,"AAAAAHjW3Yw=")</f>
        <v>#VALUE!</v>
      </c>
      <c r="EL61" t="e">
        <f>AND('Planilla_General_07-12-2012_8_3'!N912,"AAAAAHjW3Y0=")</f>
        <v>#VALUE!</v>
      </c>
      <c r="EM61" t="e">
        <f>AND('Planilla_General_07-12-2012_8_3'!O912,"AAAAAHjW3Y4=")</f>
        <v>#VALUE!</v>
      </c>
      <c r="EN61" t="e">
        <f>AND('Planilla_General_07-12-2012_8_3'!P912,"AAAAAHjW3Y8=")</f>
        <v>#VALUE!</v>
      </c>
      <c r="EO61">
        <f>IF('Planilla_General_07-12-2012_8_3'!913:913,"AAAAAHjW3ZA=",0)</f>
        <v>0</v>
      </c>
      <c r="EP61" t="e">
        <f>AND('Planilla_General_07-12-2012_8_3'!A913,"AAAAAHjW3ZE=")</f>
        <v>#VALUE!</v>
      </c>
      <c r="EQ61" t="e">
        <f>AND('Planilla_General_07-12-2012_8_3'!B913,"AAAAAHjW3ZI=")</f>
        <v>#VALUE!</v>
      </c>
      <c r="ER61" t="e">
        <f>AND('Planilla_General_07-12-2012_8_3'!C913,"AAAAAHjW3ZM=")</f>
        <v>#VALUE!</v>
      </c>
      <c r="ES61" t="e">
        <f>AND('Planilla_General_07-12-2012_8_3'!D913,"AAAAAHjW3ZQ=")</f>
        <v>#VALUE!</v>
      </c>
      <c r="ET61" t="e">
        <f>AND('Planilla_General_07-12-2012_8_3'!E913,"AAAAAHjW3ZU=")</f>
        <v>#VALUE!</v>
      </c>
      <c r="EU61" t="e">
        <f>AND('Planilla_General_07-12-2012_8_3'!F913,"AAAAAHjW3ZY=")</f>
        <v>#VALUE!</v>
      </c>
      <c r="EV61" t="e">
        <f>AND('Planilla_General_07-12-2012_8_3'!G913,"AAAAAHjW3Zc=")</f>
        <v>#VALUE!</v>
      </c>
      <c r="EW61" t="e">
        <f>AND('Planilla_General_07-12-2012_8_3'!H913,"AAAAAHjW3Zg=")</f>
        <v>#VALUE!</v>
      </c>
      <c r="EX61" t="e">
        <f>AND('Planilla_General_07-12-2012_8_3'!I913,"AAAAAHjW3Zk=")</f>
        <v>#VALUE!</v>
      </c>
      <c r="EY61" t="e">
        <f>AND('Planilla_General_07-12-2012_8_3'!J913,"AAAAAHjW3Zo=")</f>
        <v>#VALUE!</v>
      </c>
      <c r="EZ61" t="e">
        <f>AND('Planilla_General_07-12-2012_8_3'!K913,"AAAAAHjW3Zs=")</f>
        <v>#VALUE!</v>
      </c>
      <c r="FA61" t="e">
        <f>AND('Planilla_General_07-12-2012_8_3'!L913,"AAAAAHjW3Zw=")</f>
        <v>#VALUE!</v>
      </c>
      <c r="FB61" t="e">
        <f>AND('Planilla_General_07-12-2012_8_3'!M913,"AAAAAHjW3Z0=")</f>
        <v>#VALUE!</v>
      </c>
      <c r="FC61" t="e">
        <f>AND('Planilla_General_07-12-2012_8_3'!N913,"AAAAAHjW3Z4=")</f>
        <v>#VALUE!</v>
      </c>
      <c r="FD61" t="e">
        <f>AND('Planilla_General_07-12-2012_8_3'!O913,"AAAAAHjW3Z8=")</f>
        <v>#VALUE!</v>
      </c>
      <c r="FE61" t="e">
        <f>AND('Planilla_General_07-12-2012_8_3'!P913,"AAAAAHjW3aA=")</f>
        <v>#VALUE!</v>
      </c>
      <c r="FF61">
        <f>IF('Planilla_General_07-12-2012_8_3'!914:914,"AAAAAHjW3aE=",0)</f>
        <v>0</v>
      </c>
      <c r="FG61" t="e">
        <f>AND('Planilla_General_07-12-2012_8_3'!A914,"AAAAAHjW3aI=")</f>
        <v>#VALUE!</v>
      </c>
      <c r="FH61" t="e">
        <f>AND('Planilla_General_07-12-2012_8_3'!B914,"AAAAAHjW3aM=")</f>
        <v>#VALUE!</v>
      </c>
      <c r="FI61" t="e">
        <f>AND('Planilla_General_07-12-2012_8_3'!C914,"AAAAAHjW3aQ=")</f>
        <v>#VALUE!</v>
      </c>
      <c r="FJ61" t="e">
        <f>AND('Planilla_General_07-12-2012_8_3'!D914,"AAAAAHjW3aU=")</f>
        <v>#VALUE!</v>
      </c>
      <c r="FK61" t="e">
        <f>AND('Planilla_General_07-12-2012_8_3'!E914,"AAAAAHjW3aY=")</f>
        <v>#VALUE!</v>
      </c>
      <c r="FL61" t="e">
        <f>AND('Planilla_General_07-12-2012_8_3'!F914,"AAAAAHjW3ac=")</f>
        <v>#VALUE!</v>
      </c>
      <c r="FM61" t="e">
        <f>AND('Planilla_General_07-12-2012_8_3'!G914,"AAAAAHjW3ag=")</f>
        <v>#VALUE!</v>
      </c>
      <c r="FN61" t="e">
        <f>AND('Planilla_General_07-12-2012_8_3'!H914,"AAAAAHjW3ak=")</f>
        <v>#VALUE!</v>
      </c>
      <c r="FO61" t="e">
        <f>AND('Planilla_General_07-12-2012_8_3'!I914,"AAAAAHjW3ao=")</f>
        <v>#VALUE!</v>
      </c>
      <c r="FP61" t="e">
        <f>AND('Planilla_General_07-12-2012_8_3'!J914,"AAAAAHjW3as=")</f>
        <v>#VALUE!</v>
      </c>
      <c r="FQ61" t="e">
        <f>AND('Planilla_General_07-12-2012_8_3'!K914,"AAAAAHjW3aw=")</f>
        <v>#VALUE!</v>
      </c>
      <c r="FR61" t="e">
        <f>AND('Planilla_General_07-12-2012_8_3'!L914,"AAAAAHjW3a0=")</f>
        <v>#VALUE!</v>
      </c>
      <c r="FS61" t="e">
        <f>AND('Planilla_General_07-12-2012_8_3'!M914,"AAAAAHjW3a4=")</f>
        <v>#VALUE!</v>
      </c>
      <c r="FT61" t="e">
        <f>AND('Planilla_General_07-12-2012_8_3'!N914,"AAAAAHjW3a8=")</f>
        <v>#VALUE!</v>
      </c>
      <c r="FU61" t="e">
        <f>AND('Planilla_General_07-12-2012_8_3'!O914,"AAAAAHjW3bA=")</f>
        <v>#VALUE!</v>
      </c>
      <c r="FV61" t="e">
        <f>AND('Planilla_General_07-12-2012_8_3'!P914,"AAAAAHjW3bE=")</f>
        <v>#VALUE!</v>
      </c>
      <c r="FW61">
        <f>IF('Planilla_General_07-12-2012_8_3'!915:915,"AAAAAHjW3bI=",0)</f>
        <v>0</v>
      </c>
      <c r="FX61" t="e">
        <f>AND('Planilla_General_07-12-2012_8_3'!A915,"AAAAAHjW3bM=")</f>
        <v>#VALUE!</v>
      </c>
      <c r="FY61" t="e">
        <f>AND('Planilla_General_07-12-2012_8_3'!B915,"AAAAAHjW3bQ=")</f>
        <v>#VALUE!</v>
      </c>
      <c r="FZ61" t="e">
        <f>AND('Planilla_General_07-12-2012_8_3'!C915,"AAAAAHjW3bU=")</f>
        <v>#VALUE!</v>
      </c>
      <c r="GA61" t="e">
        <f>AND('Planilla_General_07-12-2012_8_3'!D915,"AAAAAHjW3bY=")</f>
        <v>#VALUE!</v>
      </c>
      <c r="GB61" t="e">
        <f>AND('Planilla_General_07-12-2012_8_3'!E915,"AAAAAHjW3bc=")</f>
        <v>#VALUE!</v>
      </c>
      <c r="GC61" t="e">
        <f>AND('Planilla_General_07-12-2012_8_3'!F915,"AAAAAHjW3bg=")</f>
        <v>#VALUE!</v>
      </c>
      <c r="GD61" t="e">
        <f>AND('Planilla_General_07-12-2012_8_3'!G915,"AAAAAHjW3bk=")</f>
        <v>#VALUE!</v>
      </c>
      <c r="GE61" t="e">
        <f>AND('Planilla_General_07-12-2012_8_3'!H915,"AAAAAHjW3bo=")</f>
        <v>#VALUE!</v>
      </c>
      <c r="GF61" t="e">
        <f>AND('Planilla_General_07-12-2012_8_3'!I915,"AAAAAHjW3bs=")</f>
        <v>#VALUE!</v>
      </c>
      <c r="GG61" t="e">
        <f>AND('Planilla_General_07-12-2012_8_3'!J915,"AAAAAHjW3bw=")</f>
        <v>#VALUE!</v>
      </c>
      <c r="GH61" t="e">
        <f>AND('Planilla_General_07-12-2012_8_3'!K915,"AAAAAHjW3b0=")</f>
        <v>#VALUE!</v>
      </c>
      <c r="GI61" t="e">
        <f>AND('Planilla_General_07-12-2012_8_3'!L915,"AAAAAHjW3b4=")</f>
        <v>#VALUE!</v>
      </c>
      <c r="GJ61" t="e">
        <f>AND('Planilla_General_07-12-2012_8_3'!M915,"AAAAAHjW3b8=")</f>
        <v>#VALUE!</v>
      </c>
      <c r="GK61" t="e">
        <f>AND('Planilla_General_07-12-2012_8_3'!N915,"AAAAAHjW3cA=")</f>
        <v>#VALUE!</v>
      </c>
      <c r="GL61" t="e">
        <f>AND('Planilla_General_07-12-2012_8_3'!O915,"AAAAAHjW3cE=")</f>
        <v>#VALUE!</v>
      </c>
      <c r="GM61" t="e">
        <f>AND('Planilla_General_07-12-2012_8_3'!P915,"AAAAAHjW3cI=")</f>
        <v>#VALUE!</v>
      </c>
      <c r="GN61">
        <f>IF('Planilla_General_07-12-2012_8_3'!916:916,"AAAAAHjW3cM=",0)</f>
        <v>0</v>
      </c>
      <c r="GO61" t="e">
        <f>AND('Planilla_General_07-12-2012_8_3'!A916,"AAAAAHjW3cQ=")</f>
        <v>#VALUE!</v>
      </c>
      <c r="GP61" t="e">
        <f>AND('Planilla_General_07-12-2012_8_3'!B916,"AAAAAHjW3cU=")</f>
        <v>#VALUE!</v>
      </c>
      <c r="GQ61" t="e">
        <f>AND('Planilla_General_07-12-2012_8_3'!C916,"AAAAAHjW3cY=")</f>
        <v>#VALUE!</v>
      </c>
      <c r="GR61" t="e">
        <f>AND('Planilla_General_07-12-2012_8_3'!D916,"AAAAAHjW3cc=")</f>
        <v>#VALUE!</v>
      </c>
      <c r="GS61" t="e">
        <f>AND('Planilla_General_07-12-2012_8_3'!E916,"AAAAAHjW3cg=")</f>
        <v>#VALUE!</v>
      </c>
      <c r="GT61" t="e">
        <f>AND('Planilla_General_07-12-2012_8_3'!F916,"AAAAAHjW3ck=")</f>
        <v>#VALUE!</v>
      </c>
      <c r="GU61" t="e">
        <f>AND('Planilla_General_07-12-2012_8_3'!G916,"AAAAAHjW3co=")</f>
        <v>#VALUE!</v>
      </c>
      <c r="GV61" t="e">
        <f>AND('Planilla_General_07-12-2012_8_3'!H916,"AAAAAHjW3cs=")</f>
        <v>#VALUE!</v>
      </c>
      <c r="GW61" t="e">
        <f>AND('Planilla_General_07-12-2012_8_3'!I916,"AAAAAHjW3cw=")</f>
        <v>#VALUE!</v>
      </c>
      <c r="GX61" t="e">
        <f>AND('Planilla_General_07-12-2012_8_3'!J916,"AAAAAHjW3c0=")</f>
        <v>#VALUE!</v>
      </c>
      <c r="GY61" t="e">
        <f>AND('Planilla_General_07-12-2012_8_3'!K916,"AAAAAHjW3c4=")</f>
        <v>#VALUE!</v>
      </c>
      <c r="GZ61" t="e">
        <f>AND('Planilla_General_07-12-2012_8_3'!L916,"AAAAAHjW3c8=")</f>
        <v>#VALUE!</v>
      </c>
      <c r="HA61" t="e">
        <f>AND('Planilla_General_07-12-2012_8_3'!M916,"AAAAAHjW3dA=")</f>
        <v>#VALUE!</v>
      </c>
      <c r="HB61" t="e">
        <f>AND('Planilla_General_07-12-2012_8_3'!N916,"AAAAAHjW3dE=")</f>
        <v>#VALUE!</v>
      </c>
      <c r="HC61" t="e">
        <f>AND('Planilla_General_07-12-2012_8_3'!O916,"AAAAAHjW3dI=")</f>
        <v>#VALUE!</v>
      </c>
      <c r="HD61" t="e">
        <f>AND('Planilla_General_07-12-2012_8_3'!P916,"AAAAAHjW3dM=")</f>
        <v>#VALUE!</v>
      </c>
      <c r="HE61">
        <f>IF('Planilla_General_07-12-2012_8_3'!917:917,"AAAAAHjW3dQ=",0)</f>
        <v>0</v>
      </c>
      <c r="HF61" t="e">
        <f>AND('Planilla_General_07-12-2012_8_3'!A917,"AAAAAHjW3dU=")</f>
        <v>#VALUE!</v>
      </c>
      <c r="HG61" t="e">
        <f>AND('Planilla_General_07-12-2012_8_3'!B917,"AAAAAHjW3dY=")</f>
        <v>#VALUE!</v>
      </c>
      <c r="HH61" t="e">
        <f>AND('Planilla_General_07-12-2012_8_3'!C917,"AAAAAHjW3dc=")</f>
        <v>#VALUE!</v>
      </c>
      <c r="HI61" t="e">
        <f>AND('Planilla_General_07-12-2012_8_3'!D917,"AAAAAHjW3dg=")</f>
        <v>#VALUE!</v>
      </c>
      <c r="HJ61" t="e">
        <f>AND('Planilla_General_07-12-2012_8_3'!E917,"AAAAAHjW3dk=")</f>
        <v>#VALUE!</v>
      </c>
      <c r="HK61" t="e">
        <f>AND('Planilla_General_07-12-2012_8_3'!F917,"AAAAAHjW3do=")</f>
        <v>#VALUE!</v>
      </c>
      <c r="HL61" t="e">
        <f>AND('Planilla_General_07-12-2012_8_3'!G917,"AAAAAHjW3ds=")</f>
        <v>#VALUE!</v>
      </c>
      <c r="HM61" t="e">
        <f>AND('Planilla_General_07-12-2012_8_3'!H917,"AAAAAHjW3dw=")</f>
        <v>#VALUE!</v>
      </c>
      <c r="HN61" t="e">
        <f>AND('Planilla_General_07-12-2012_8_3'!I917,"AAAAAHjW3d0=")</f>
        <v>#VALUE!</v>
      </c>
      <c r="HO61" t="e">
        <f>AND('Planilla_General_07-12-2012_8_3'!J917,"AAAAAHjW3d4=")</f>
        <v>#VALUE!</v>
      </c>
      <c r="HP61" t="e">
        <f>AND('Planilla_General_07-12-2012_8_3'!K917,"AAAAAHjW3d8=")</f>
        <v>#VALUE!</v>
      </c>
      <c r="HQ61" t="e">
        <f>AND('Planilla_General_07-12-2012_8_3'!L917,"AAAAAHjW3eA=")</f>
        <v>#VALUE!</v>
      </c>
      <c r="HR61" t="e">
        <f>AND('Planilla_General_07-12-2012_8_3'!M917,"AAAAAHjW3eE=")</f>
        <v>#VALUE!</v>
      </c>
      <c r="HS61" t="e">
        <f>AND('Planilla_General_07-12-2012_8_3'!N917,"AAAAAHjW3eI=")</f>
        <v>#VALUE!</v>
      </c>
      <c r="HT61" t="e">
        <f>AND('Planilla_General_07-12-2012_8_3'!O917,"AAAAAHjW3eM=")</f>
        <v>#VALUE!</v>
      </c>
      <c r="HU61" t="e">
        <f>AND('Planilla_General_07-12-2012_8_3'!P917,"AAAAAHjW3eQ=")</f>
        <v>#VALUE!</v>
      </c>
      <c r="HV61">
        <f>IF('Planilla_General_07-12-2012_8_3'!918:918,"AAAAAHjW3eU=",0)</f>
        <v>0</v>
      </c>
      <c r="HW61" t="e">
        <f>AND('Planilla_General_07-12-2012_8_3'!A918,"AAAAAHjW3eY=")</f>
        <v>#VALUE!</v>
      </c>
      <c r="HX61" t="e">
        <f>AND('Planilla_General_07-12-2012_8_3'!B918,"AAAAAHjW3ec=")</f>
        <v>#VALUE!</v>
      </c>
      <c r="HY61" t="e">
        <f>AND('Planilla_General_07-12-2012_8_3'!C918,"AAAAAHjW3eg=")</f>
        <v>#VALUE!</v>
      </c>
      <c r="HZ61" t="e">
        <f>AND('Planilla_General_07-12-2012_8_3'!D918,"AAAAAHjW3ek=")</f>
        <v>#VALUE!</v>
      </c>
      <c r="IA61" t="e">
        <f>AND('Planilla_General_07-12-2012_8_3'!E918,"AAAAAHjW3eo=")</f>
        <v>#VALUE!</v>
      </c>
      <c r="IB61" t="e">
        <f>AND('Planilla_General_07-12-2012_8_3'!F918,"AAAAAHjW3es=")</f>
        <v>#VALUE!</v>
      </c>
      <c r="IC61" t="e">
        <f>AND('Planilla_General_07-12-2012_8_3'!G918,"AAAAAHjW3ew=")</f>
        <v>#VALUE!</v>
      </c>
      <c r="ID61" t="e">
        <f>AND('Planilla_General_07-12-2012_8_3'!H918,"AAAAAHjW3e0=")</f>
        <v>#VALUE!</v>
      </c>
      <c r="IE61" t="e">
        <f>AND('Planilla_General_07-12-2012_8_3'!I918,"AAAAAHjW3e4=")</f>
        <v>#VALUE!</v>
      </c>
      <c r="IF61" t="e">
        <f>AND('Planilla_General_07-12-2012_8_3'!J918,"AAAAAHjW3e8=")</f>
        <v>#VALUE!</v>
      </c>
      <c r="IG61" t="e">
        <f>AND('Planilla_General_07-12-2012_8_3'!K918,"AAAAAHjW3fA=")</f>
        <v>#VALUE!</v>
      </c>
      <c r="IH61" t="e">
        <f>AND('Planilla_General_07-12-2012_8_3'!L918,"AAAAAHjW3fE=")</f>
        <v>#VALUE!</v>
      </c>
      <c r="II61" t="e">
        <f>AND('Planilla_General_07-12-2012_8_3'!M918,"AAAAAHjW3fI=")</f>
        <v>#VALUE!</v>
      </c>
      <c r="IJ61" t="e">
        <f>AND('Planilla_General_07-12-2012_8_3'!N918,"AAAAAHjW3fM=")</f>
        <v>#VALUE!</v>
      </c>
      <c r="IK61" t="e">
        <f>AND('Planilla_General_07-12-2012_8_3'!O918,"AAAAAHjW3fQ=")</f>
        <v>#VALUE!</v>
      </c>
      <c r="IL61" t="e">
        <f>AND('Planilla_General_07-12-2012_8_3'!P918,"AAAAAHjW3fU=")</f>
        <v>#VALUE!</v>
      </c>
      <c r="IM61">
        <f>IF('Planilla_General_07-12-2012_8_3'!919:919,"AAAAAHjW3fY=",0)</f>
        <v>0</v>
      </c>
      <c r="IN61" t="e">
        <f>AND('Planilla_General_07-12-2012_8_3'!A919,"AAAAAHjW3fc=")</f>
        <v>#VALUE!</v>
      </c>
      <c r="IO61" t="e">
        <f>AND('Planilla_General_07-12-2012_8_3'!B919,"AAAAAHjW3fg=")</f>
        <v>#VALUE!</v>
      </c>
      <c r="IP61" t="e">
        <f>AND('Planilla_General_07-12-2012_8_3'!C919,"AAAAAHjW3fk=")</f>
        <v>#VALUE!</v>
      </c>
      <c r="IQ61" t="e">
        <f>AND('Planilla_General_07-12-2012_8_3'!D919,"AAAAAHjW3fo=")</f>
        <v>#VALUE!</v>
      </c>
      <c r="IR61" t="e">
        <f>AND('Planilla_General_07-12-2012_8_3'!E919,"AAAAAHjW3fs=")</f>
        <v>#VALUE!</v>
      </c>
      <c r="IS61" t="e">
        <f>AND('Planilla_General_07-12-2012_8_3'!F919,"AAAAAHjW3fw=")</f>
        <v>#VALUE!</v>
      </c>
      <c r="IT61" t="e">
        <f>AND('Planilla_General_07-12-2012_8_3'!G919,"AAAAAHjW3f0=")</f>
        <v>#VALUE!</v>
      </c>
      <c r="IU61" t="e">
        <f>AND('Planilla_General_07-12-2012_8_3'!H919,"AAAAAHjW3f4=")</f>
        <v>#VALUE!</v>
      </c>
      <c r="IV61" t="e">
        <f>AND('Planilla_General_07-12-2012_8_3'!I919,"AAAAAHjW3f8=")</f>
        <v>#VALUE!</v>
      </c>
    </row>
    <row r="62" spans="1:256" x14ac:dyDescent="0.25">
      <c r="A62" t="e">
        <f>AND('Planilla_General_07-12-2012_8_3'!J919,"AAAAAHu73wA=")</f>
        <v>#VALUE!</v>
      </c>
      <c r="B62" t="e">
        <f>AND('Planilla_General_07-12-2012_8_3'!K919,"AAAAAHu73wE=")</f>
        <v>#VALUE!</v>
      </c>
      <c r="C62" t="e">
        <f>AND('Planilla_General_07-12-2012_8_3'!L919,"AAAAAHu73wI=")</f>
        <v>#VALUE!</v>
      </c>
      <c r="D62" t="e">
        <f>AND('Planilla_General_07-12-2012_8_3'!M919,"AAAAAHu73wM=")</f>
        <v>#VALUE!</v>
      </c>
      <c r="E62" t="e">
        <f>AND('Planilla_General_07-12-2012_8_3'!N919,"AAAAAHu73wQ=")</f>
        <v>#VALUE!</v>
      </c>
      <c r="F62" t="e">
        <f>AND('Planilla_General_07-12-2012_8_3'!O919,"AAAAAHu73wU=")</f>
        <v>#VALUE!</v>
      </c>
      <c r="G62" t="e">
        <f>AND('Planilla_General_07-12-2012_8_3'!P919,"AAAAAHu73wY=")</f>
        <v>#VALUE!</v>
      </c>
      <c r="H62" t="e">
        <f>IF('Planilla_General_07-12-2012_8_3'!920:920,"AAAAAHu73wc=",0)</f>
        <v>#VALUE!</v>
      </c>
      <c r="I62" t="e">
        <f>AND('Planilla_General_07-12-2012_8_3'!A920,"AAAAAHu73wg=")</f>
        <v>#VALUE!</v>
      </c>
      <c r="J62" t="e">
        <f>AND('Planilla_General_07-12-2012_8_3'!B920,"AAAAAHu73wk=")</f>
        <v>#VALUE!</v>
      </c>
      <c r="K62" t="e">
        <f>AND('Planilla_General_07-12-2012_8_3'!C920,"AAAAAHu73wo=")</f>
        <v>#VALUE!</v>
      </c>
      <c r="L62" t="e">
        <f>AND('Planilla_General_07-12-2012_8_3'!D920,"AAAAAHu73ws=")</f>
        <v>#VALUE!</v>
      </c>
      <c r="M62" t="e">
        <f>AND('Planilla_General_07-12-2012_8_3'!E920,"AAAAAHu73ww=")</f>
        <v>#VALUE!</v>
      </c>
      <c r="N62" t="e">
        <f>AND('Planilla_General_07-12-2012_8_3'!F920,"AAAAAHu73w0=")</f>
        <v>#VALUE!</v>
      </c>
      <c r="O62" t="e">
        <f>AND('Planilla_General_07-12-2012_8_3'!G920,"AAAAAHu73w4=")</f>
        <v>#VALUE!</v>
      </c>
      <c r="P62" t="e">
        <f>AND('Planilla_General_07-12-2012_8_3'!H920,"AAAAAHu73w8=")</f>
        <v>#VALUE!</v>
      </c>
      <c r="Q62" t="e">
        <f>AND('Planilla_General_07-12-2012_8_3'!I920,"AAAAAHu73xA=")</f>
        <v>#VALUE!</v>
      </c>
      <c r="R62" t="e">
        <f>AND('Planilla_General_07-12-2012_8_3'!J920,"AAAAAHu73xE=")</f>
        <v>#VALUE!</v>
      </c>
      <c r="S62" t="e">
        <f>AND('Planilla_General_07-12-2012_8_3'!K920,"AAAAAHu73xI=")</f>
        <v>#VALUE!</v>
      </c>
      <c r="T62" t="e">
        <f>AND('Planilla_General_07-12-2012_8_3'!L920,"AAAAAHu73xM=")</f>
        <v>#VALUE!</v>
      </c>
      <c r="U62" t="e">
        <f>AND('Planilla_General_07-12-2012_8_3'!M920,"AAAAAHu73xQ=")</f>
        <v>#VALUE!</v>
      </c>
      <c r="V62" t="e">
        <f>AND('Planilla_General_07-12-2012_8_3'!N920,"AAAAAHu73xU=")</f>
        <v>#VALUE!</v>
      </c>
      <c r="W62" t="e">
        <f>AND('Planilla_General_07-12-2012_8_3'!O920,"AAAAAHu73xY=")</f>
        <v>#VALUE!</v>
      </c>
      <c r="X62" t="e">
        <f>AND('Planilla_General_07-12-2012_8_3'!P920,"AAAAAHu73xc=")</f>
        <v>#VALUE!</v>
      </c>
      <c r="Y62">
        <f>IF('Planilla_General_07-12-2012_8_3'!921:921,"AAAAAHu73xg=",0)</f>
        <v>0</v>
      </c>
      <c r="Z62" t="e">
        <f>AND('Planilla_General_07-12-2012_8_3'!A921,"AAAAAHu73xk=")</f>
        <v>#VALUE!</v>
      </c>
      <c r="AA62" t="e">
        <f>AND('Planilla_General_07-12-2012_8_3'!B921,"AAAAAHu73xo=")</f>
        <v>#VALUE!</v>
      </c>
      <c r="AB62" t="e">
        <f>AND('Planilla_General_07-12-2012_8_3'!C921,"AAAAAHu73xs=")</f>
        <v>#VALUE!</v>
      </c>
      <c r="AC62" t="e">
        <f>AND('Planilla_General_07-12-2012_8_3'!D921,"AAAAAHu73xw=")</f>
        <v>#VALUE!</v>
      </c>
      <c r="AD62" t="e">
        <f>AND('Planilla_General_07-12-2012_8_3'!E921,"AAAAAHu73x0=")</f>
        <v>#VALUE!</v>
      </c>
      <c r="AE62" t="e">
        <f>AND('Planilla_General_07-12-2012_8_3'!F921,"AAAAAHu73x4=")</f>
        <v>#VALUE!</v>
      </c>
      <c r="AF62" t="e">
        <f>AND('Planilla_General_07-12-2012_8_3'!G921,"AAAAAHu73x8=")</f>
        <v>#VALUE!</v>
      </c>
      <c r="AG62" t="e">
        <f>AND('Planilla_General_07-12-2012_8_3'!H921,"AAAAAHu73yA=")</f>
        <v>#VALUE!</v>
      </c>
      <c r="AH62" t="e">
        <f>AND('Planilla_General_07-12-2012_8_3'!I921,"AAAAAHu73yE=")</f>
        <v>#VALUE!</v>
      </c>
      <c r="AI62" t="e">
        <f>AND('Planilla_General_07-12-2012_8_3'!J921,"AAAAAHu73yI=")</f>
        <v>#VALUE!</v>
      </c>
      <c r="AJ62" t="e">
        <f>AND('Planilla_General_07-12-2012_8_3'!K921,"AAAAAHu73yM=")</f>
        <v>#VALUE!</v>
      </c>
      <c r="AK62" t="e">
        <f>AND('Planilla_General_07-12-2012_8_3'!L921,"AAAAAHu73yQ=")</f>
        <v>#VALUE!</v>
      </c>
      <c r="AL62" t="e">
        <f>AND('Planilla_General_07-12-2012_8_3'!M921,"AAAAAHu73yU=")</f>
        <v>#VALUE!</v>
      </c>
      <c r="AM62" t="e">
        <f>AND('Planilla_General_07-12-2012_8_3'!N921,"AAAAAHu73yY=")</f>
        <v>#VALUE!</v>
      </c>
      <c r="AN62" t="e">
        <f>AND('Planilla_General_07-12-2012_8_3'!O921,"AAAAAHu73yc=")</f>
        <v>#VALUE!</v>
      </c>
      <c r="AO62" t="e">
        <f>AND('Planilla_General_07-12-2012_8_3'!P921,"AAAAAHu73yg=")</f>
        <v>#VALUE!</v>
      </c>
      <c r="AP62">
        <f>IF('Planilla_General_07-12-2012_8_3'!922:922,"AAAAAHu73yk=",0)</f>
        <v>0</v>
      </c>
      <c r="AQ62" t="e">
        <f>AND('Planilla_General_07-12-2012_8_3'!A922,"AAAAAHu73yo=")</f>
        <v>#VALUE!</v>
      </c>
      <c r="AR62" t="e">
        <f>AND('Planilla_General_07-12-2012_8_3'!B922,"AAAAAHu73ys=")</f>
        <v>#VALUE!</v>
      </c>
      <c r="AS62" t="e">
        <f>AND('Planilla_General_07-12-2012_8_3'!C922,"AAAAAHu73yw=")</f>
        <v>#VALUE!</v>
      </c>
      <c r="AT62" t="e">
        <f>AND('Planilla_General_07-12-2012_8_3'!D922,"AAAAAHu73y0=")</f>
        <v>#VALUE!</v>
      </c>
      <c r="AU62" t="e">
        <f>AND('Planilla_General_07-12-2012_8_3'!E922,"AAAAAHu73y4=")</f>
        <v>#VALUE!</v>
      </c>
      <c r="AV62" t="e">
        <f>AND('Planilla_General_07-12-2012_8_3'!F922,"AAAAAHu73y8=")</f>
        <v>#VALUE!</v>
      </c>
      <c r="AW62" t="e">
        <f>AND('Planilla_General_07-12-2012_8_3'!G922,"AAAAAHu73zA=")</f>
        <v>#VALUE!</v>
      </c>
      <c r="AX62" t="e">
        <f>AND('Planilla_General_07-12-2012_8_3'!H922,"AAAAAHu73zE=")</f>
        <v>#VALUE!</v>
      </c>
      <c r="AY62" t="e">
        <f>AND('Planilla_General_07-12-2012_8_3'!I922,"AAAAAHu73zI=")</f>
        <v>#VALUE!</v>
      </c>
      <c r="AZ62" t="e">
        <f>AND('Planilla_General_07-12-2012_8_3'!J922,"AAAAAHu73zM=")</f>
        <v>#VALUE!</v>
      </c>
      <c r="BA62" t="e">
        <f>AND('Planilla_General_07-12-2012_8_3'!K922,"AAAAAHu73zQ=")</f>
        <v>#VALUE!</v>
      </c>
      <c r="BB62" t="e">
        <f>AND('Planilla_General_07-12-2012_8_3'!L922,"AAAAAHu73zU=")</f>
        <v>#VALUE!</v>
      </c>
      <c r="BC62" t="e">
        <f>AND('Planilla_General_07-12-2012_8_3'!M922,"AAAAAHu73zY=")</f>
        <v>#VALUE!</v>
      </c>
      <c r="BD62" t="e">
        <f>AND('Planilla_General_07-12-2012_8_3'!N922,"AAAAAHu73zc=")</f>
        <v>#VALUE!</v>
      </c>
      <c r="BE62" t="e">
        <f>AND('Planilla_General_07-12-2012_8_3'!O922,"AAAAAHu73zg=")</f>
        <v>#VALUE!</v>
      </c>
      <c r="BF62" t="e">
        <f>AND('Planilla_General_07-12-2012_8_3'!P922,"AAAAAHu73zk=")</f>
        <v>#VALUE!</v>
      </c>
      <c r="BG62">
        <f>IF('Planilla_General_07-12-2012_8_3'!923:923,"AAAAAHu73zo=",0)</f>
        <v>0</v>
      </c>
      <c r="BH62" t="e">
        <f>AND('Planilla_General_07-12-2012_8_3'!A923,"AAAAAHu73zs=")</f>
        <v>#VALUE!</v>
      </c>
      <c r="BI62" t="e">
        <f>AND('Planilla_General_07-12-2012_8_3'!B923,"AAAAAHu73zw=")</f>
        <v>#VALUE!</v>
      </c>
      <c r="BJ62" t="e">
        <f>AND('Planilla_General_07-12-2012_8_3'!C923,"AAAAAHu73z0=")</f>
        <v>#VALUE!</v>
      </c>
      <c r="BK62" t="e">
        <f>AND('Planilla_General_07-12-2012_8_3'!D923,"AAAAAHu73z4=")</f>
        <v>#VALUE!</v>
      </c>
      <c r="BL62" t="e">
        <f>AND('Planilla_General_07-12-2012_8_3'!E923,"AAAAAHu73z8=")</f>
        <v>#VALUE!</v>
      </c>
      <c r="BM62" t="e">
        <f>AND('Planilla_General_07-12-2012_8_3'!F923,"AAAAAHu730A=")</f>
        <v>#VALUE!</v>
      </c>
      <c r="BN62" t="e">
        <f>AND('Planilla_General_07-12-2012_8_3'!G923,"AAAAAHu730E=")</f>
        <v>#VALUE!</v>
      </c>
      <c r="BO62" t="e">
        <f>AND('Planilla_General_07-12-2012_8_3'!H923,"AAAAAHu730I=")</f>
        <v>#VALUE!</v>
      </c>
      <c r="BP62" t="e">
        <f>AND('Planilla_General_07-12-2012_8_3'!I923,"AAAAAHu730M=")</f>
        <v>#VALUE!</v>
      </c>
      <c r="BQ62" t="e">
        <f>AND('Planilla_General_07-12-2012_8_3'!J923,"AAAAAHu730Q=")</f>
        <v>#VALUE!</v>
      </c>
      <c r="BR62" t="e">
        <f>AND('Planilla_General_07-12-2012_8_3'!K923,"AAAAAHu730U=")</f>
        <v>#VALUE!</v>
      </c>
      <c r="BS62" t="e">
        <f>AND('Planilla_General_07-12-2012_8_3'!L923,"AAAAAHu730Y=")</f>
        <v>#VALUE!</v>
      </c>
      <c r="BT62" t="e">
        <f>AND('Planilla_General_07-12-2012_8_3'!M923,"AAAAAHu730c=")</f>
        <v>#VALUE!</v>
      </c>
      <c r="BU62" t="e">
        <f>AND('Planilla_General_07-12-2012_8_3'!N923,"AAAAAHu730g=")</f>
        <v>#VALUE!</v>
      </c>
      <c r="BV62" t="e">
        <f>AND('Planilla_General_07-12-2012_8_3'!O923,"AAAAAHu730k=")</f>
        <v>#VALUE!</v>
      </c>
      <c r="BW62" t="e">
        <f>AND('Planilla_General_07-12-2012_8_3'!P923,"AAAAAHu730o=")</f>
        <v>#VALUE!</v>
      </c>
      <c r="BX62">
        <f>IF('Planilla_General_07-12-2012_8_3'!924:924,"AAAAAHu730s=",0)</f>
        <v>0</v>
      </c>
      <c r="BY62" t="e">
        <f>AND('Planilla_General_07-12-2012_8_3'!A924,"AAAAAHu730w=")</f>
        <v>#VALUE!</v>
      </c>
      <c r="BZ62" t="e">
        <f>AND('Planilla_General_07-12-2012_8_3'!B924,"AAAAAHu7300=")</f>
        <v>#VALUE!</v>
      </c>
      <c r="CA62" t="e">
        <f>AND('Planilla_General_07-12-2012_8_3'!C924,"AAAAAHu7304=")</f>
        <v>#VALUE!</v>
      </c>
      <c r="CB62" t="e">
        <f>AND('Planilla_General_07-12-2012_8_3'!D924,"AAAAAHu7308=")</f>
        <v>#VALUE!</v>
      </c>
      <c r="CC62" t="e">
        <f>AND('Planilla_General_07-12-2012_8_3'!E924,"AAAAAHu731A=")</f>
        <v>#VALUE!</v>
      </c>
      <c r="CD62" t="e">
        <f>AND('Planilla_General_07-12-2012_8_3'!F924,"AAAAAHu731E=")</f>
        <v>#VALUE!</v>
      </c>
      <c r="CE62" t="e">
        <f>AND('Planilla_General_07-12-2012_8_3'!G924,"AAAAAHu731I=")</f>
        <v>#VALUE!</v>
      </c>
      <c r="CF62" t="e">
        <f>AND('Planilla_General_07-12-2012_8_3'!H924,"AAAAAHu731M=")</f>
        <v>#VALUE!</v>
      </c>
      <c r="CG62" t="e">
        <f>AND('Planilla_General_07-12-2012_8_3'!I924,"AAAAAHu731Q=")</f>
        <v>#VALUE!</v>
      </c>
      <c r="CH62" t="e">
        <f>AND('Planilla_General_07-12-2012_8_3'!J924,"AAAAAHu731U=")</f>
        <v>#VALUE!</v>
      </c>
      <c r="CI62" t="e">
        <f>AND('Planilla_General_07-12-2012_8_3'!K924,"AAAAAHu731Y=")</f>
        <v>#VALUE!</v>
      </c>
      <c r="CJ62" t="e">
        <f>AND('Planilla_General_07-12-2012_8_3'!L924,"AAAAAHu731c=")</f>
        <v>#VALUE!</v>
      </c>
      <c r="CK62" t="e">
        <f>AND('Planilla_General_07-12-2012_8_3'!M924,"AAAAAHu731g=")</f>
        <v>#VALUE!</v>
      </c>
      <c r="CL62" t="e">
        <f>AND('Planilla_General_07-12-2012_8_3'!N924,"AAAAAHu731k=")</f>
        <v>#VALUE!</v>
      </c>
      <c r="CM62" t="e">
        <f>AND('Planilla_General_07-12-2012_8_3'!O924,"AAAAAHu731o=")</f>
        <v>#VALUE!</v>
      </c>
      <c r="CN62" t="e">
        <f>AND('Planilla_General_07-12-2012_8_3'!P924,"AAAAAHu731s=")</f>
        <v>#VALUE!</v>
      </c>
      <c r="CO62">
        <f>IF('Planilla_General_07-12-2012_8_3'!925:925,"AAAAAHu731w=",0)</f>
        <v>0</v>
      </c>
      <c r="CP62" t="e">
        <f>AND('Planilla_General_07-12-2012_8_3'!A925,"AAAAAHu7310=")</f>
        <v>#VALUE!</v>
      </c>
      <c r="CQ62" t="e">
        <f>AND('Planilla_General_07-12-2012_8_3'!B925,"AAAAAHu7314=")</f>
        <v>#VALUE!</v>
      </c>
      <c r="CR62" t="e">
        <f>AND('Planilla_General_07-12-2012_8_3'!C925,"AAAAAHu7318=")</f>
        <v>#VALUE!</v>
      </c>
      <c r="CS62" t="e">
        <f>AND('Planilla_General_07-12-2012_8_3'!D925,"AAAAAHu732A=")</f>
        <v>#VALUE!</v>
      </c>
      <c r="CT62" t="e">
        <f>AND('Planilla_General_07-12-2012_8_3'!E925,"AAAAAHu732E=")</f>
        <v>#VALUE!</v>
      </c>
      <c r="CU62" t="e">
        <f>AND('Planilla_General_07-12-2012_8_3'!F925,"AAAAAHu732I=")</f>
        <v>#VALUE!</v>
      </c>
      <c r="CV62" t="e">
        <f>AND('Planilla_General_07-12-2012_8_3'!G925,"AAAAAHu732M=")</f>
        <v>#VALUE!</v>
      </c>
      <c r="CW62" t="e">
        <f>AND('Planilla_General_07-12-2012_8_3'!H925,"AAAAAHu732Q=")</f>
        <v>#VALUE!</v>
      </c>
      <c r="CX62" t="e">
        <f>AND('Planilla_General_07-12-2012_8_3'!I925,"AAAAAHu732U=")</f>
        <v>#VALUE!</v>
      </c>
      <c r="CY62" t="e">
        <f>AND('Planilla_General_07-12-2012_8_3'!J925,"AAAAAHu732Y=")</f>
        <v>#VALUE!</v>
      </c>
      <c r="CZ62" t="e">
        <f>AND('Planilla_General_07-12-2012_8_3'!K925,"AAAAAHu732c=")</f>
        <v>#VALUE!</v>
      </c>
      <c r="DA62" t="e">
        <f>AND('Planilla_General_07-12-2012_8_3'!L925,"AAAAAHu732g=")</f>
        <v>#VALUE!</v>
      </c>
      <c r="DB62" t="e">
        <f>AND('Planilla_General_07-12-2012_8_3'!M925,"AAAAAHu732k=")</f>
        <v>#VALUE!</v>
      </c>
      <c r="DC62" t="e">
        <f>AND('Planilla_General_07-12-2012_8_3'!N925,"AAAAAHu732o=")</f>
        <v>#VALUE!</v>
      </c>
      <c r="DD62" t="e">
        <f>AND('Planilla_General_07-12-2012_8_3'!O925,"AAAAAHu732s=")</f>
        <v>#VALUE!</v>
      </c>
      <c r="DE62" t="e">
        <f>AND('Planilla_General_07-12-2012_8_3'!P925,"AAAAAHu732w=")</f>
        <v>#VALUE!</v>
      </c>
      <c r="DF62">
        <f>IF('Planilla_General_07-12-2012_8_3'!926:926,"AAAAAHu7320=",0)</f>
        <v>0</v>
      </c>
      <c r="DG62" t="e">
        <f>AND('Planilla_General_07-12-2012_8_3'!A926,"AAAAAHu7324=")</f>
        <v>#VALUE!</v>
      </c>
      <c r="DH62" t="e">
        <f>AND('Planilla_General_07-12-2012_8_3'!B926,"AAAAAHu7328=")</f>
        <v>#VALUE!</v>
      </c>
      <c r="DI62" t="e">
        <f>AND('Planilla_General_07-12-2012_8_3'!C926,"AAAAAHu733A=")</f>
        <v>#VALUE!</v>
      </c>
      <c r="DJ62" t="e">
        <f>AND('Planilla_General_07-12-2012_8_3'!D926,"AAAAAHu733E=")</f>
        <v>#VALUE!</v>
      </c>
      <c r="DK62" t="e">
        <f>AND('Planilla_General_07-12-2012_8_3'!E926,"AAAAAHu733I=")</f>
        <v>#VALUE!</v>
      </c>
      <c r="DL62" t="e">
        <f>AND('Planilla_General_07-12-2012_8_3'!F926,"AAAAAHu733M=")</f>
        <v>#VALUE!</v>
      </c>
      <c r="DM62" t="e">
        <f>AND('Planilla_General_07-12-2012_8_3'!G926,"AAAAAHu733Q=")</f>
        <v>#VALUE!</v>
      </c>
      <c r="DN62" t="e">
        <f>AND('Planilla_General_07-12-2012_8_3'!H926,"AAAAAHu733U=")</f>
        <v>#VALUE!</v>
      </c>
      <c r="DO62" t="e">
        <f>AND('Planilla_General_07-12-2012_8_3'!I926,"AAAAAHu733Y=")</f>
        <v>#VALUE!</v>
      </c>
      <c r="DP62" t="e">
        <f>AND('Planilla_General_07-12-2012_8_3'!J926,"AAAAAHu733c=")</f>
        <v>#VALUE!</v>
      </c>
      <c r="DQ62" t="e">
        <f>AND('Planilla_General_07-12-2012_8_3'!K926,"AAAAAHu733g=")</f>
        <v>#VALUE!</v>
      </c>
      <c r="DR62" t="e">
        <f>AND('Planilla_General_07-12-2012_8_3'!L926,"AAAAAHu733k=")</f>
        <v>#VALUE!</v>
      </c>
      <c r="DS62" t="e">
        <f>AND('Planilla_General_07-12-2012_8_3'!M926,"AAAAAHu733o=")</f>
        <v>#VALUE!</v>
      </c>
      <c r="DT62" t="e">
        <f>AND('Planilla_General_07-12-2012_8_3'!N926,"AAAAAHu733s=")</f>
        <v>#VALUE!</v>
      </c>
      <c r="DU62" t="e">
        <f>AND('Planilla_General_07-12-2012_8_3'!O926,"AAAAAHu733w=")</f>
        <v>#VALUE!</v>
      </c>
      <c r="DV62" t="e">
        <f>AND('Planilla_General_07-12-2012_8_3'!P926,"AAAAAHu7330=")</f>
        <v>#VALUE!</v>
      </c>
      <c r="DW62">
        <f>IF('Planilla_General_07-12-2012_8_3'!927:927,"AAAAAHu7334=",0)</f>
        <v>0</v>
      </c>
      <c r="DX62" t="e">
        <f>AND('Planilla_General_07-12-2012_8_3'!A927,"AAAAAHu7338=")</f>
        <v>#VALUE!</v>
      </c>
      <c r="DY62" t="e">
        <f>AND('Planilla_General_07-12-2012_8_3'!B927,"AAAAAHu734A=")</f>
        <v>#VALUE!</v>
      </c>
      <c r="DZ62" t="e">
        <f>AND('Planilla_General_07-12-2012_8_3'!C927,"AAAAAHu734E=")</f>
        <v>#VALUE!</v>
      </c>
      <c r="EA62" t="e">
        <f>AND('Planilla_General_07-12-2012_8_3'!D927,"AAAAAHu734I=")</f>
        <v>#VALUE!</v>
      </c>
      <c r="EB62" t="e">
        <f>AND('Planilla_General_07-12-2012_8_3'!E927,"AAAAAHu734M=")</f>
        <v>#VALUE!</v>
      </c>
      <c r="EC62" t="e">
        <f>AND('Planilla_General_07-12-2012_8_3'!F927,"AAAAAHu734Q=")</f>
        <v>#VALUE!</v>
      </c>
      <c r="ED62" t="e">
        <f>AND('Planilla_General_07-12-2012_8_3'!G927,"AAAAAHu734U=")</f>
        <v>#VALUE!</v>
      </c>
      <c r="EE62" t="e">
        <f>AND('Planilla_General_07-12-2012_8_3'!H927,"AAAAAHu734Y=")</f>
        <v>#VALUE!</v>
      </c>
      <c r="EF62" t="e">
        <f>AND('Planilla_General_07-12-2012_8_3'!I927,"AAAAAHu734c=")</f>
        <v>#VALUE!</v>
      </c>
      <c r="EG62" t="e">
        <f>AND('Planilla_General_07-12-2012_8_3'!J927,"AAAAAHu734g=")</f>
        <v>#VALUE!</v>
      </c>
      <c r="EH62" t="e">
        <f>AND('Planilla_General_07-12-2012_8_3'!K927,"AAAAAHu734k=")</f>
        <v>#VALUE!</v>
      </c>
      <c r="EI62" t="e">
        <f>AND('Planilla_General_07-12-2012_8_3'!L927,"AAAAAHu734o=")</f>
        <v>#VALUE!</v>
      </c>
      <c r="EJ62" t="e">
        <f>AND('Planilla_General_07-12-2012_8_3'!M927,"AAAAAHu734s=")</f>
        <v>#VALUE!</v>
      </c>
      <c r="EK62" t="e">
        <f>AND('Planilla_General_07-12-2012_8_3'!N927,"AAAAAHu734w=")</f>
        <v>#VALUE!</v>
      </c>
      <c r="EL62" t="e">
        <f>AND('Planilla_General_07-12-2012_8_3'!O927,"AAAAAHu7340=")</f>
        <v>#VALUE!</v>
      </c>
      <c r="EM62" t="e">
        <f>AND('Planilla_General_07-12-2012_8_3'!P927,"AAAAAHu7344=")</f>
        <v>#VALUE!</v>
      </c>
      <c r="EN62">
        <f>IF('Planilla_General_07-12-2012_8_3'!928:928,"AAAAAHu7348=",0)</f>
        <v>0</v>
      </c>
      <c r="EO62" t="e">
        <f>AND('Planilla_General_07-12-2012_8_3'!A928,"AAAAAHu735A=")</f>
        <v>#VALUE!</v>
      </c>
      <c r="EP62" t="e">
        <f>AND('Planilla_General_07-12-2012_8_3'!B928,"AAAAAHu735E=")</f>
        <v>#VALUE!</v>
      </c>
      <c r="EQ62" t="e">
        <f>AND('Planilla_General_07-12-2012_8_3'!C928,"AAAAAHu735I=")</f>
        <v>#VALUE!</v>
      </c>
      <c r="ER62" t="e">
        <f>AND('Planilla_General_07-12-2012_8_3'!D928,"AAAAAHu735M=")</f>
        <v>#VALUE!</v>
      </c>
      <c r="ES62" t="e">
        <f>AND('Planilla_General_07-12-2012_8_3'!E928,"AAAAAHu735Q=")</f>
        <v>#VALUE!</v>
      </c>
      <c r="ET62" t="e">
        <f>AND('Planilla_General_07-12-2012_8_3'!F928,"AAAAAHu735U=")</f>
        <v>#VALUE!</v>
      </c>
      <c r="EU62" t="e">
        <f>AND('Planilla_General_07-12-2012_8_3'!G928,"AAAAAHu735Y=")</f>
        <v>#VALUE!</v>
      </c>
      <c r="EV62" t="e">
        <f>AND('Planilla_General_07-12-2012_8_3'!H928,"AAAAAHu735c=")</f>
        <v>#VALUE!</v>
      </c>
      <c r="EW62" t="e">
        <f>AND('Planilla_General_07-12-2012_8_3'!I928,"AAAAAHu735g=")</f>
        <v>#VALUE!</v>
      </c>
      <c r="EX62" t="e">
        <f>AND('Planilla_General_07-12-2012_8_3'!J928,"AAAAAHu735k=")</f>
        <v>#VALUE!</v>
      </c>
      <c r="EY62" t="e">
        <f>AND('Planilla_General_07-12-2012_8_3'!K928,"AAAAAHu735o=")</f>
        <v>#VALUE!</v>
      </c>
      <c r="EZ62" t="e">
        <f>AND('Planilla_General_07-12-2012_8_3'!L928,"AAAAAHu735s=")</f>
        <v>#VALUE!</v>
      </c>
      <c r="FA62" t="e">
        <f>AND('Planilla_General_07-12-2012_8_3'!M928,"AAAAAHu735w=")</f>
        <v>#VALUE!</v>
      </c>
      <c r="FB62" t="e">
        <f>AND('Planilla_General_07-12-2012_8_3'!N928,"AAAAAHu7350=")</f>
        <v>#VALUE!</v>
      </c>
      <c r="FC62" t="e">
        <f>AND('Planilla_General_07-12-2012_8_3'!O928,"AAAAAHu7354=")</f>
        <v>#VALUE!</v>
      </c>
      <c r="FD62" t="e">
        <f>AND('Planilla_General_07-12-2012_8_3'!P928,"AAAAAHu7358=")</f>
        <v>#VALUE!</v>
      </c>
      <c r="FE62">
        <f>IF('Planilla_General_07-12-2012_8_3'!929:929,"AAAAAHu736A=",0)</f>
        <v>0</v>
      </c>
      <c r="FF62" t="e">
        <f>AND('Planilla_General_07-12-2012_8_3'!A929,"AAAAAHu736E=")</f>
        <v>#VALUE!</v>
      </c>
      <c r="FG62" t="e">
        <f>AND('Planilla_General_07-12-2012_8_3'!B929,"AAAAAHu736I=")</f>
        <v>#VALUE!</v>
      </c>
      <c r="FH62" t="e">
        <f>AND('Planilla_General_07-12-2012_8_3'!C929,"AAAAAHu736M=")</f>
        <v>#VALUE!</v>
      </c>
      <c r="FI62" t="e">
        <f>AND('Planilla_General_07-12-2012_8_3'!D929,"AAAAAHu736Q=")</f>
        <v>#VALUE!</v>
      </c>
      <c r="FJ62" t="e">
        <f>AND('Planilla_General_07-12-2012_8_3'!E929,"AAAAAHu736U=")</f>
        <v>#VALUE!</v>
      </c>
      <c r="FK62" t="e">
        <f>AND('Planilla_General_07-12-2012_8_3'!F929,"AAAAAHu736Y=")</f>
        <v>#VALUE!</v>
      </c>
      <c r="FL62" t="e">
        <f>AND('Planilla_General_07-12-2012_8_3'!G929,"AAAAAHu736c=")</f>
        <v>#VALUE!</v>
      </c>
      <c r="FM62" t="e">
        <f>AND('Planilla_General_07-12-2012_8_3'!H929,"AAAAAHu736g=")</f>
        <v>#VALUE!</v>
      </c>
      <c r="FN62" t="e">
        <f>AND('Planilla_General_07-12-2012_8_3'!I929,"AAAAAHu736k=")</f>
        <v>#VALUE!</v>
      </c>
      <c r="FO62" t="e">
        <f>AND('Planilla_General_07-12-2012_8_3'!J929,"AAAAAHu736o=")</f>
        <v>#VALUE!</v>
      </c>
      <c r="FP62" t="e">
        <f>AND('Planilla_General_07-12-2012_8_3'!K929,"AAAAAHu736s=")</f>
        <v>#VALUE!</v>
      </c>
      <c r="FQ62" t="e">
        <f>AND('Planilla_General_07-12-2012_8_3'!L929,"AAAAAHu736w=")</f>
        <v>#VALUE!</v>
      </c>
      <c r="FR62" t="e">
        <f>AND('Planilla_General_07-12-2012_8_3'!M929,"AAAAAHu7360=")</f>
        <v>#VALUE!</v>
      </c>
      <c r="FS62" t="e">
        <f>AND('Planilla_General_07-12-2012_8_3'!N929,"AAAAAHu7364=")</f>
        <v>#VALUE!</v>
      </c>
      <c r="FT62" t="e">
        <f>AND('Planilla_General_07-12-2012_8_3'!O929,"AAAAAHu7368=")</f>
        <v>#VALUE!</v>
      </c>
      <c r="FU62" t="e">
        <f>AND('Planilla_General_07-12-2012_8_3'!P929,"AAAAAHu737A=")</f>
        <v>#VALUE!</v>
      </c>
      <c r="FV62">
        <f>IF('Planilla_General_07-12-2012_8_3'!930:930,"AAAAAHu737E=",0)</f>
        <v>0</v>
      </c>
      <c r="FW62" t="e">
        <f>AND('Planilla_General_07-12-2012_8_3'!A930,"AAAAAHu737I=")</f>
        <v>#VALUE!</v>
      </c>
      <c r="FX62" t="e">
        <f>AND('Planilla_General_07-12-2012_8_3'!B930,"AAAAAHu737M=")</f>
        <v>#VALUE!</v>
      </c>
      <c r="FY62" t="e">
        <f>AND('Planilla_General_07-12-2012_8_3'!C930,"AAAAAHu737Q=")</f>
        <v>#VALUE!</v>
      </c>
      <c r="FZ62" t="e">
        <f>AND('Planilla_General_07-12-2012_8_3'!D930,"AAAAAHu737U=")</f>
        <v>#VALUE!</v>
      </c>
      <c r="GA62" t="e">
        <f>AND('Planilla_General_07-12-2012_8_3'!E930,"AAAAAHu737Y=")</f>
        <v>#VALUE!</v>
      </c>
      <c r="GB62" t="e">
        <f>AND('Planilla_General_07-12-2012_8_3'!F930,"AAAAAHu737c=")</f>
        <v>#VALUE!</v>
      </c>
      <c r="GC62" t="e">
        <f>AND('Planilla_General_07-12-2012_8_3'!G930,"AAAAAHu737g=")</f>
        <v>#VALUE!</v>
      </c>
      <c r="GD62" t="e">
        <f>AND('Planilla_General_07-12-2012_8_3'!H930,"AAAAAHu737k=")</f>
        <v>#VALUE!</v>
      </c>
      <c r="GE62" t="e">
        <f>AND('Planilla_General_07-12-2012_8_3'!I930,"AAAAAHu737o=")</f>
        <v>#VALUE!</v>
      </c>
      <c r="GF62" t="e">
        <f>AND('Planilla_General_07-12-2012_8_3'!J930,"AAAAAHu737s=")</f>
        <v>#VALUE!</v>
      </c>
      <c r="GG62" t="e">
        <f>AND('Planilla_General_07-12-2012_8_3'!K930,"AAAAAHu737w=")</f>
        <v>#VALUE!</v>
      </c>
      <c r="GH62" t="e">
        <f>AND('Planilla_General_07-12-2012_8_3'!L930,"AAAAAHu7370=")</f>
        <v>#VALUE!</v>
      </c>
      <c r="GI62" t="e">
        <f>AND('Planilla_General_07-12-2012_8_3'!M930,"AAAAAHu7374=")</f>
        <v>#VALUE!</v>
      </c>
      <c r="GJ62" t="e">
        <f>AND('Planilla_General_07-12-2012_8_3'!N930,"AAAAAHu7378=")</f>
        <v>#VALUE!</v>
      </c>
      <c r="GK62" t="e">
        <f>AND('Planilla_General_07-12-2012_8_3'!O930,"AAAAAHu738A=")</f>
        <v>#VALUE!</v>
      </c>
      <c r="GL62" t="e">
        <f>AND('Planilla_General_07-12-2012_8_3'!P930,"AAAAAHu738E=")</f>
        <v>#VALUE!</v>
      </c>
      <c r="GM62">
        <f>IF('Planilla_General_07-12-2012_8_3'!931:931,"AAAAAHu738I=",0)</f>
        <v>0</v>
      </c>
      <c r="GN62" t="e">
        <f>AND('Planilla_General_07-12-2012_8_3'!A931,"AAAAAHu738M=")</f>
        <v>#VALUE!</v>
      </c>
      <c r="GO62" t="e">
        <f>AND('Planilla_General_07-12-2012_8_3'!B931,"AAAAAHu738Q=")</f>
        <v>#VALUE!</v>
      </c>
      <c r="GP62" t="e">
        <f>AND('Planilla_General_07-12-2012_8_3'!C931,"AAAAAHu738U=")</f>
        <v>#VALUE!</v>
      </c>
      <c r="GQ62" t="e">
        <f>AND('Planilla_General_07-12-2012_8_3'!D931,"AAAAAHu738Y=")</f>
        <v>#VALUE!</v>
      </c>
      <c r="GR62" t="e">
        <f>AND('Planilla_General_07-12-2012_8_3'!E931,"AAAAAHu738c=")</f>
        <v>#VALUE!</v>
      </c>
      <c r="GS62" t="e">
        <f>AND('Planilla_General_07-12-2012_8_3'!F931,"AAAAAHu738g=")</f>
        <v>#VALUE!</v>
      </c>
      <c r="GT62" t="e">
        <f>AND('Planilla_General_07-12-2012_8_3'!G931,"AAAAAHu738k=")</f>
        <v>#VALUE!</v>
      </c>
      <c r="GU62" t="e">
        <f>AND('Planilla_General_07-12-2012_8_3'!H931,"AAAAAHu738o=")</f>
        <v>#VALUE!</v>
      </c>
      <c r="GV62" t="e">
        <f>AND('Planilla_General_07-12-2012_8_3'!I931,"AAAAAHu738s=")</f>
        <v>#VALUE!</v>
      </c>
      <c r="GW62" t="e">
        <f>AND('Planilla_General_07-12-2012_8_3'!J931,"AAAAAHu738w=")</f>
        <v>#VALUE!</v>
      </c>
      <c r="GX62" t="e">
        <f>AND('Planilla_General_07-12-2012_8_3'!K931,"AAAAAHu7380=")</f>
        <v>#VALUE!</v>
      </c>
      <c r="GY62" t="e">
        <f>AND('Planilla_General_07-12-2012_8_3'!L931,"AAAAAHu7384=")</f>
        <v>#VALUE!</v>
      </c>
      <c r="GZ62" t="e">
        <f>AND('Planilla_General_07-12-2012_8_3'!M931,"AAAAAHu7388=")</f>
        <v>#VALUE!</v>
      </c>
      <c r="HA62" t="e">
        <f>AND('Planilla_General_07-12-2012_8_3'!N931,"AAAAAHu739A=")</f>
        <v>#VALUE!</v>
      </c>
      <c r="HB62" t="e">
        <f>AND('Planilla_General_07-12-2012_8_3'!O931,"AAAAAHu739E=")</f>
        <v>#VALUE!</v>
      </c>
      <c r="HC62" t="e">
        <f>AND('Planilla_General_07-12-2012_8_3'!P931,"AAAAAHu739I=")</f>
        <v>#VALUE!</v>
      </c>
      <c r="HD62">
        <f>IF('Planilla_General_07-12-2012_8_3'!932:932,"AAAAAHu739M=",0)</f>
        <v>0</v>
      </c>
      <c r="HE62" t="e">
        <f>AND('Planilla_General_07-12-2012_8_3'!A932,"AAAAAHu739Q=")</f>
        <v>#VALUE!</v>
      </c>
      <c r="HF62" t="e">
        <f>AND('Planilla_General_07-12-2012_8_3'!B932,"AAAAAHu739U=")</f>
        <v>#VALUE!</v>
      </c>
      <c r="HG62" t="e">
        <f>AND('Planilla_General_07-12-2012_8_3'!C932,"AAAAAHu739Y=")</f>
        <v>#VALUE!</v>
      </c>
      <c r="HH62" t="e">
        <f>AND('Planilla_General_07-12-2012_8_3'!D932,"AAAAAHu739c=")</f>
        <v>#VALUE!</v>
      </c>
      <c r="HI62" t="e">
        <f>AND('Planilla_General_07-12-2012_8_3'!E932,"AAAAAHu739g=")</f>
        <v>#VALUE!</v>
      </c>
      <c r="HJ62" t="e">
        <f>AND('Planilla_General_07-12-2012_8_3'!F932,"AAAAAHu739k=")</f>
        <v>#VALUE!</v>
      </c>
      <c r="HK62" t="e">
        <f>AND('Planilla_General_07-12-2012_8_3'!G932,"AAAAAHu739o=")</f>
        <v>#VALUE!</v>
      </c>
      <c r="HL62" t="e">
        <f>AND('Planilla_General_07-12-2012_8_3'!H932,"AAAAAHu739s=")</f>
        <v>#VALUE!</v>
      </c>
      <c r="HM62" t="e">
        <f>AND('Planilla_General_07-12-2012_8_3'!I932,"AAAAAHu739w=")</f>
        <v>#VALUE!</v>
      </c>
      <c r="HN62" t="e">
        <f>AND('Planilla_General_07-12-2012_8_3'!J932,"AAAAAHu7390=")</f>
        <v>#VALUE!</v>
      </c>
      <c r="HO62" t="e">
        <f>AND('Planilla_General_07-12-2012_8_3'!K932,"AAAAAHu7394=")</f>
        <v>#VALUE!</v>
      </c>
      <c r="HP62" t="e">
        <f>AND('Planilla_General_07-12-2012_8_3'!L932,"AAAAAHu7398=")</f>
        <v>#VALUE!</v>
      </c>
      <c r="HQ62" t="e">
        <f>AND('Planilla_General_07-12-2012_8_3'!M932,"AAAAAHu73+A=")</f>
        <v>#VALUE!</v>
      </c>
      <c r="HR62" t="e">
        <f>AND('Planilla_General_07-12-2012_8_3'!N932,"AAAAAHu73+E=")</f>
        <v>#VALUE!</v>
      </c>
      <c r="HS62" t="e">
        <f>AND('Planilla_General_07-12-2012_8_3'!O932,"AAAAAHu73+I=")</f>
        <v>#VALUE!</v>
      </c>
      <c r="HT62" t="e">
        <f>AND('Planilla_General_07-12-2012_8_3'!P932,"AAAAAHu73+M=")</f>
        <v>#VALUE!</v>
      </c>
      <c r="HU62">
        <f>IF('Planilla_General_07-12-2012_8_3'!933:933,"AAAAAHu73+Q=",0)</f>
        <v>0</v>
      </c>
      <c r="HV62" t="e">
        <f>AND('Planilla_General_07-12-2012_8_3'!A933,"AAAAAHu73+U=")</f>
        <v>#VALUE!</v>
      </c>
      <c r="HW62" t="e">
        <f>AND('Planilla_General_07-12-2012_8_3'!B933,"AAAAAHu73+Y=")</f>
        <v>#VALUE!</v>
      </c>
      <c r="HX62" t="e">
        <f>AND('Planilla_General_07-12-2012_8_3'!C933,"AAAAAHu73+c=")</f>
        <v>#VALUE!</v>
      </c>
      <c r="HY62" t="e">
        <f>AND('Planilla_General_07-12-2012_8_3'!D933,"AAAAAHu73+g=")</f>
        <v>#VALUE!</v>
      </c>
      <c r="HZ62" t="e">
        <f>AND('Planilla_General_07-12-2012_8_3'!E933,"AAAAAHu73+k=")</f>
        <v>#VALUE!</v>
      </c>
      <c r="IA62" t="e">
        <f>AND('Planilla_General_07-12-2012_8_3'!F933,"AAAAAHu73+o=")</f>
        <v>#VALUE!</v>
      </c>
      <c r="IB62" t="e">
        <f>AND('Planilla_General_07-12-2012_8_3'!G933,"AAAAAHu73+s=")</f>
        <v>#VALUE!</v>
      </c>
      <c r="IC62" t="e">
        <f>AND('Planilla_General_07-12-2012_8_3'!H933,"AAAAAHu73+w=")</f>
        <v>#VALUE!</v>
      </c>
      <c r="ID62" t="e">
        <f>AND('Planilla_General_07-12-2012_8_3'!I933,"AAAAAHu73+0=")</f>
        <v>#VALUE!</v>
      </c>
      <c r="IE62" t="e">
        <f>AND('Planilla_General_07-12-2012_8_3'!J933,"AAAAAHu73+4=")</f>
        <v>#VALUE!</v>
      </c>
      <c r="IF62" t="e">
        <f>AND('Planilla_General_07-12-2012_8_3'!K933,"AAAAAHu73+8=")</f>
        <v>#VALUE!</v>
      </c>
      <c r="IG62" t="e">
        <f>AND('Planilla_General_07-12-2012_8_3'!L933,"AAAAAHu73/A=")</f>
        <v>#VALUE!</v>
      </c>
      <c r="IH62" t="e">
        <f>AND('Planilla_General_07-12-2012_8_3'!M933,"AAAAAHu73/E=")</f>
        <v>#VALUE!</v>
      </c>
      <c r="II62" t="e">
        <f>AND('Planilla_General_07-12-2012_8_3'!N933,"AAAAAHu73/I=")</f>
        <v>#VALUE!</v>
      </c>
      <c r="IJ62" t="e">
        <f>AND('Planilla_General_07-12-2012_8_3'!O933,"AAAAAHu73/M=")</f>
        <v>#VALUE!</v>
      </c>
      <c r="IK62" t="e">
        <f>AND('Planilla_General_07-12-2012_8_3'!P933,"AAAAAHu73/Q=")</f>
        <v>#VALUE!</v>
      </c>
      <c r="IL62">
        <f>IF('Planilla_General_07-12-2012_8_3'!934:934,"AAAAAHu73/U=",0)</f>
        <v>0</v>
      </c>
      <c r="IM62" t="e">
        <f>AND('Planilla_General_07-12-2012_8_3'!A934,"AAAAAHu73/Y=")</f>
        <v>#VALUE!</v>
      </c>
      <c r="IN62" t="e">
        <f>AND('Planilla_General_07-12-2012_8_3'!B934,"AAAAAHu73/c=")</f>
        <v>#VALUE!</v>
      </c>
      <c r="IO62" t="e">
        <f>AND('Planilla_General_07-12-2012_8_3'!C934,"AAAAAHu73/g=")</f>
        <v>#VALUE!</v>
      </c>
      <c r="IP62" t="e">
        <f>AND('Planilla_General_07-12-2012_8_3'!D934,"AAAAAHu73/k=")</f>
        <v>#VALUE!</v>
      </c>
      <c r="IQ62" t="e">
        <f>AND('Planilla_General_07-12-2012_8_3'!E934,"AAAAAHu73/o=")</f>
        <v>#VALUE!</v>
      </c>
      <c r="IR62" t="e">
        <f>AND('Planilla_General_07-12-2012_8_3'!F934,"AAAAAHu73/s=")</f>
        <v>#VALUE!</v>
      </c>
      <c r="IS62" t="e">
        <f>AND('Planilla_General_07-12-2012_8_3'!G934,"AAAAAHu73/w=")</f>
        <v>#VALUE!</v>
      </c>
      <c r="IT62" t="e">
        <f>AND('Planilla_General_07-12-2012_8_3'!H934,"AAAAAHu73/0=")</f>
        <v>#VALUE!</v>
      </c>
      <c r="IU62" t="e">
        <f>AND('Planilla_General_07-12-2012_8_3'!I934,"AAAAAHu73/4=")</f>
        <v>#VALUE!</v>
      </c>
      <c r="IV62" t="e">
        <f>AND('Planilla_General_07-12-2012_8_3'!J934,"AAAAAHu73/8=")</f>
        <v>#VALUE!</v>
      </c>
    </row>
    <row r="63" spans="1:256" x14ac:dyDescent="0.25">
      <c r="A63" t="e">
        <f>AND('Planilla_General_07-12-2012_8_3'!K934,"AAAAAC8/rQA=")</f>
        <v>#VALUE!</v>
      </c>
      <c r="B63" t="e">
        <f>AND('Planilla_General_07-12-2012_8_3'!L934,"AAAAAC8/rQE=")</f>
        <v>#VALUE!</v>
      </c>
      <c r="C63" t="e">
        <f>AND('Planilla_General_07-12-2012_8_3'!M934,"AAAAAC8/rQI=")</f>
        <v>#VALUE!</v>
      </c>
      <c r="D63" t="e">
        <f>AND('Planilla_General_07-12-2012_8_3'!N934,"AAAAAC8/rQM=")</f>
        <v>#VALUE!</v>
      </c>
      <c r="E63" t="e">
        <f>AND('Planilla_General_07-12-2012_8_3'!O934,"AAAAAC8/rQQ=")</f>
        <v>#VALUE!</v>
      </c>
      <c r="F63" t="e">
        <f>AND('Planilla_General_07-12-2012_8_3'!P934,"AAAAAC8/rQU=")</f>
        <v>#VALUE!</v>
      </c>
      <c r="G63" t="e">
        <f>IF('Planilla_General_07-12-2012_8_3'!935:935,"AAAAAC8/rQY=",0)</f>
        <v>#VALUE!</v>
      </c>
      <c r="H63" t="e">
        <f>AND('Planilla_General_07-12-2012_8_3'!A935,"AAAAAC8/rQc=")</f>
        <v>#VALUE!</v>
      </c>
      <c r="I63" t="e">
        <f>AND('Planilla_General_07-12-2012_8_3'!B935,"AAAAAC8/rQg=")</f>
        <v>#VALUE!</v>
      </c>
      <c r="J63" t="e">
        <f>AND('Planilla_General_07-12-2012_8_3'!C935,"AAAAAC8/rQk=")</f>
        <v>#VALUE!</v>
      </c>
      <c r="K63" t="e">
        <f>AND('Planilla_General_07-12-2012_8_3'!D935,"AAAAAC8/rQo=")</f>
        <v>#VALUE!</v>
      </c>
      <c r="L63" t="e">
        <f>AND('Planilla_General_07-12-2012_8_3'!E935,"AAAAAC8/rQs=")</f>
        <v>#VALUE!</v>
      </c>
      <c r="M63" t="e">
        <f>AND('Planilla_General_07-12-2012_8_3'!F935,"AAAAAC8/rQw=")</f>
        <v>#VALUE!</v>
      </c>
      <c r="N63" t="e">
        <f>AND('Planilla_General_07-12-2012_8_3'!G935,"AAAAAC8/rQ0=")</f>
        <v>#VALUE!</v>
      </c>
      <c r="O63" t="e">
        <f>AND('Planilla_General_07-12-2012_8_3'!H935,"AAAAAC8/rQ4=")</f>
        <v>#VALUE!</v>
      </c>
      <c r="P63" t="e">
        <f>AND('Planilla_General_07-12-2012_8_3'!I935,"AAAAAC8/rQ8=")</f>
        <v>#VALUE!</v>
      </c>
      <c r="Q63" t="e">
        <f>AND('Planilla_General_07-12-2012_8_3'!J935,"AAAAAC8/rRA=")</f>
        <v>#VALUE!</v>
      </c>
      <c r="R63" t="e">
        <f>AND('Planilla_General_07-12-2012_8_3'!K935,"AAAAAC8/rRE=")</f>
        <v>#VALUE!</v>
      </c>
      <c r="S63" t="e">
        <f>AND('Planilla_General_07-12-2012_8_3'!L935,"AAAAAC8/rRI=")</f>
        <v>#VALUE!</v>
      </c>
      <c r="T63" t="e">
        <f>AND('Planilla_General_07-12-2012_8_3'!M935,"AAAAAC8/rRM=")</f>
        <v>#VALUE!</v>
      </c>
      <c r="U63" t="e">
        <f>AND('Planilla_General_07-12-2012_8_3'!N935,"AAAAAC8/rRQ=")</f>
        <v>#VALUE!</v>
      </c>
      <c r="V63" t="e">
        <f>AND('Planilla_General_07-12-2012_8_3'!O935,"AAAAAC8/rRU=")</f>
        <v>#VALUE!</v>
      </c>
      <c r="W63" t="e">
        <f>AND('Planilla_General_07-12-2012_8_3'!P935,"AAAAAC8/rRY=")</f>
        <v>#VALUE!</v>
      </c>
      <c r="X63">
        <f>IF('Planilla_General_07-12-2012_8_3'!936:936,"AAAAAC8/rRc=",0)</f>
        <v>0</v>
      </c>
      <c r="Y63" t="e">
        <f>AND('Planilla_General_07-12-2012_8_3'!A936,"AAAAAC8/rRg=")</f>
        <v>#VALUE!</v>
      </c>
      <c r="Z63" t="e">
        <f>AND('Planilla_General_07-12-2012_8_3'!B936,"AAAAAC8/rRk=")</f>
        <v>#VALUE!</v>
      </c>
      <c r="AA63" t="e">
        <f>AND('Planilla_General_07-12-2012_8_3'!C936,"AAAAAC8/rRo=")</f>
        <v>#VALUE!</v>
      </c>
      <c r="AB63" t="e">
        <f>AND('Planilla_General_07-12-2012_8_3'!D936,"AAAAAC8/rRs=")</f>
        <v>#VALUE!</v>
      </c>
      <c r="AC63" t="e">
        <f>AND('Planilla_General_07-12-2012_8_3'!E936,"AAAAAC8/rRw=")</f>
        <v>#VALUE!</v>
      </c>
      <c r="AD63" t="e">
        <f>AND('Planilla_General_07-12-2012_8_3'!F936,"AAAAAC8/rR0=")</f>
        <v>#VALUE!</v>
      </c>
      <c r="AE63" t="e">
        <f>AND('Planilla_General_07-12-2012_8_3'!G936,"AAAAAC8/rR4=")</f>
        <v>#VALUE!</v>
      </c>
      <c r="AF63" t="e">
        <f>AND('Planilla_General_07-12-2012_8_3'!H936,"AAAAAC8/rR8=")</f>
        <v>#VALUE!</v>
      </c>
      <c r="AG63" t="e">
        <f>AND('Planilla_General_07-12-2012_8_3'!I936,"AAAAAC8/rSA=")</f>
        <v>#VALUE!</v>
      </c>
      <c r="AH63" t="e">
        <f>AND('Planilla_General_07-12-2012_8_3'!J936,"AAAAAC8/rSE=")</f>
        <v>#VALUE!</v>
      </c>
      <c r="AI63" t="e">
        <f>AND('Planilla_General_07-12-2012_8_3'!K936,"AAAAAC8/rSI=")</f>
        <v>#VALUE!</v>
      </c>
      <c r="AJ63" t="e">
        <f>AND('Planilla_General_07-12-2012_8_3'!L936,"AAAAAC8/rSM=")</f>
        <v>#VALUE!</v>
      </c>
      <c r="AK63" t="e">
        <f>AND('Planilla_General_07-12-2012_8_3'!M936,"AAAAAC8/rSQ=")</f>
        <v>#VALUE!</v>
      </c>
      <c r="AL63" t="e">
        <f>AND('Planilla_General_07-12-2012_8_3'!N936,"AAAAAC8/rSU=")</f>
        <v>#VALUE!</v>
      </c>
      <c r="AM63" t="e">
        <f>AND('Planilla_General_07-12-2012_8_3'!O936,"AAAAAC8/rSY=")</f>
        <v>#VALUE!</v>
      </c>
      <c r="AN63" t="e">
        <f>AND('Planilla_General_07-12-2012_8_3'!P936,"AAAAAC8/rSc=")</f>
        <v>#VALUE!</v>
      </c>
      <c r="AO63">
        <f>IF('Planilla_General_07-12-2012_8_3'!937:937,"AAAAAC8/rSg=",0)</f>
        <v>0</v>
      </c>
      <c r="AP63" t="e">
        <f>AND('Planilla_General_07-12-2012_8_3'!A937,"AAAAAC8/rSk=")</f>
        <v>#VALUE!</v>
      </c>
      <c r="AQ63" t="e">
        <f>AND('Planilla_General_07-12-2012_8_3'!B937,"AAAAAC8/rSo=")</f>
        <v>#VALUE!</v>
      </c>
      <c r="AR63" t="e">
        <f>AND('Planilla_General_07-12-2012_8_3'!C937,"AAAAAC8/rSs=")</f>
        <v>#VALUE!</v>
      </c>
      <c r="AS63" t="e">
        <f>AND('Planilla_General_07-12-2012_8_3'!D937,"AAAAAC8/rSw=")</f>
        <v>#VALUE!</v>
      </c>
      <c r="AT63" t="e">
        <f>AND('Planilla_General_07-12-2012_8_3'!E937,"AAAAAC8/rS0=")</f>
        <v>#VALUE!</v>
      </c>
      <c r="AU63" t="e">
        <f>AND('Planilla_General_07-12-2012_8_3'!F937,"AAAAAC8/rS4=")</f>
        <v>#VALUE!</v>
      </c>
      <c r="AV63" t="e">
        <f>AND('Planilla_General_07-12-2012_8_3'!G937,"AAAAAC8/rS8=")</f>
        <v>#VALUE!</v>
      </c>
      <c r="AW63" t="e">
        <f>AND('Planilla_General_07-12-2012_8_3'!H937,"AAAAAC8/rTA=")</f>
        <v>#VALUE!</v>
      </c>
      <c r="AX63" t="e">
        <f>AND('Planilla_General_07-12-2012_8_3'!I937,"AAAAAC8/rTE=")</f>
        <v>#VALUE!</v>
      </c>
      <c r="AY63" t="e">
        <f>AND('Planilla_General_07-12-2012_8_3'!J937,"AAAAAC8/rTI=")</f>
        <v>#VALUE!</v>
      </c>
      <c r="AZ63" t="e">
        <f>AND('Planilla_General_07-12-2012_8_3'!K937,"AAAAAC8/rTM=")</f>
        <v>#VALUE!</v>
      </c>
      <c r="BA63" t="e">
        <f>AND('Planilla_General_07-12-2012_8_3'!L937,"AAAAAC8/rTQ=")</f>
        <v>#VALUE!</v>
      </c>
      <c r="BB63" t="e">
        <f>AND('Planilla_General_07-12-2012_8_3'!M937,"AAAAAC8/rTU=")</f>
        <v>#VALUE!</v>
      </c>
      <c r="BC63" t="e">
        <f>AND('Planilla_General_07-12-2012_8_3'!N937,"AAAAAC8/rTY=")</f>
        <v>#VALUE!</v>
      </c>
      <c r="BD63" t="e">
        <f>AND('Planilla_General_07-12-2012_8_3'!O937,"AAAAAC8/rTc=")</f>
        <v>#VALUE!</v>
      </c>
      <c r="BE63" t="e">
        <f>AND('Planilla_General_07-12-2012_8_3'!P937,"AAAAAC8/rTg=")</f>
        <v>#VALUE!</v>
      </c>
      <c r="BF63">
        <f>IF('Planilla_General_07-12-2012_8_3'!938:938,"AAAAAC8/rTk=",0)</f>
        <v>0</v>
      </c>
      <c r="BG63" t="e">
        <f>AND('Planilla_General_07-12-2012_8_3'!A938,"AAAAAC8/rTo=")</f>
        <v>#VALUE!</v>
      </c>
      <c r="BH63" t="e">
        <f>AND('Planilla_General_07-12-2012_8_3'!B938,"AAAAAC8/rTs=")</f>
        <v>#VALUE!</v>
      </c>
      <c r="BI63" t="e">
        <f>AND('Planilla_General_07-12-2012_8_3'!C938,"AAAAAC8/rTw=")</f>
        <v>#VALUE!</v>
      </c>
      <c r="BJ63" t="e">
        <f>AND('Planilla_General_07-12-2012_8_3'!D938,"AAAAAC8/rT0=")</f>
        <v>#VALUE!</v>
      </c>
      <c r="BK63" t="e">
        <f>AND('Planilla_General_07-12-2012_8_3'!E938,"AAAAAC8/rT4=")</f>
        <v>#VALUE!</v>
      </c>
      <c r="BL63" t="e">
        <f>AND('Planilla_General_07-12-2012_8_3'!F938,"AAAAAC8/rT8=")</f>
        <v>#VALUE!</v>
      </c>
      <c r="BM63" t="e">
        <f>AND('Planilla_General_07-12-2012_8_3'!G938,"AAAAAC8/rUA=")</f>
        <v>#VALUE!</v>
      </c>
      <c r="BN63" t="e">
        <f>AND('Planilla_General_07-12-2012_8_3'!H938,"AAAAAC8/rUE=")</f>
        <v>#VALUE!</v>
      </c>
      <c r="BO63" t="e">
        <f>AND('Planilla_General_07-12-2012_8_3'!I938,"AAAAAC8/rUI=")</f>
        <v>#VALUE!</v>
      </c>
      <c r="BP63" t="e">
        <f>AND('Planilla_General_07-12-2012_8_3'!J938,"AAAAAC8/rUM=")</f>
        <v>#VALUE!</v>
      </c>
      <c r="BQ63" t="e">
        <f>AND('Planilla_General_07-12-2012_8_3'!K938,"AAAAAC8/rUQ=")</f>
        <v>#VALUE!</v>
      </c>
      <c r="BR63" t="e">
        <f>AND('Planilla_General_07-12-2012_8_3'!L938,"AAAAAC8/rUU=")</f>
        <v>#VALUE!</v>
      </c>
      <c r="BS63" t="e">
        <f>AND('Planilla_General_07-12-2012_8_3'!M938,"AAAAAC8/rUY=")</f>
        <v>#VALUE!</v>
      </c>
      <c r="BT63" t="e">
        <f>AND('Planilla_General_07-12-2012_8_3'!N938,"AAAAAC8/rUc=")</f>
        <v>#VALUE!</v>
      </c>
      <c r="BU63" t="e">
        <f>AND('Planilla_General_07-12-2012_8_3'!O938,"AAAAAC8/rUg=")</f>
        <v>#VALUE!</v>
      </c>
      <c r="BV63" t="e">
        <f>AND('Planilla_General_07-12-2012_8_3'!P938,"AAAAAC8/rUk=")</f>
        <v>#VALUE!</v>
      </c>
      <c r="BW63">
        <f>IF('Planilla_General_07-12-2012_8_3'!939:939,"AAAAAC8/rUo=",0)</f>
        <v>0</v>
      </c>
      <c r="BX63" t="e">
        <f>AND('Planilla_General_07-12-2012_8_3'!A939,"AAAAAC8/rUs=")</f>
        <v>#VALUE!</v>
      </c>
      <c r="BY63" t="e">
        <f>AND('Planilla_General_07-12-2012_8_3'!B939,"AAAAAC8/rUw=")</f>
        <v>#VALUE!</v>
      </c>
      <c r="BZ63" t="e">
        <f>AND('Planilla_General_07-12-2012_8_3'!C939,"AAAAAC8/rU0=")</f>
        <v>#VALUE!</v>
      </c>
      <c r="CA63" t="e">
        <f>AND('Planilla_General_07-12-2012_8_3'!D939,"AAAAAC8/rU4=")</f>
        <v>#VALUE!</v>
      </c>
      <c r="CB63" t="e">
        <f>AND('Planilla_General_07-12-2012_8_3'!E939,"AAAAAC8/rU8=")</f>
        <v>#VALUE!</v>
      </c>
      <c r="CC63" t="e">
        <f>AND('Planilla_General_07-12-2012_8_3'!F939,"AAAAAC8/rVA=")</f>
        <v>#VALUE!</v>
      </c>
      <c r="CD63" t="e">
        <f>AND('Planilla_General_07-12-2012_8_3'!G939,"AAAAAC8/rVE=")</f>
        <v>#VALUE!</v>
      </c>
      <c r="CE63" t="e">
        <f>AND('Planilla_General_07-12-2012_8_3'!H939,"AAAAAC8/rVI=")</f>
        <v>#VALUE!</v>
      </c>
      <c r="CF63" t="e">
        <f>AND('Planilla_General_07-12-2012_8_3'!I939,"AAAAAC8/rVM=")</f>
        <v>#VALUE!</v>
      </c>
      <c r="CG63" t="e">
        <f>AND('Planilla_General_07-12-2012_8_3'!J939,"AAAAAC8/rVQ=")</f>
        <v>#VALUE!</v>
      </c>
      <c r="CH63" t="e">
        <f>AND('Planilla_General_07-12-2012_8_3'!K939,"AAAAAC8/rVU=")</f>
        <v>#VALUE!</v>
      </c>
      <c r="CI63" t="e">
        <f>AND('Planilla_General_07-12-2012_8_3'!L939,"AAAAAC8/rVY=")</f>
        <v>#VALUE!</v>
      </c>
      <c r="CJ63" t="e">
        <f>AND('Planilla_General_07-12-2012_8_3'!M939,"AAAAAC8/rVc=")</f>
        <v>#VALUE!</v>
      </c>
      <c r="CK63" t="e">
        <f>AND('Planilla_General_07-12-2012_8_3'!N939,"AAAAAC8/rVg=")</f>
        <v>#VALUE!</v>
      </c>
      <c r="CL63" t="e">
        <f>AND('Planilla_General_07-12-2012_8_3'!O939,"AAAAAC8/rVk=")</f>
        <v>#VALUE!</v>
      </c>
      <c r="CM63" t="e">
        <f>AND('Planilla_General_07-12-2012_8_3'!P939,"AAAAAC8/rVo=")</f>
        <v>#VALUE!</v>
      </c>
      <c r="CN63">
        <f>IF('Planilla_General_07-12-2012_8_3'!940:940,"AAAAAC8/rVs=",0)</f>
        <v>0</v>
      </c>
      <c r="CO63" t="e">
        <f>AND('Planilla_General_07-12-2012_8_3'!A940,"AAAAAC8/rVw=")</f>
        <v>#VALUE!</v>
      </c>
      <c r="CP63" t="e">
        <f>AND('Planilla_General_07-12-2012_8_3'!B940,"AAAAAC8/rV0=")</f>
        <v>#VALUE!</v>
      </c>
      <c r="CQ63" t="e">
        <f>AND('Planilla_General_07-12-2012_8_3'!C940,"AAAAAC8/rV4=")</f>
        <v>#VALUE!</v>
      </c>
      <c r="CR63" t="e">
        <f>AND('Planilla_General_07-12-2012_8_3'!D940,"AAAAAC8/rV8=")</f>
        <v>#VALUE!</v>
      </c>
      <c r="CS63" t="e">
        <f>AND('Planilla_General_07-12-2012_8_3'!E940,"AAAAAC8/rWA=")</f>
        <v>#VALUE!</v>
      </c>
      <c r="CT63" t="e">
        <f>AND('Planilla_General_07-12-2012_8_3'!F940,"AAAAAC8/rWE=")</f>
        <v>#VALUE!</v>
      </c>
      <c r="CU63" t="e">
        <f>AND('Planilla_General_07-12-2012_8_3'!G940,"AAAAAC8/rWI=")</f>
        <v>#VALUE!</v>
      </c>
      <c r="CV63" t="e">
        <f>AND('Planilla_General_07-12-2012_8_3'!H940,"AAAAAC8/rWM=")</f>
        <v>#VALUE!</v>
      </c>
      <c r="CW63" t="e">
        <f>AND('Planilla_General_07-12-2012_8_3'!I940,"AAAAAC8/rWQ=")</f>
        <v>#VALUE!</v>
      </c>
      <c r="CX63" t="e">
        <f>AND('Planilla_General_07-12-2012_8_3'!J940,"AAAAAC8/rWU=")</f>
        <v>#VALUE!</v>
      </c>
      <c r="CY63" t="e">
        <f>AND('Planilla_General_07-12-2012_8_3'!K940,"AAAAAC8/rWY=")</f>
        <v>#VALUE!</v>
      </c>
      <c r="CZ63" t="e">
        <f>AND('Planilla_General_07-12-2012_8_3'!L940,"AAAAAC8/rWc=")</f>
        <v>#VALUE!</v>
      </c>
      <c r="DA63" t="e">
        <f>AND('Planilla_General_07-12-2012_8_3'!M940,"AAAAAC8/rWg=")</f>
        <v>#VALUE!</v>
      </c>
      <c r="DB63" t="e">
        <f>AND('Planilla_General_07-12-2012_8_3'!N940,"AAAAAC8/rWk=")</f>
        <v>#VALUE!</v>
      </c>
      <c r="DC63" t="e">
        <f>AND('Planilla_General_07-12-2012_8_3'!O940,"AAAAAC8/rWo=")</f>
        <v>#VALUE!</v>
      </c>
      <c r="DD63" t="e">
        <f>AND('Planilla_General_07-12-2012_8_3'!P940,"AAAAAC8/rWs=")</f>
        <v>#VALUE!</v>
      </c>
      <c r="DE63">
        <f>IF('Planilla_General_07-12-2012_8_3'!941:941,"AAAAAC8/rWw=",0)</f>
        <v>0</v>
      </c>
      <c r="DF63" t="e">
        <f>AND('Planilla_General_07-12-2012_8_3'!A941,"AAAAAC8/rW0=")</f>
        <v>#VALUE!</v>
      </c>
      <c r="DG63" t="e">
        <f>AND('Planilla_General_07-12-2012_8_3'!B941,"AAAAAC8/rW4=")</f>
        <v>#VALUE!</v>
      </c>
      <c r="DH63" t="e">
        <f>AND('Planilla_General_07-12-2012_8_3'!C941,"AAAAAC8/rW8=")</f>
        <v>#VALUE!</v>
      </c>
      <c r="DI63" t="e">
        <f>AND('Planilla_General_07-12-2012_8_3'!D941,"AAAAAC8/rXA=")</f>
        <v>#VALUE!</v>
      </c>
      <c r="DJ63" t="e">
        <f>AND('Planilla_General_07-12-2012_8_3'!E941,"AAAAAC8/rXE=")</f>
        <v>#VALUE!</v>
      </c>
      <c r="DK63" t="e">
        <f>AND('Planilla_General_07-12-2012_8_3'!F941,"AAAAAC8/rXI=")</f>
        <v>#VALUE!</v>
      </c>
      <c r="DL63" t="e">
        <f>AND('Planilla_General_07-12-2012_8_3'!G941,"AAAAAC8/rXM=")</f>
        <v>#VALUE!</v>
      </c>
      <c r="DM63" t="e">
        <f>AND('Planilla_General_07-12-2012_8_3'!H941,"AAAAAC8/rXQ=")</f>
        <v>#VALUE!</v>
      </c>
      <c r="DN63" t="e">
        <f>AND('Planilla_General_07-12-2012_8_3'!I941,"AAAAAC8/rXU=")</f>
        <v>#VALUE!</v>
      </c>
      <c r="DO63" t="e">
        <f>AND('Planilla_General_07-12-2012_8_3'!J941,"AAAAAC8/rXY=")</f>
        <v>#VALUE!</v>
      </c>
      <c r="DP63" t="e">
        <f>AND('Planilla_General_07-12-2012_8_3'!K941,"AAAAAC8/rXc=")</f>
        <v>#VALUE!</v>
      </c>
      <c r="DQ63" t="e">
        <f>AND('Planilla_General_07-12-2012_8_3'!L941,"AAAAAC8/rXg=")</f>
        <v>#VALUE!</v>
      </c>
      <c r="DR63" t="e">
        <f>AND('Planilla_General_07-12-2012_8_3'!M941,"AAAAAC8/rXk=")</f>
        <v>#VALUE!</v>
      </c>
      <c r="DS63" t="e">
        <f>AND('Planilla_General_07-12-2012_8_3'!N941,"AAAAAC8/rXo=")</f>
        <v>#VALUE!</v>
      </c>
      <c r="DT63" t="e">
        <f>AND('Planilla_General_07-12-2012_8_3'!O941,"AAAAAC8/rXs=")</f>
        <v>#VALUE!</v>
      </c>
      <c r="DU63" t="e">
        <f>AND('Planilla_General_07-12-2012_8_3'!P941,"AAAAAC8/rXw=")</f>
        <v>#VALUE!</v>
      </c>
      <c r="DV63">
        <f>IF('Planilla_General_07-12-2012_8_3'!942:942,"AAAAAC8/rX0=",0)</f>
        <v>0</v>
      </c>
      <c r="DW63" t="e">
        <f>AND('Planilla_General_07-12-2012_8_3'!A942,"AAAAAC8/rX4=")</f>
        <v>#VALUE!</v>
      </c>
      <c r="DX63" t="e">
        <f>AND('Planilla_General_07-12-2012_8_3'!B942,"AAAAAC8/rX8=")</f>
        <v>#VALUE!</v>
      </c>
      <c r="DY63" t="e">
        <f>AND('Planilla_General_07-12-2012_8_3'!C942,"AAAAAC8/rYA=")</f>
        <v>#VALUE!</v>
      </c>
      <c r="DZ63" t="e">
        <f>AND('Planilla_General_07-12-2012_8_3'!D942,"AAAAAC8/rYE=")</f>
        <v>#VALUE!</v>
      </c>
      <c r="EA63" t="e">
        <f>AND('Planilla_General_07-12-2012_8_3'!E942,"AAAAAC8/rYI=")</f>
        <v>#VALUE!</v>
      </c>
      <c r="EB63" t="e">
        <f>AND('Planilla_General_07-12-2012_8_3'!F942,"AAAAAC8/rYM=")</f>
        <v>#VALUE!</v>
      </c>
      <c r="EC63" t="e">
        <f>AND('Planilla_General_07-12-2012_8_3'!G942,"AAAAAC8/rYQ=")</f>
        <v>#VALUE!</v>
      </c>
      <c r="ED63" t="e">
        <f>AND('Planilla_General_07-12-2012_8_3'!H942,"AAAAAC8/rYU=")</f>
        <v>#VALUE!</v>
      </c>
      <c r="EE63" t="e">
        <f>AND('Planilla_General_07-12-2012_8_3'!I942,"AAAAAC8/rYY=")</f>
        <v>#VALUE!</v>
      </c>
      <c r="EF63" t="e">
        <f>AND('Planilla_General_07-12-2012_8_3'!J942,"AAAAAC8/rYc=")</f>
        <v>#VALUE!</v>
      </c>
      <c r="EG63" t="e">
        <f>AND('Planilla_General_07-12-2012_8_3'!K942,"AAAAAC8/rYg=")</f>
        <v>#VALUE!</v>
      </c>
      <c r="EH63" t="e">
        <f>AND('Planilla_General_07-12-2012_8_3'!L942,"AAAAAC8/rYk=")</f>
        <v>#VALUE!</v>
      </c>
      <c r="EI63" t="e">
        <f>AND('Planilla_General_07-12-2012_8_3'!M942,"AAAAAC8/rYo=")</f>
        <v>#VALUE!</v>
      </c>
      <c r="EJ63" t="e">
        <f>AND('Planilla_General_07-12-2012_8_3'!N942,"AAAAAC8/rYs=")</f>
        <v>#VALUE!</v>
      </c>
      <c r="EK63" t="e">
        <f>AND('Planilla_General_07-12-2012_8_3'!O942,"AAAAAC8/rYw=")</f>
        <v>#VALUE!</v>
      </c>
      <c r="EL63" t="e">
        <f>AND('Planilla_General_07-12-2012_8_3'!P942,"AAAAAC8/rY0=")</f>
        <v>#VALUE!</v>
      </c>
      <c r="EM63">
        <f>IF('Planilla_General_07-12-2012_8_3'!943:943,"AAAAAC8/rY4=",0)</f>
        <v>0</v>
      </c>
      <c r="EN63" t="e">
        <f>AND('Planilla_General_07-12-2012_8_3'!A943,"AAAAAC8/rY8=")</f>
        <v>#VALUE!</v>
      </c>
      <c r="EO63" t="e">
        <f>AND('Planilla_General_07-12-2012_8_3'!B943,"AAAAAC8/rZA=")</f>
        <v>#VALUE!</v>
      </c>
      <c r="EP63" t="e">
        <f>AND('Planilla_General_07-12-2012_8_3'!C943,"AAAAAC8/rZE=")</f>
        <v>#VALUE!</v>
      </c>
      <c r="EQ63" t="e">
        <f>AND('Planilla_General_07-12-2012_8_3'!D943,"AAAAAC8/rZI=")</f>
        <v>#VALUE!</v>
      </c>
      <c r="ER63" t="e">
        <f>AND('Planilla_General_07-12-2012_8_3'!E943,"AAAAAC8/rZM=")</f>
        <v>#VALUE!</v>
      </c>
      <c r="ES63" t="e">
        <f>AND('Planilla_General_07-12-2012_8_3'!F943,"AAAAAC8/rZQ=")</f>
        <v>#VALUE!</v>
      </c>
      <c r="ET63" t="e">
        <f>AND('Planilla_General_07-12-2012_8_3'!G943,"AAAAAC8/rZU=")</f>
        <v>#VALUE!</v>
      </c>
      <c r="EU63" t="e">
        <f>AND('Planilla_General_07-12-2012_8_3'!H943,"AAAAAC8/rZY=")</f>
        <v>#VALUE!</v>
      </c>
      <c r="EV63" t="e">
        <f>AND('Planilla_General_07-12-2012_8_3'!I943,"AAAAAC8/rZc=")</f>
        <v>#VALUE!</v>
      </c>
      <c r="EW63" t="e">
        <f>AND('Planilla_General_07-12-2012_8_3'!J943,"AAAAAC8/rZg=")</f>
        <v>#VALUE!</v>
      </c>
      <c r="EX63" t="e">
        <f>AND('Planilla_General_07-12-2012_8_3'!K943,"AAAAAC8/rZk=")</f>
        <v>#VALUE!</v>
      </c>
      <c r="EY63" t="e">
        <f>AND('Planilla_General_07-12-2012_8_3'!L943,"AAAAAC8/rZo=")</f>
        <v>#VALUE!</v>
      </c>
      <c r="EZ63" t="e">
        <f>AND('Planilla_General_07-12-2012_8_3'!M943,"AAAAAC8/rZs=")</f>
        <v>#VALUE!</v>
      </c>
      <c r="FA63" t="e">
        <f>AND('Planilla_General_07-12-2012_8_3'!N943,"AAAAAC8/rZw=")</f>
        <v>#VALUE!</v>
      </c>
      <c r="FB63" t="e">
        <f>AND('Planilla_General_07-12-2012_8_3'!O943,"AAAAAC8/rZ0=")</f>
        <v>#VALUE!</v>
      </c>
      <c r="FC63" t="e">
        <f>AND('Planilla_General_07-12-2012_8_3'!P943,"AAAAAC8/rZ4=")</f>
        <v>#VALUE!</v>
      </c>
      <c r="FD63">
        <f>IF('Planilla_General_07-12-2012_8_3'!944:944,"AAAAAC8/rZ8=",0)</f>
        <v>0</v>
      </c>
      <c r="FE63" t="e">
        <f>AND('Planilla_General_07-12-2012_8_3'!A944,"AAAAAC8/raA=")</f>
        <v>#VALUE!</v>
      </c>
      <c r="FF63" t="e">
        <f>AND('Planilla_General_07-12-2012_8_3'!B944,"AAAAAC8/raE=")</f>
        <v>#VALUE!</v>
      </c>
      <c r="FG63" t="e">
        <f>AND('Planilla_General_07-12-2012_8_3'!C944,"AAAAAC8/raI=")</f>
        <v>#VALUE!</v>
      </c>
      <c r="FH63" t="e">
        <f>AND('Planilla_General_07-12-2012_8_3'!D944,"AAAAAC8/raM=")</f>
        <v>#VALUE!</v>
      </c>
      <c r="FI63" t="e">
        <f>AND('Planilla_General_07-12-2012_8_3'!E944,"AAAAAC8/raQ=")</f>
        <v>#VALUE!</v>
      </c>
      <c r="FJ63" t="e">
        <f>AND('Planilla_General_07-12-2012_8_3'!F944,"AAAAAC8/raU=")</f>
        <v>#VALUE!</v>
      </c>
      <c r="FK63" t="e">
        <f>AND('Planilla_General_07-12-2012_8_3'!G944,"AAAAAC8/raY=")</f>
        <v>#VALUE!</v>
      </c>
      <c r="FL63" t="e">
        <f>AND('Planilla_General_07-12-2012_8_3'!H944,"AAAAAC8/rac=")</f>
        <v>#VALUE!</v>
      </c>
      <c r="FM63" t="e">
        <f>AND('Planilla_General_07-12-2012_8_3'!I944,"AAAAAC8/rag=")</f>
        <v>#VALUE!</v>
      </c>
      <c r="FN63" t="e">
        <f>AND('Planilla_General_07-12-2012_8_3'!J944,"AAAAAC8/rak=")</f>
        <v>#VALUE!</v>
      </c>
      <c r="FO63" t="e">
        <f>AND('Planilla_General_07-12-2012_8_3'!K944,"AAAAAC8/rao=")</f>
        <v>#VALUE!</v>
      </c>
      <c r="FP63" t="e">
        <f>AND('Planilla_General_07-12-2012_8_3'!L944,"AAAAAC8/ras=")</f>
        <v>#VALUE!</v>
      </c>
      <c r="FQ63" t="e">
        <f>AND('Planilla_General_07-12-2012_8_3'!M944,"AAAAAC8/raw=")</f>
        <v>#VALUE!</v>
      </c>
      <c r="FR63" t="e">
        <f>AND('Planilla_General_07-12-2012_8_3'!N944,"AAAAAC8/ra0=")</f>
        <v>#VALUE!</v>
      </c>
      <c r="FS63" t="e">
        <f>AND('Planilla_General_07-12-2012_8_3'!O944,"AAAAAC8/ra4=")</f>
        <v>#VALUE!</v>
      </c>
      <c r="FT63" t="e">
        <f>AND('Planilla_General_07-12-2012_8_3'!P944,"AAAAAC8/ra8=")</f>
        <v>#VALUE!</v>
      </c>
      <c r="FU63">
        <f>IF('Planilla_General_07-12-2012_8_3'!945:945,"AAAAAC8/rbA=",0)</f>
        <v>0</v>
      </c>
      <c r="FV63" t="e">
        <f>AND('Planilla_General_07-12-2012_8_3'!A945,"AAAAAC8/rbE=")</f>
        <v>#VALUE!</v>
      </c>
      <c r="FW63" t="e">
        <f>AND('Planilla_General_07-12-2012_8_3'!B945,"AAAAAC8/rbI=")</f>
        <v>#VALUE!</v>
      </c>
      <c r="FX63" t="e">
        <f>AND('Planilla_General_07-12-2012_8_3'!C945,"AAAAAC8/rbM=")</f>
        <v>#VALUE!</v>
      </c>
      <c r="FY63" t="e">
        <f>AND('Planilla_General_07-12-2012_8_3'!D945,"AAAAAC8/rbQ=")</f>
        <v>#VALUE!</v>
      </c>
      <c r="FZ63" t="e">
        <f>AND('Planilla_General_07-12-2012_8_3'!E945,"AAAAAC8/rbU=")</f>
        <v>#VALUE!</v>
      </c>
      <c r="GA63" t="e">
        <f>AND('Planilla_General_07-12-2012_8_3'!F945,"AAAAAC8/rbY=")</f>
        <v>#VALUE!</v>
      </c>
      <c r="GB63" t="e">
        <f>AND('Planilla_General_07-12-2012_8_3'!G945,"AAAAAC8/rbc=")</f>
        <v>#VALUE!</v>
      </c>
      <c r="GC63" t="e">
        <f>AND('Planilla_General_07-12-2012_8_3'!H945,"AAAAAC8/rbg=")</f>
        <v>#VALUE!</v>
      </c>
      <c r="GD63" t="e">
        <f>AND('Planilla_General_07-12-2012_8_3'!I945,"AAAAAC8/rbk=")</f>
        <v>#VALUE!</v>
      </c>
      <c r="GE63" t="e">
        <f>AND('Planilla_General_07-12-2012_8_3'!J945,"AAAAAC8/rbo=")</f>
        <v>#VALUE!</v>
      </c>
      <c r="GF63" t="e">
        <f>AND('Planilla_General_07-12-2012_8_3'!K945,"AAAAAC8/rbs=")</f>
        <v>#VALUE!</v>
      </c>
      <c r="GG63" t="e">
        <f>AND('Planilla_General_07-12-2012_8_3'!L945,"AAAAAC8/rbw=")</f>
        <v>#VALUE!</v>
      </c>
      <c r="GH63" t="e">
        <f>AND('Planilla_General_07-12-2012_8_3'!M945,"AAAAAC8/rb0=")</f>
        <v>#VALUE!</v>
      </c>
      <c r="GI63" t="e">
        <f>AND('Planilla_General_07-12-2012_8_3'!N945,"AAAAAC8/rb4=")</f>
        <v>#VALUE!</v>
      </c>
      <c r="GJ63" t="e">
        <f>AND('Planilla_General_07-12-2012_8_3'!O945,"AAAAAC8/rb8=")</f>
        <v>#VALUE!</v>
      </c>
      <c r="GK63" t="e">
        <f>AND('Planilla_General_07-12-2012_8_3'!P945,"AAAAAC8/rcA=")</f>
        <v>#VALUE!</v>
      </c>
      <c r="GL63">
        <f>IF('Planilla_General_07-12-2012_8_3'!946:946,"AAAAAC8/rcE=",0)</f>
        <v>0</v>
      </c>
      <c r="GM63" t="e">
        <f>AND('Planilla_General_07-12-2012_8_3'!A946,"AAAAAC8/rcI=")</f>
        <v>#VALUE!</v>
      </c>
      <c r="GN63" t="e">
        <f>AND('Planilla_General_07-12-2012_8_3'!B946,"AAAAAC8/rcM=")</f>
        <v>#VALUE!</v>
      </c>
      <c r="GO63" t="e">
        <f>AND('Planilla_General_07-12-2012_8_3'!C946,"AAAAAC8/rcQ=")</f>
        <v>#VALUE!</v>
      </c>
      <c r="GP63" t="e">
        <f>AND('Planilla_General_07-12-2012_8_3'!D946,"AAAAAC8/rcU=")</f>
        <v>#VALUE!</v>
      </c>
      <c r="GQ63" t="e">
        <f>AND('Planilla_General_07-12-2012_8_3'!E946,"AAAAAC8/rcY=")</f>
        <v>#VALUE!</v>
      </c>
      <c r="GR63" t="e">
        <f>AND('Planilla_General_07-12-2012_8_3'!F946,"AAAAAC8/rcc=")</f>
        <v>#VALUE!</v>
      </c>
      <c r="GS63" t="e">
        <f>AND('Planilla_General_07-12-2012_8_3'!G946,"AAAAAC8/rcg=")</f>
        <v>#VALUE!</v>
      </c>
      <c r="GT63" t="e">
        <f>AND('Planilla_General_07-12-2012_8_3'!H946,"AAAAAC8/rck=")</f>
        <v>#VALUE!</v>
      </c>
      <c r="GU63" t="e">
        <f>AND('Planilla_General_07-12-2012_8_3'!I946,"AAAAAC8/rco=")</f>
        <v>#VALUE!</v>
      </c>
      <c r="GV63" t="e">
        <f>AND('Planilla_General_07-12-2012_8_3'!J946,"AAAAAC8/rcs=")</f>
        <v>#VALUE!</v>
      </c>
      <c r="GW63" t="e">
        <f>AND('Planilla_General_07-12-2012_8_3'!K946,"AAAAAC8/rcw=")</f>
        <v>#VALUE!</v>
      </c>
      <c r="GX63" t="e">
        <f>AND('Planilla_General_07-12-2012_8_3'!L946,"AAAAAC8/rc0=")</f>
        <v>#VALUE!</v>
      </c>
      <c r="GY63" t="e">
        <f>AND('Planilla_General_07-12-2012_8_3'!M946,"AAAAAC8/rc4=")</f>
        <v>#VALUE!</v>
      </c>
      <c r="GZ63" t="e">
        <f>AND('Planilla_General_07-12-2012_8_3'!N946,"AAAAAC8/rc8=")</f>
        <v>#VALUE!</v>
      </c>
      <c r="HA63" t="e">
        <f>AND('Planilla_General_07-12-2012_8_3'!O946,"AAAAAC8/rdA=")</f>
        <v>#VALUE!</v>
      </c>
      <c r="HB63" t="e">
        <f>AND('Planilla_General_07-12-2012_8_3'!P946,"AAAAAC8/rdE=")</f>
        <v>#VALUE!</v>
      </c>
      <c r="HC63">
        <f>IF('Planilla_General_07-12-2012_8_3'!947:947,"AAAAAC8/rdI=",0)</f>
        <v>0</v>
      </c>
      <c r="HD63" t="e">
        <f>AND('Planilla_General_07-12-2012_8_3'!A947,"AAAAAC8/rdM=")</f>
        <v>#VALUE!</v>
      </c>
      <c r="HE63" t="e">
        <f>AND('Planilla_General_07-12-2012_8_3'!B947,"AAAAAC8/rdQ=")</f>
        <v>#VALUE!</v>
      </c>
      <c r="HF63" t="e">
        <f>AND('Planilla_General_07-12-2012_8_3'!C947,"AAAAAC8/rdU=")</f>
        <v>#VALUE!</v>
      </c>
      <c r="HG63" t="e">
        <f>AND('Planilla_General_07-12-2012_8_3'!D947,"AAAAAC8/rdY=")</f>
        <v>#VALUE!</v>
      </c>
      <c r="HH63" t="e">
        <f>AND('Planilla_General_07-12-2012_8_3'!E947,"AAAAAC8/rdc=")</f>
        <v>#VALUE!</v>
      </c>
      <c r="HI63" t="e">
        <f>AND('Planilla_General_07-12-2012_8_3'!F947,"AAAAAC8/rdg=")</f>
        <v>#VALUE!</v>
      </c>
      <c r="HJ63" t="e">
        <f>AND('Planilla_General_07-12-2012_8_3'!G947,"AAAAAC8/rdk=")</f>
        <v>#VALUE!</v>
      </c>
      <c r="HK63" t="e">
        <f>AND('Planilla_General_07-12-2012_8_3'!H947,"AAAAAC8/rdo=")</f>
        <v>#VALUE!</v>
      </c>
      <c r="HL63" t="e">
        <f>AND('Planilla_General_07-12-2012_8_3'!I947,"AAAAAC8/rds=")</f>
        <v>#VALUE!</v>
      </c>
      <c r="HM63" t="e">
        <f>AND('Planilla_General_07-12-2012_8_3'!J947,"AAAAAC8/rdw=")</f>
        <v>#VALUE!</v>
      </c>
      <c r="HN63" t="e">
        <f>AND('Planilla_General_07-12-2012_8_3'!K947,"AAAAAC8/rd0=")</f>
        <v>#VALUE!</v>
      </c>
      <c r="HO63" t="e">
        <f>AND('Planilla_General_07-12-2012_8_3'!L947,"AAAAAC8/rd4=")</f>
        <v>#VALUE!</v>
      </c>
      <c r="HP63" t="e">
        <f>AND('Planilla_General_07-12-2012_8_3'!M947,"AAAAAC8/rd8=")</f>
        <v>#VALUE!</v>
      </c>
      <c r="HQ63" t="e">
        <f>AND('Planilla_General_07-12-2012_8_3'!N947,"AAAAAC8/reA=")</f>
        <v>#VALUE!</v>
      </c>
      <c r="HR63" t="e">
        <f>AND('Planilla_General_07-12-2012_8_3'!O947,"AAAAAC8/reE=")</f>
        <v>#VALUE!</v>
      </c>
      <c r="HS63" t="e">
        <f>AND('Planilla_General_07-12-2012_8_3'!P947,"AAAAAC8/reI=")</f>
        <v>#VALUE!</v>
      </c>
      <c r="HT63">
        <f>IF('Planilla_General_07-12-2012_8_3'!948:948,"AAAAAC8/reM=",0)</f>
        <v>0</v>
      </c>
      <c r="HU63" t="e">
        <f>AND('Planilla_General_07-12-2012_8_3'!A948,"AAAAAC8/reQ=")</f>
        <v>#VALUE!</v>
      </c>
      <c r="HV63" t="e">
        <f>AND('Planilla_General_07-12-2012_8_3'!B948,"AAAAAC8/reU=")</f>
        <v>#VALUE!</v>
      </c>
      <c r="HW63" t="e">
        <f>AND('Planilla_General_07-12-2012_8_3'!C948,"AAAAAC8/reY=")</f>
        <v>#VALUE!</v>
      </c>
      <c r="HX63" t="e">
        <f>AND('Planilla_General_07-12-2012_8_3'!D948,"AAAAAC8/rec=")</f>
        <v>#VALUE!</v>
      </c>
      <c r="HY63" t="e">
        <f>AND('Planilla_General_07-12-2012_8_3'!E948,"AAAAAC8/reg=")</f>
        <v>#VALUE!</v>
      </c>
      <c r="HZ63" t="e">
        <f>AND('Planilla_General_07-12-2012_8_3'!F948,"AAAAAC8/rek=")</f>
        <v>#VALUE!</v>
      </c>
      <c r="IA63" t="e">
        <f>AND('Planilla_General_07-12-2012_8_3'!G948,"AAAAAC8/reo=")</f>
        <v>#VALUE!</v>
      </c>
      <c r="IB63" t="e">
        <f>AND('Planilla_General_07-12-2012_8_3'!H948,"AAAAAC8/res=")</f>
        <v>#VALUE!</v>
      </c>
      <c r="IC63" t="e">
        <f>AND('Planilla_General_07-12-2012_8_3'!I948,"AAAAAC8/rew=")</f>
        <v>#VALUE!</v>
      </c>
      <c r="ID63" t="e">
        <f>AND('Planilla_General_07-12-2012_8_3'!J948,"AAAAAC8/re0=")</f>
        <v>#VALUE!</v>
      </c>
      <c r="IE63" t="e">
        <f>AND('Planilla_General_07-12-2012_8_3'!K948,"AAAAAC8/re4=")</f>
        <v>#VALUE!</v>
      </c>
      <c r="IF63" t="e">
        <f>AND('Planilla_General_07-12-2012_8_3'!L948,"AAAAAC8/re8=")</f>
        <v>#VALUE!</v>
      </c>
      <c r="IG63" t="e">
        <f>AND('Planilla_General_07-12-2012_8_3'!M948,"AAAAAC8/rfA=")</f>
        <v>#VALUE!</v>
      </c>
      <c r="IH63" t="e">
        <f>AND('Planilla_General_07-12-2012_8_3'!N948,"AAAAAC8/rfE=")</f>
        <v>#VALUE!</v>
      </c>
      <c r="II63" t="e">
        <f>AND('Planilla_General_07-12-2012_8_3'!O948,"AAAAAC8/rfI=")</f>
        <v>#VALUE!</v>
      </c>
      <c r="IJ63" t="e">
        <f>AND('Planilla_General_07-12-2012_8_3'!P948,"AAAAAC8/rfM=")</f>
        <v>#VALUE!</v>
      </c>
      <c r="IK63">
        <f>IF('Planilla_General_07-12-2012_8_3'!949:949,"AAAAAC8/rfQ=",0)</f>
        <v>0</v>
      </c>
      <c r="IL63" t="e">
        <f>AND('Planilla_General_07-12-2012_8_3'!A949,"AAAAAC8/rfU=")</f>
        <v>#VALUE!</v>
      </c>
      <c r="IM63" t="e">
        <f>AND('Planilla_General_07-12-2012_8_3'!B949,"AAAAAC8/rfY=")</f>
        <v>#VALUE!</v>
      </c>
      <c r="IN63" t="e">
        <f>AND('Planilla_General_07-12-2012_8_3'!C949,"AAAAAC8/rfc=")</f>
        <v>#VALUE!</v>
      </c>
      <c r="IO63" t="e">
        <f>AND('Planilla_General_07-12-2012_8_3'!D949,"AAAAAC8/rfg=")</f>
        <v>#VALUE!</v>
      </c>
      <c r="IP63" t="e">
        <f>AND('Planilla_General_07-12-2012_8_3'!E949,"AAAAAC8/rfk=")</f>
        <v>#VALUE!</v>
      </c>
      <c r="IQ63" t="e">
        <f>AND('Planilla_General_07-12-2012_8_3'!F949,"AAAAAC8/rfo=")</f>
        <v>#VALUE!</v>
      </c>
      <c r="IR63" t="e">
        <f>AND('Planilla_General_07-12-2012_8_3'!G949,"AAAAAC8/rfs=")</f>
        <v>#VALUE!</v>
      </c>
      <c r="IS63" t="e">
        <f>AND('Planilla_General_07-12-2012_8_3'!H949,"AAAAAC8/rfw=")</f>
        <v>#VALUE!</v>
      </c>
      <c r="IT63" t="e">
        <f>AND('Planilla_General_07-12-2012_8_3'!I949,"AAAAAC8/rf0=")</f>
        <v>#VALUE!</v>
      </c>
      <c r="IU63" t="e">
        <f>AND('Planilla_General_07-12-2012_8_3'!J949,"AAAAAC8/rf4=")</f>
        <v>#VALUE!</v>
      </c>
      <c r="IV63" t="e">
        <f>AND('Planilla_General_07-12-2012_8_3'!K949,"AAAAAC8/rf8=")</f>
        <v>#VALUE!</v>
      </c>
    </row>
    <row r="64" spans="1:256" x14ac:dyDescent="0.25">
      <c r="A64" t="e">
        <f>AND('Planilla_General_07-12-2012_8_3'!L949,"AAAAAH1vaQA=")</f>
        <v>#VALUE!</v>
      </c>
      <c r="B64" t="e">
        <f>AND('Planilla_General_07-12-2012_8_3'!M949,"AAAAAH1vaQE=")</f>
        <v>#VALUE!</v>
      </c>
      <c r="C64" t="e">
        <f>AND('Planilla_General_07-12-2012_8_3'!N949,"AAAAAH1vaQI=")</f>
        <v>#VALUE!</v>
      </c>
      <c r="D64" t="e">
        <f>AND('Planilla_General_07-12-2012_8_3'!O949,"AAAAAH1vaQM=")</f>
        <v>#VALUE!</v>
      </c>
      <c r="E64" t="e">
        <f>AND('Planilla_General_07-12-2012_8_3'!P949,"AAAAAH1vaQQ=")</f>
        <v>#VALUE!</v>
      </c>
      <c r="F64" t="e">
        <f>IF('Planilla_General_07-12-2012_8_3'!950:950,"AAAAAH1vaQU=",0)</f>
        <v>#VALUE!</v>
      </c>
      <c r="G64" t="e">
        <f>AND('Planilla_General_07-12-2012_8_3'!A950,"AAAAAH1vaQY=")</f>
        <v>#VALUE!</v>
      </c>
      <c r="H64" t="e">
        <f>AND('Planilla_General_07-12-2012_8_3'!B950,"AAAAAH1vaQc=")</f>
        <v>#VALUE!</v>
      </c>
      <c r="I64" t="e">
        <f>AND('Planilla_General_07-12-2012_8_3'!C950,"AAAAAH1vaQg=")</f>
        <v>#VALUE!</v>
      </c>
      <c r="J64" t="e">
        <f>AND('Planilla_General_07-12-2012_8_3'!D950,"AAAAAH1vaQk=")</f>
        <v>#VALUE!</v>
      </c>
      <c r="K64" t="e">
        <f>AND('Planilla_General_07-12-2012_8_3'!E950,"AAAAAH1vaQo=")</f>
        <v>#VALUE!</v>
      </c>
      <c r="L64" t="e">
        <f>AND('Planilla_General_07-12-2012_8_3'!F950,"AAAAAH1vaQs=")</f>
        <v>#VALUE!</v>
      </c>
      <c r="M64" t="e">
        <f>AND('Planilla_General_07-12-2012_8_3'!G950,"AAAAAH1vaQw=")</f>
        <v>#VALUE!</v>
      </c>
      <c r="N64" t="e">
        <f>AND('Planilla_General_07-12-2012_8_3'!H950,"AAAAAH1vaQ0=")</f>
        <v>#VALUE!</v>
      </c>
      <c r="O64" t="e">
        <f>AND('Planilla_General_07-12-2012_8_3'!I950,"AAAAAH1vaQ4=")</f>
        <v>#VALUE!</v>
      </c>
      <c r="P64" t="e">
        <f>AND('Planilla_General_07-12-2012_8_3'!J950,"AAAAAH1vaQ8=")</f>
        <v>#VALUE!</v>
      </c>
      <c r="Q64" t="e">
        <f>AND('Planilla_General_07-12-2012_8_3'!K950,"AAAAAH1vaRA=")</f>
        <v>#VALUE!</v>
      </c>
      <c r="R64" t="e">
        <f>AND('Planilla_General_07-12-2012_8_3'!L950,"AAAAAH1vaRE=")</f>
        <v>#VALUE!</v>
      </c>
      <c r="S64" t="e">
        <f>AND('Planilla_General_07-12-2012_8_3'!M950,"AAAAAH1vaRI=")</f>
        <v>#VALUE!</v>
      </c>
      <c r="T64" t="e">
        <f>AND('Planilla_General_07-12-2012_8_3'!N950,"AAAAAH1vaRM=")</f>
        <v>#VALUE!</v>
      </c>
      <c r="U64" t="e">
        <f>AND('Planilla_General_07-12-2012_8_3'!O950,"AAAAAH1vaRQ=")</f>
        <v>#VALUE!</v>
      </c>
      <c r="V64" t="e">
        <f>AND('Planilla_General_07-12-2012_8_3'!P950,"AAAAAH1vaRU=")</f>
        <v>#VALUE!</v>
      </c>
      <c r="W64">
        <f>IF('Planilla_General_07-12-2012_8_3'!951:951,"AAAAAH1vaRY=",0)</f>
        <v>0</v>
      </c>
      <c r="X64" t="e">
        <f>AND('Planilla_General_07-12-2012_8_3'!A951,"AAAAAH1vaRc=")</f>
        <v>#VALUE!</v>
      </c>
      <c r="Y64" t="e">
        <f>AND('Planilla_General_07-12-2012_8_3'!B951,"AAAAAH1vaRg=")</f>
        <v>#VALUE!</v>
      </c>
      <c r="Z64" t="e">
        <f>AND('Planilla_General_07-12-2012_8_3'!C951,"AAAAAH1vaRk=")</f>
        <v>#VALUE!</v>
      </c>
      <c r="AA64" t="e">
        <f>AND('Planilla_General_07-12-2012_8_3'!D951,"AAAAAH1vaRo=")</f>
        <v>#VALUE!</v>
      </c>
      <c r="AB64" t="e">
        <f>AND('Planilla_General_07-12-2012_8_3'!E951,"AAAAAH1vaRs=")</f>
        <v>#VALUE!</v>
      </c>
      <c r="AC64" t="e">
        <f>AND('Planilla_General_07-12-2012_8_3'!F951,"AAAAAH1vaRw=")</f>
        <v>#VALUE!</v>
      </c>
      <c r="AD64" t="e">
        <f>AND('Planilla_General_07-12-2012_8_3'!G951,"AAAAAH1vaR0=")</f>
        <v>#VALUE!</v>
      </c>
      <c r="AE64" t="e">
        <f>AND('Planilla_General_07-12-2012_8_3'!H951,"AAAAAH1vaR4=")</f>
        <v>#VALUE!</v>
      </c>
      <c r="AF64" t="e">
        <f>AND('Planilla_General_07-12-2012_8_3'!I951,"AAAAAH1vaR8=")</f>
        <v>#VALUE!</v>
      </c>
      <c r="AG64" t="e">
        <f>AND('Planilla_General_07-12-2012_8_3'!J951,"AAAAAH1vaSA=")</f>
        <v>#VALUE!</v>
      </c>
      <c r="AH64" t="e">
        <f>AND('Planilla_General_07-12-2012_8_3'!K951,"AAAAAH1vaSE=")</f>
        <v>#VALUE!</v>
      </c>
      <c r="AI64" t="e">
        <f>AND('Planilla_General_07-12-2012_8_3'!L951,"AAAAAH1vaSI=")</f>
        <v>#VALUE!</v>
      </c>
      <c r="AJ64" t="e">
        <f>AND('Planilla_General_07-12-2012_8_3'!M951,"AAAAAH1vaSM=")</f>
        <v>#VALUE!</v>
      </c>
      <c r="AK64" t="e">
        <f>AND('Planilla_General_07-12-2012_8_3'!N951,"AAAAAH1vaSQ=")</f>
        <v>#VALUE!</v>
      </c>
      <c r="AL64" t="e">
        <f>AND('Planilla_General_07-12-2012_8_3'!O951,"AAAAAH1vaSU=")</f>
        <v>#VALUE!</v>
      </c>
      <c r="AM64" t="e">
        <f>AND('Planilla_General_07-12-2012_8_3'!P951,"AAAAAH1vaSY=")</f>
        <v>#VALUE!</v>
      </c>
      <c r="AN64">
        <f>IF('Planilla_General_07-12-2012_8_3'!952:952,"AAAAAH1vaSc=",0)</f>
        <v>0</v>
      </c>
      <c r="AO64" t="e">
        <f>AND('Planilla_General_07-12-2012_8_3'!A952,"AAAAAH1vaSg=")</f>
        <v>#VALUE!</v>
      </c>
      <c r="AP64" t="e">
        <f>AND('Planilla_General_07-12-2012_8_3'!B952,"AAAAAH1vaSk=")</f>
        <v>#VALUE!</v>
      </c>
      <c r="AQ64" t="e">
        <f>AND('Planilla_General_07-12-2012_8_3'!C952,"AAAAAH1vaSo=")</f>
        <v>#VALUE!</v>
      </c>
      <c r="AR64" t="e">
        <f>AND('Planilla_General_07-12-2012_8_3'!D952,"AAAAAH1vaSs=")</f>
        <v>#VALUE!</v>
      </c>
      <c r="AS64" t="e">
        <f>AND('Planilla_General_07-12-2012_8_3'!E952,"AAAAAH1vaSw=")</f>
        <v>#VALUE!</v>
      </c>
      <c r="AT64" t="e">
        <f>AND('Planilla_General_07-12-2012_8_3'!F952,"AAAAAH1vaS0=")</f>
        <v>#VALUE!</v>
      </c>
      <c r="AU64" t="e">
        <f>AND('Planilla_General_07-12-2012_8_3'!G952,"AAAAAH1vaS4=")</f>
        <v>#VALUE!</v>
      </c>
      <c r="AV64" t="e">
        <f>AND('Planilla_General_07-12-2012_8_3'!H952,"AAAAAH1vaS8=")</f>
        <v>#VALUE!</v>
      </c>
      <c r="AW64" t="e">
        <f>AND('Planilla_General_07-12-2012_8_3'!I952,"AAAAAH1vaTA=")</f>
        <v>#VALUE!</v>
      </c>
      <c r="AX64" t="e">
        <f>AND('Planilla_General_07-12-2012_8_3'!J952,"AAAAAH1vaTE=")</f>
        <v>#VALUE!</v>
      </c>
      <c r="AY64" t="e">
        <f>AND('Planilla_General_07-12-2012_8_3'!K952,"AAAAAH1vaTI=")</f>
        <v>#VALUE!</v>
      </c>
      <c r="AZ64" t="e">
        <f>AND('Planilla_General_07-12-2012_8_3'!L952,"AAAAAH1vaTM=")</f>
        <v>#VALUE!</v>
      </c>
      <c r="BA64" t="e">
        <f>AND('Planilla_General_07-12-2012_8_3'!M952,"AAAAAH1vaTQ=")</f>
        <v>#VALUE!</v>
      </c>
      <c r="BB64" t="e">
        <f>AND('Planilla_General_07-12-2012_8_3'!N952,"AAAAAH1vaTU=")</f>
        <v>#VALUE!</v>
      </c>
      <c r="BC64" t="e">
        <f>AND('Planilla_General_07-12-2012_8_3'!O952,"AAAAAH1vaTY=")</f>
        <v>#VALUE!</v>
      </c>
      <c r="BD64" t="e">
        <f>AND('Planilla_General_07-12-2012_8_3'!P952,"AAAAAH1vaTc=")</f>
        <v>#VALUE!</v>
      </c>
      <c r="BE64">
        <f>IF('Planilla_General_07-12-2012_8_3'!953:953,"AAAAAH1vaTg=",0)</f>
        <v>0</v>
      </c>
      <c r="BF64" t="e">
        <f>AND('Planilla_General_07-12-2012_8_3'!A953,"AAAAAH1vaTk=")</f>
        <v>#VALUE!</v>
      </c>
      <c r="BG64" t="e">
        <f>AND('Planilla_General_07-12-2012_8_3'!B953,"AAAAAH1vaTo=")</f>
        <v>#VALUE!</v>
      </c>
      <c r="BH64" t="e">
        <f>AND('Planilla_General_07-12-2012_8_3'!C953,"AAAAAH1vaTs=")</f>
        <v>#VALUE!</v>
      </c>
      <c r="BI64" t="e">
        <f>AND('Planilla_General_07-12-2012_8_3'!D953,"AAAAAH1vaTw=")</f>
        <v>#VALUE!</v>
      </c>
      <c r="BJ64" t="e">
        <f>AND('Planilla_General_07-12-2012_8_3'!E953,"AAAAAH1vaT0=")</f>
        <v>#VALUE!</v>
      </c>
      <c r="BK64" t="e">
        <f>AND('Planilla_General_07-12-2012_8_3'!F953,"AAAAAH1vaT4=")</f>
        <v>#VALUE!</v>
      </c>
      <c r="BL64" t="e">
        <f>AND('Planilla_General_07-12-2012_8_3'!G953,"AAAAAH1vaT8=")</f>
        <v>#VALUE!</v>
      </c>
      <c r="BM64" t="e">
        <f>AND('Planilla_General_07-12-2012_8_3'!H953,"AAAAAH1vaUA=")</f>
        <v>#VALUE!</v>
      </c>
      <c r="BN64" t="e">
        <f>AND('Planilla_General_07-12-2012_8_3'!I953,"AAAAAH1vaUE=")</f>
        <v>#VALUE!</v>
      </c>
      <c r="BO64" t="e">
        <f>AND('Planilla_General_07-12-2012_8_3'!J953,"AAAAAH1vaUI=")</f>
        <v>#VALUE!</v>
      </c>
      <c r="BP64" t="e">
        <f>AND('Planilla_General_07-12-2012_8_3'!K953,"AAAAAH1vaUM=")</f>
        <v>#VALUE!</v>
      </c>
      <c r="BQ64" t="e">
        <f>AND('Planilla_General_07-12-2012_8_3'!L953,"AAAAAH1vaUQ=")</f>
        <v>#VALUE!</v>
      </c>
      <c r="BR64" t="e">
        <f>AND('Planilla_General_07-12-2012_8_3'!M953,"AAAAAH1vaUU=")</f>
        <v>#VALUE!</v>
      </c>
      <c r="BS64" t="e">
        <f>AND('Planilla_General_07-12-2012_8_3'!N953,"AAAAAH1vaUY=")</f>
        <v>#VALUE!</v>
      </c>
      <c r="BT64" t="e">
        <f>AND('Planilla_General_07-12-2012_8_3'!O953,"AAAAAH1vaUc=")</f>
        <v>#VALUE!</v>
      </c>
      <c r="BU64" t="e">
        <f>AND('Planilla_General_07-12-2012_8_3'!P953,"AAAAAH1vaUg=")</f>
        <v>#VALUE!</v>
      </c>
      <c r="BV64">
        <f>IF('Planilla_General_07-12-2012_8_3'!954:954,"AAAAAH1vaUk=",0)</f>
        <v>0</v>
      </c>
      <c r="BW64" t="e">
        <f>AND('Planilla_General_07-12-2012_8_3'!A954,"AAAAAH1vaUo=")</f>
        <v>#VALUE!</v>
      </c>
      <c r="BX64" t="e">
        <f>AND('Planilla_General_07-12-2012_8_3'!B954,"AAAAAH1vaUs=")</f>
        <v>#VALUE!</v>
      </c>
      <c r="BY64" t="e">
        <f>AND('Planilla_General_07-12-2012_8_3'!C954,"AAAAAH1vaUw=")</f>
        <v>#VALUE!</v>
      </c>
      <c r="BZ64" t="e">
        <f>AND('Planilla_General_07-12-2012_8_3'!D954,"AAAAAH1vaU0=")</f>
        <v>#VALUE!</v>
      </c>
      <c r="CA64" t="e">
        <f>AND('Planilla_General_07-12-2012_8_3'!E954,"AAAAAH1vaU4=")</f>
        <v>#VALUE!</v>
      </c>
      <c r="CB64" t="e">
        <f>AND('Planilla_General_07-12-2012_8_3'!F954,"AAAAAH1vaU8=")</f>
        <v>#VALUE!</v>
      </c>
      <c r="CC64" t="e">
        <f>AND('Planilla_General_07-12-2012_8_3'!G954,"AAAAAH1vaVA=")</f>
        <v>#VALUE!</v>
      </c>
      <c r="CD64" t="e">
        <f>AND('Planilla_General_07-12-2012_8_3'!H954,"AAAAAH1vaVE=")</f>
        <v>#VALUE!</v>
      </c>
      <c r="CE64" t="e">
        <f>AND('Planilla_General_07-12-2012_8_3'!I954,"AAAAAH1vaVI=")</f>
        <v>#VALUE!</v>
      </c>
      <c r="CF64" t="e">
        <f>AND('Planilla_General_07-12-2012_8_3'!J954,"AAAAAH1vaVM=")</f>
        <v>#VALUE!</v>
      </c>
      <c r="CG64" t="e">
        <f>AND('Planilla_General_07-12-2012_8_3'!K954,"AAAAAH1vaVQ=")</f>
        <v>#VALUE!</v>
      </c>
      <c r="CH64" t="e">
        <f>AND('Planilla_General_07-12-2012_8_3'!L954,"AAAAAH1vaVU=")</f>
        <v>#VALUE!</v>
      </c>
      <c r="CI64" t="e">
        <f>AND('Planilla_General_07-12-2012_8_3'!M954,"AAAAAH1vaVY=")</f>
        <v>#VALUE!</v>
      </c>
      <c r="CJ64" t="e">
        <f>AND('Planilla_General_07-12-2012_8_3'!N954,"AAAAAH1vaVc=")</f>
        <v>#VALUE!</v>
      </c>
      <c r="CK64" t="e">
        <f>AND('Planilla_General_07-12-2012_8_3'!O954,"AAAAAH1vaVg=")</f>
        <v>#VALUE!</v>
      </c>
      <c r="CL64" t="e">
        <f>AND('Planilla_General_07-12-2012_8_3'!P954,"AAAAAH1vaVk=")</f>
        <v>#VALUE!</v>
      </c>
      <c r="CM64">
        <f>IF('Planilla_General_07-12-2012_8_3'!955:955,"AAAAAH1vaVo=",0)</f>
        <v>0</v>
      </c>
      <c r="CN64" t="e">
        <f>AND('Planilla_General_07-12-2012_8_3'!A955,"AAAAAH1vaVs=")</f>
        <v>#VALUE!</v>
      </c>
      <c r="CO64" t="e">
        <f>AND('Planilla_General_07-12-2012_8_3'!B955,"AAAAAH1vaVw=")</f>
        <v>#VALUE!</v>
      </c>
      <c r="CP64" t="e">
        <f>AND('Planilla_General_07-12-2012_8_3'!C955,"AAAAAH1vaV0=")</f>
        <v>#VALUE!</v>
      </c>
      <c r="CQ64" t="e">
        <f>AND('Planilla_General_07-12-2012_8_3'!D955,"AAAAAH1vaV4=")</f>
        <v>#VALUE!</v>
      </c>
      <c r="CR64" t="e">
        <f>AND('Planilla_General_07-12-2012_8_3'!E955,"AAAAAH1vaV8=")</f>
        <v>#VALUE!</v>
      </c>
      <c r="CS64" t="e">
        <f>AND('Planilla_General_07-12-2012_8_3'!F955,"AAAAAH1vaWA=")</f>
        <v>#VALUE!</v>
      </c>
      <c r="CT64" t="e">
        <f>AND('Planilla_General_07-12-2012_8_3'!G955,"AAAAAH1vaWE=")</f>
        <v>#VALUE!</v>
      </c>
      <c r="CU64" t="e">
        <f>AND('Planilla_General_07-12-2012_8_3'!H955,"AAAAAH1vaWI=")</f>
        <v>#VALUE!</v>
      </c>
      <c r="CV64" t="e">
        <f>AND('Planilla_General_07-12-2012_8_3'!I955,"AAAAAH1vaWM=")</f>
        <v>#VALUE!</v>
      </c>
      <c r="CW64" t="e">
        <f>AND('Planilla_General_07-12-2012_8_3'!J955,"AAAAAH1vaWQ=")</f>
        <v>#VALUE!</v>
      </c>
      <c r="CX64" t="e">
        <f>AND('Planilla_General_07-12-2012_8_3'!K955,"AAAAAH1vaWU=")</f>
        <v>#VALUE!</v>
      </c>
      <c r="CY64" t="e">
        <f>AND('Planilla_General_07-12-2012_8_3'!L955,"AAAAAH1vaWY=")</f>
        <v>#VALUE!</v>
      </c>
      <c r="CZ64" t="e">
        <f>AND('Planilla_General_07-12-2012_8_3'!M955,"AAAAAH1vaWc=")</f>
        <v>#VALUE!</v>
      </c>
      <c r="DA64" t="e">
        <f>AND('Planilla_General_07-12-2012_8_3'!N955,"AAAAAH1vaWg=")</f>
        <v>#VALUE!</v>
      </c>
      <c r="DB64" t="e">
        <f>AND('Planilla_General_07-12-2012_8_3'!O955,"AAAAAH1vaWk=")</f>
        <v>#VALUE!</v>
      </c>
      <c r="DC64" t="e">
        <f>AND('Planilla_General_07-12-2012_8_3'!P955,"AAAAAH1vaWo=")</f>
        <v>#VALUE!</v>
      </c>
      <c r="DD64">
        <f>IF('Planilla_General_07-12-2012_8_3'!956:956,"AAAAAH1vaWs=",0)</f>
        <v>0</v>
      </c>
      <c r="DE64" t="e">
        <f>AND('Planilla_General_07-12-2012_8_3'!A956,"AAAAAH1vaWw=")</f>
        <v>#VALUE!</v>
      </c>
      <c r="DF64" t="e">
        <f>AND('Planilla_General_07-12-2012_8_3'!B956,"AAAAAH1vaW0=")</f>
        <v>#VALUE!</v>
      </c>
      <c r="DG64" t="e">
        <f>AND('Planilla_General_07-12-2012_8_3'!C956,"AAAAAH1vaW4=")</f>
        <v>#VALUE!</v>
      </c>
      <c r="DH64" t="e">
        <f>AND('Planilla_General_07-12-2012_8_3'!D956,"AAAAAH1vaW8=")</f>
        <v>#VALUE!</v>
      </c>
      <c r="DI64" t="e">
        <f>AND('Planilla_General_07-12-2012_8_3'!E956,"AAAAAH1vaXA=")</f>
        <v>#VALUE!</v>
      </c>
      <c r="DJ64" t="e">
        <f>AND('Planilla_General_07-12-2012_8_3'!F956,"AAAAAH1vaXE=")</f>
        <v>#VALUE!</v>
      </c>
      <c r="DK64" t="e">
        <f>AND('Planilla_General_07-12-2012_8_3'!G956,"AAAAAH1vaXI=")</f>
        <v>#VALUE!</v>
      </c>
      <c r="DL64" t="e">
        <f>AND('Planilla_General_07-12-2012_8_3'!H956,"AAAAAH1vaXM=")</f>
        <v>#VALUE!</v>
      </c>
      <c r="DM64" t="e">
        <f>AND('Planilla_General_07-12-2012_8_3'!I956,"AAAAAH1vaXQ=")</f>
        <v>#VALUE!</v>
      </c>
      <c r="DN64" t="e">
        <f>AND('Planilla_General_07-12-2012_8_3'!J956,"AAAAAH1vaXU=")</f>
        <v>#VALUE!</v>
      </c>
      <c r="DO64" t="e">
        <f>AND('Planilla_General_07-12-2012_8_3'!K956,"AAAAAH1vaXY=")</f>
        <v>#VALUE!</v>
      </c>
      <c r="DP64" t="e">
        <f>AND('Planilla_General_07-12-2012_8_3'!L956,"AAAAAH1vaXc=")</f>
        <v>#VALUE!</v>
      </c>
      <c r="DQ64" t="e">
        <f>AND('Planilla_General_07-12-2012_8_3'!M956,"AAAAAH1vaXg=")</f>
        <v>#VALUE!</v>
      </c>
      <c r="DR64" t="e">
        <f>AND('Planilla_General_07-12-2012_8_3'!N956,"AAAAAH1vaXk=")</f>
        <v>#VALUE!</v>
      </c>
      <c r="DS64" t="e">
        <f>AND('Planilla_General_07-12-2012_8_3'!O956,"AAAAAH1vaXo=")</f>
        <v>#VALUE!</v>
      </c>
      <c r="DT64" t="e">
        <f>AND('Planilla_General_07-12-2012_8_3'!P956,"AAAAAH1vaXs=")</f>
        <v>#VALUE!</v>
      </c>
      <c r="DU64">
        <f>IF('Planilla_General_07-12-2012_8_3'!957:957,"AAAAAH1vaXw=",0)</f>
        <v>0</v>
      </c>
      <c r="DV64" t="e">
        <f>AND('Planilla_General_07-12-2012_8_3'!A957,"AAAAAH1vaX0=")</f>
        <v>#VALUE!</v>
      </c>
      <c r="DW64" t="e">
        <f>AND('Planilla_General_07-12-2012_8_3'!B957,"AAAAAH1vaX4=")</f>
        <v>#VALUE!</v>
      </c>
      <c r="DX64" t="e">
        <f>AND('Planilla_General_07-12-2012_8_3'!C957,"AAAAAH1vaX8=")</f>
        <v>#VALUE!</v>
      </c>
      <c r="DY64" t="e">
        <f>AND('Planilla_General_07-12-2012_8_3'!D957,"AAAAAH1vaYA=")</f>
        <v>#VALUE!</v>
      </c>
      <c r="DZ64" t="e">
        <f>AND('Planilla_General_07-12-2012_8_3'!E957,"AAAAAH1vaYE=")</f>
        <v>#VALUE!</v>
      </c>
      <c r="EA64" t="e">
        <f>AND('Planilla_General_07-12-2012_8_3'!F957,"AAAAAH1vaYI=")</f>
        <v>#VALUE!</v>
      </c>
      <c r="EB64" t="e">
        <f>AND('Planilla_General_07-12-2012_8_3'!G957,"AAAAAH1vaYM=")</f>
        <v>#VALUE!</v>
      </c>
      <c r="EC64" t="e">
        <f>AND('Planilla_General_07-12-2012_8_3'!H957,"AAAAAH1vaYQ=")</f>
        <v>#VALUE!</v>
      </c>
      <c r="ED64" t="e">
        <f>AND('Planilla_General_07-12-2012_8_3'!I957,"AAAAAH1vaYU=")</f>
        <v>#VALUE!</v>
      </c>
      <c r="EE64" t="e">
        <f>AND('Planilla_General_07-12-2012_8_3'!J957,"AAAAAH1vaYY=")</f>
        <v>#VALUE!</v>
      </c>
      <c r="EF64" t="e">
        <f>AND('Planilla_General_07-12-2012_8_3'!K957,"AAAAAH1vaYc=")</f>
        <v>#VALUE!</v>
      </c>
      <c r="EG64" t="e">
        <f>AND('Planilla_General_07-12-2012_8_3'!L957,"AAAAAH1vaYg=")</f>
        <v>#VALUE!</v>
      </c>
      <c r="EH64" t="e">
        <f>AND('Planilla_General_07-12-2012_8_3'!M957,"AAAAAH1vaYk=")</f>
        <v>#VALUE!</v>
      </c>
      <c r="EI64" t="e">
        <f>AND('Planilla_General_07-12-2012_8_3'!N957,"AAAAAH1vaYo=")</f>
        <v>#VALUE!</v>
      </c>
      <c r="EJ64" t="e">
        <f>AND('Planilla_General_07-12-2012_8_3'!O957,"AAAAAH1vaYs=")</f>
        <v>#VALUE!</v>
      </c>
      <c r="EK64" t="e">
        <f>AND('Planilla_General_07-12-2012_8_3'!P957,"AAAAAH1vaYw=")</f>
        <v>#VALUE!</v>
      </c>
      <c r="EL64">
        <f>IF('Planilla_General_07-12-2012_8_3'!958:958,"AAAAAH1vaY0=",0)</f>
        <v>0</v>
      </c>
      <c r="EM64" t="e">
        <f>AND('Planilla_General_07-12-2012_8_3'!A958,"AAAAAH1vaY4=")</f>
        <v>#VALUE!</v>
      </c>
      <c r="EN64" t="e">
        <f>AND('Planilla_General_07-12-2012_8_3'!B958,"AAAAAH1vaY8=")</f>
        <v>#VALUE!</v>
      </c>
      <c r="EO64" t="e">
        <f>AND('Planilla_General_07-12-2012_8_3'!C958,"AAAAAH1vaZA=")</f>
        <v>#VALUE!</v>
      </c>
      <c r="EP64" t="e">
        <f>AND('Planilla_General_07-12-2012_8_3'!D958,"AAAAAH1vaZE=")</f>
        <v>#VALUE!</v>
      </c>
      <c r="EQ64" t="e">
        <f>AND('Planilla_General_07-12-2012_8_3'!E958,"AAAAAH1vaZI=")</f>
        <v>#VALUE!</v>
      </c>
      <c r="ER64" t="e">
        <f>AND('Planilla_General_07-12-2012_8_3'!F958,"AAAAAH1vaZM=")</f>
        <v>#VALUE!</v>
      </c>
      <c r="ES64" t="e">
        <f>AND('Planilla_General_07-12-2012_8_3'!G958,"AAAAAH1vaZQ=")</f>
        <v>#VALUE!</v>
      </c>
      <c r="ET64" t="e">
        <f>AND('Planilla_General_07-12-2012_8_3'!H958,"AAAAAH1vaZU=")</f>
        <v>#VALUE!</v>
      </c>
      <c r="EU64" t="e">
        <f>AND('Planilla_General_07-12-2012_8_3'!I958,"AAAAAH1vaZY=")</f>
        <v>#VALUE!</v>
      </c>
      <c r="EV64" t="e">
        <f>AND('Planilla_General_07-12-2012_8_3'!J958,"AAAAAH1vaZc=")</f>
        <v>#VALUE!</v>
      </c>
      <c r="EW64" t="e">
        <f>AND('Planilla_General_07-12-2012_8_3'!K958,"AAAAAH1vaZg=")</f>
        <v>#VALUE!</v>
      </c>
      <c r="EX64" t="e">
        <f>AND('Planilla_General_07-12-2012_8_3'!L958,"AAAAAH1vaZk=")</f>
        <v>#VALUE!</v>
      </c>
      <c r="EY64" t="e">
        <f>AND('Planilla_General_07-12-2012_8_3'!M958,"AAAAAH1vaZo=")</f>
        <v>#VALUE!</v>
      </c>
      <c r="EZ64" t="e">
        <f>AND('Planilla_General_07-12-2012_8_3'!N958,"AAAAAH1vaZs=")</f>
        <v>#VALUE!</v>
      </c>
      <c r="FA64" t="e">
        <f>AND('Planilla_General_07-12-2012_8_3'!O958,"AAAAAH1vaZw=")</f>
        <v>#VALUE!</v>
      </c>
      <c r="FB64" t="e">
        <f>AND('Planilla_General_07-12-2012_8_3'!P958,"AAAAAH1vaZ0=")</f>
        <v>#VALUE!</v>
      </c>
      <c r="FC64">
        <f>IF('Planilla_General_07-12-2012_8_3'!959:959,"AAAAAH1vaZ4=",0)</f>
        <v>0</v>
      </c>
      <c r="FD64" t="e">
        <f>AND('Planilla_General_07-12-2012_8_3'!A959,"AAAAAH1vaZ8=")</f>
        <v>#VALUE!</v>
      </c>
      <c r="FE64" t="e">
        <f>AND('Planilla_General_07-12-2012_8_3'!B959,"AAAAAH1vaaA=")</f>
        <v>#VALUE!</v>
      </c>
      <c r="FF64" t="e">
        <f>AND('Planilla_General_07-12-2012_8_3'!C959,"AAAAAH1vaaE=")</f>
        <v>#VALUE!</v>
      </c>
      <c r="FG64" t="e">
        <f>AND('Planilla_General_07-12-2012_8_3'!D959,"AAAAAH1vaaI=")</f>
        <v>#VALUE!</v>
      </c>
      <c r="FH64" t="e">
        <f>AND('Planilla_General_07-12-2012_8_3'!E959,"AAAAAH1vaaM=")</f>
        <v>#VALUE!</v>
      </c>
      <c r="FI64" t="e">
        <f>AND('Planilla_General_07-12-2012_8_3'!F959,"AAAAAH1vaaQ=")</f>
        <v>#VALUE!</v>
      </c>
      <c r="FJ64" t="e">
        <f>AND('Planilla_General_07-12-2012_8_3'!G959,"AAAAAH1vaaU=")</f>
        <v>#VALUE!</v>
      </c>
      <c r="FK64" t="e">
        <f>AND('Planilla_General_07-12-2012_8_3'!H959,"AAAAAH1vaaY=")</f>
        <v>#VALUE!</v>
      </c>
      <c r="FL64" t="e">
        <f>AND('Planilla_General_07-12-2012_8_3'!I959,"AAAAAH1vaac=")</f>
        <v>#VALUE!</v>
      </c>
      <c r="FM64" t="e">
        <f>AND('Planilla_General_07-12-2012_8_3'!J959,"AAAAAH1vaag=")</f>
        <v>#VALUE!</v>
      </c>
      <c r="FN64" t="e">
        <f>AND('Planilla_General_07-12-2012_8_3'!K959,"AAAAAH1vaak=")</f>
        <v>#VALUE!</v>
      </c>
      <c r="FO64" t="e">
        <f>AND('Planilla_General_07-12-2012_8_3'!L959,"AAAAAH1vaao=")</f>
        <v>#VALUE!</v>
      </c>
      <c r="FP64" t="e">
        <f>AND('Planilla_General_07-12-2012_8_3'!M959,"AAAAAH1vaas=")</f>
        <v>#VALUE!</v>
      </c>
      <c r="FQ64" t="e">
        <f>AND('Planilla_General_07-12-2012_8_3'!N959,"AAAAAH1vaaw=")</f>
        <v>#VALUE!</v>
      </c>
      <c r="FR64" t="e">
        <f>AND('Planilla_General_07-12-2012_8_3'!O959,"AAAAAH1vaa0=")</f>
        <v>#VALUE!</v>
      </c>
      <c r="FS64" t="e">
        <f>AND('Planilla_General_07-12-2012_8_3'!P959,"AAAAAH1vaa4=")</f>
        <v>#VALUE!</v>
      </c>
      <c r="FT64">
        <f>IF('Planilla_General_07-12-2012_8_3'!960:960,"AAAAAH1vaa8=",0)</f>
        <v>0</v>
      </c>
      <c r="FU64" t="e">
        <f>AND('Planilla_General_07-12-2012_8_3'!A960,"AAAAAH1vabA=")</f>
        <v>#VALUE!</v>
      </c>
      <c r="FV64" t="e">
        <f>AND('Planilla_General_07-12-2012_8_3'!B960,"AAAAAH1vabE=")</f>
        <v>#VALUE!</v>
      </c>
      <c r="FW64" t="e">
        <f>AND('Planilla_General_07-12-2012_8_3'!C960,"AAAAAH1vabI=")</f>
        <v>#VALUE!</v>
      </c>
      <c r="FX64" t="e">
        <f>AND('Planilla_General_07-12-2012_8_3'!D960,"AAAAAH1vabM=")</f>
        <v>#VALUE!</v>
      </c>
      <c r="FY64" t="e">
        <f>AND('Planilla_General_07-12-2012_8_3'!E960,"AAAAAH1vabQ=")</f>
        <v>#VALUE!</v>
      </c>
      <c r="FZ64" t="e">
        <f>AND('Planilla_General_07-12-2012_8_3'!F960,"AAAAAH1vabU=")</f>
        <v>#VALUE!</v>
      </c>
      <c r="GA64" t="e">
        <f>AND('Planilla_General_07-12-2012_8_3'!G960,"AAAAAH1vabY=")</f>
        <v>#VALUE!</v>
      </c>
      <c r="GB64" t="e">
        <f>AND('Planilla_General_07-12-2012_8_3'!H960,"AAAAAH1vabc=")</f>
        <v>#VALUE!</v>
      </c>
      <c r="GC64" t="e">
        <f>AND('Planilla_General_07-12-2012_8_3'!I960,"AAAAAH1vabg=")</f>
        <v>#VALUE!</v>
      </c>
      <c r="GD64" t="e">
        <f>AND('Planilla_General_07-12-2012_8_3'!J960,"AAAAAH1vabk=")</f>
        <v>#VALUE!</v>
      </c>
      <c r="GE64" t="e">
        <f>AND('Planilla_General_07-12-2012_8_3'!K960,"AAAAAH1vabo=")</f>
        <v>#VALUE!</v>
      </c>
      <c r="GF64" t="e">
        <f>AND('Planilla_General_07-12-2012_8_3'!L960,"AAAAAH1vabs=")</f>
        <v>#VALUE!</v>
      </c>
      <c r="GG64" t="e">
        <f>AND('Planilla_General_07-12-2012_8_3'!M960,"AAAAAH1vabw=")</f>
        <v>#VALUE!</v>
      </c>
      <c r="GH64" t="e">
        <f>AND('Planilla_General_07-12-2012_8_3'!N960,"AAAAAH1vab0=")</f>
        <v>#VALUE!</v>
      </c>
      <c r="GI64" t="e">
        <f>AND('Planilla_General_07-12-2012_8_3'!O960,"AAAAAH1vab4=")</f>
        <v>#VALUE!</v>
      </c>
      <c r="GJ64" t="e">
        <f>AND('Planilla_General_07-12-2012_8_3'!P960,"AAAAAH1vab8=")</f>
        <v>#VALUE!</v>
      </c>
      <c r="GK64">
        <f>IF('Planilla_General_07-12-2012_8_3'!961:961,"AAAAAH1vacA=",0)</f>
        <v>0</v>
      </c>
      <c r="GL64" t="e">
        <f>AND('Planilla_General_07-12-2012_8_3'!A961,"AAAAAH1vacE=")</f>
        <v>#VALUE!</v>
      </c>
      <c r="GM64" t="e">
        <f>AND('Planilla_General_07-12-2012_8_3'!B961,"AAAAAH1vacI=")</f>
        <v>#VALUE!</v>
      </c>
      <c r="GN64" t="e">
        <f>AND('Planilla_General_07-12-2012_8_3'!C961,"AAAAAH1vacM=")</f>
        <v>#VALUE!</v>
      </c>
      <c r="GO64" t="e">
        <f>AND('Planilla_General_07-12-2012_8_3'!D961,"AAAAAH1vacQ=")</f>
        <v>#VALUE!</v>
      </c>
      <c r="GP64" t="e">
        <f>AND('Planilla_General_07-12-2012_8_3'!E961,"AAAAAH1vacU=")</f>
        <v>#VALUE!</v>
      </c>
      <c r="GQ64" t="e">
        <f>AND('Planilla_General_07-12-2012_8_3'!F961,"AAAAAH1vacY=")</f>
        <v>#VALUE!</v>
      </c>
      <c r="GR64" t="e">
        <f>AND('Planilla_General_07-12-2012_8_3'!G961,"AAAAAH1vacc=")</f>
        <v>#VALUE!</v>
      </c>
      <c r="GS64" t="e">
        <f>AND('Planilla_General_07-12-2012_8_3'!H961,"AAAAAH1vacg=")</f>
        <v>#VALUE!</v>
      </c>
      <c r="GT64" t="e">
        <f>AND('Planilla_General_07-12-2012_8_3'!I961,"AAAAAH1vack=")</f>
        <v>#VALUE!</v>
      </c>
      <c r="GU64" t="e">
        <f>AND('Planilla_General_07-12-2012_8_3'!J961,"AAAAAH1vaco=")</f>
        <v>#VALUE!</v>
      </c>
      <c r="GV64" t="e">
        <f>AND('Planilla_General_07-12-2012_8_3'!K961,"AAAAAH1vacs=")</f>
        <v>#VALUE!</v>
      </c>
      <c r="GW64" t="e">
        <f>AND('Planilla_General_07-12-2012_8_3'!L961,"AAAAAH1vacw=")</f>
        <v>#VALUE!</v>
      </c>
      <c r="GX64" t="e">
        <f>AND('Planilla_General_07-12-2012_8_3'!M961,"AAAAAH1vac0=")</f>
        <v>#VALUE!</v>
      </c>
      <c r="GY64" t="e">
        <f>AND('Planilla_General_07-12-2012_8_3'!N961,"AAAAAH1vac4=")</f>
        <v>#VALUE!</v>
      </c>
      <c r="GZ64" t="e">
        <f>AND('Planilla_General_07-12-2012_8_3'!O961,"AAAAAH1vac8=")</f>
        <v>#VALUE!</v>
      </c>
      <c r="HA64" t="e">
        <f>AND('Planilla_General_07-12-2012_8_3'!P961,"AAAAAH1vadA=")</f>
        <v>#VALUE!</v>
      </c>
      <c r="HB64">
        <f>IF('Planilla_General_07-12-2012_8_3'!962:962,"AAAAAH1vadE=",0)</f>
        <v>0</v>
      </c>
      <c r="HC64" t="e">
        <f>AND('Planilla_General_07-12-2012_8_3'!A962,"AAAAAH1vadI=")</f>
        <v>#VALUE!</v>
      </c>
      <c r="HD64" t="e">
        <f>AND('Planilla_General_07-12-2012_8_3'!B962,"AAAAAH1vadM=")</f>
        <v>#VALUE!</v>
      </c>
      <c r="HE64" t="e">
        <f>AND('Planilla_General_07-12-2012_8_3'!C962,"AAAAAH1vadQ=")</f>
        <v>#VALUE!</v>
      </c>
      <c r="HF64" t="e">
        <f>AND('Planilla_General_07-12-2012_8_3'!D962,"AAAAAH1vadU=")</f>
        <v>#VALUE!</v>
      </c>
      <c r="HG64" t="e">
        <f>AND('Planilla_General_07-12-2012_8_3'!E962,"AAAAAH1vadY=")</f>
        <v>#VALUE!</v>
      </c>
      <c r="HH64" t="e">
        <f>AND('Planilla_General_07-12-2012_8_3'!F962,"AAAAAH1vadc=")</f>
        <v>#VALUE!</v>
      </c>
      <c r="HI64" t="e">
        <f>AND('Planilla_General_07-12-2012_8_3'!G962,"AAAAAH1vadg=")</f>
        <v>#VALUE!</v>
      </c>
      <c r="HJ64" t="e">
        <f>AND('Planilla_General_07-12-2012_8_3'!H962,"AAAAAH1vadk=")</f>
        <v>#VALUE!</v>
      </c>
      <c r="HK64" t="e">
        <f>AND('Planilla_General_07-12-2012_8_3'!I962,"AAAAAH1vado=")</f>
        <v>#VALUE!</v>
      </c>
      <c r="HL64" t="e">
        <f>AND('Planilla_General_07-12-2012_8_3'!J962,"AAAAAH1vads=")</f>
        <v>#VALUE!</v>
      </c>
      <c r="HM64" t="e">
        <f>AND('Planilla_General_07-12-2012_8_3'!K962,"AAAAAH1vadw=")</f>
        <v>#VALUE!</v>
      </c>
      <c r="HN64" t="e">
        <f>AND('Planilla_General_07-12-2012_8_3'!L962,"AAAAAH1vad0=")</f>
        <v>#VALUE!</v>
      </c>
      <c r="HO64" t="e">
        <f>AND('Planilla_General_07-12-2012_8_3'!M962,"AAAAAH1vad4=")</f>
        <v>#VALUE!</v>
      </c>
      <c r="HP64" t="e">
        <f>AND('Planilla_General_07-12-2012_8_3'!N962,"AAAAAH1vad8=")</f>
        <v>#VALUE!</v>
      </c>
      <c r="HQ64" t="e">
        <f>AND('Planilla_General_07-12-2012_8_3'!O962,"AAAAAH1vaeA=")</f>
        <v>#VALUE!</v>
      </c>
      <c r="HR64" t="e">
        <f>AND('Planilla_General_07-12-2012_8_3'!P962,"AAAAAH1vaeE=")</f>
        <v>#VALUE!</v>
      </c>
      <c r="HS64">
        <f>IF('Planilla_General_07-12-2012_8_3'!963:963,"AAAAAH1vaeI=",0)</f>
        <v>0</v>
      </c>
      <c r="HT64" t="e">
        <f>AND('Planilla_General_07-12-2012_8_3'!A963,"AAAAAH1vaeM=")</f>
        <v>#VALUE!</v>
      </c>
      <c r="HU64" t="e">
        <f>AND('Planilla_General_07-12-2012_8_3'!B963,"AAAAAH1vaeQ=")</f>
        <v>#VALUE!</v>
      </c>
      <c r="HV64" t="e">
        <f>AND('Planilla_General_07-12-2012_8_3'!C963,"AAAAAH1vaeU=")</f>
        <v>#VALUE!</v>
      </c>
      <c r="HW64" t="e">
        <f>AND('Planilla_General_07-12-2012_8_3'!D963,"AAAAAH1vaeY=")</f>
        <v>#VALUE!</v>
      </c>
      <c r="HX64" t="e">
        <f>AND('Planilla_General_07-12-2012_8_3'!E963,"AAAAAH1vaec=")</f>
        <v>#VALUE!</v>
      </c>
      <c r="HY64" t="e">
        <f>AND('Planilla_General_07-12-2012_8_3'!F963,"AAAAAH1vaeg=")</f>
        <v>#VALUE!</v>
      </c>
      <c r="HZ64" t="e">
        <f>AND('Planilla_General_07-12-2012_8_3'!G963,"AAAAAH1vaek=")</f>
        <v>#VALUE!</v>
      </c>
      <c r="IA64" t="e">
        <f>AND('Planilla_General_07-12-2012_8_3'!H963,"AAAAAH1vaeo=")</f>
        <v>#VALUE!</v>
      </c>
      <c r="IB64" t="e">
        <f>AND('Planilla_General_07-12-2012_8_3'!I963,"AAAAAH1vaes=")</f>
        <v>#VALUE!</v>
      </c>
      <c r="IC64" t="e">
        <f>AND('Planilla_General_07-12-2012_8_3'!J963,"AAAAAH1vaew=")</f>
        <v>#VALUE!</v>
      </c>
      <c r="ID64" t="e">
        <f>AND('Planilla_General_07-12-2012_8_3'!K963,"AAAAAH1vae0=")</f>
        <v>#VALUE!</v>
      </c>
      <c r="IE64" t="e">
        <f>AND('Planilla_General_07-12-2012_8_3'!L963,"AAAAAH1vae4=")</f>
        <v>#VALUE!</v>
      </c>
      <c r="IF64" t="e">
        <f>AND('Planilla_General_07-12-2012_8_3'!M963,"AAAAAH1vae8=")</f>
        <v>#VALUE!</v>
      </c>
      <c r="IG64" t="e">
        <f>AND('Planilla_General_07-12-2012_8_3'!N963,"AAAAAH1vafA=")</f>
        <v>#VALUE!</v>
      </c>
      <c r="IH64" t="e">
        <f>AND('Planilla_General_07-12-2012_8_3'!O963,"AAAAAH1vafE=")</f>
        <v>#VALUE!</v>
      </c>
      <c r="II64" t="e">
        <f>AND('Planilla_General_07-12-2012_8_3'!P963,"AAAAAH1vafI=")</f>
        <v>#VALUE!</v>
      </c>
      <c r="IJ64">
        <f>IF('Planilla_General_07-12-2012_8_3'!964:964,"AAAAAH1vafM=",0)</f>
        <v>0</v>
      </c>
      <c r="IK64" t="e">
        <f>AND('Planilla_General_07-12-2012_8_3'!A964,"AAAAAH1vafQ=")</f>
        <v>#VALUE!</v>
      </c>
      <c r="IL64" t="e">
        <f>AND('Planilla_General_07-12-2012_8_3'!B964,"AAAAAH1vafU=")</f>
        <v>#VALUE!</v>
      </c>
      <c r="IM64" t="e">
        <f>AND('Planilla_General_07-12-2012_8_3'!C964,"AAAAAH1vafY=")</f>
        <v>#VALUE!</v>
      </c>
      <c r="IN64" t="e">
        <f>AND('Planilla_General_07-12-2012_8_3'!D964,"AAAAAH1vafc=")</f>
        <v>#VALUE!</v>
      </c>
      <c r="IO64" t="e">
        <f>AND('Planilla_General_07-12-2012_8_3'!E964,"AAAAAH1vafg=")</f>
        <v>#VALUE!</v>
      </c>
      <c r="IP64" t="e">
        <f>AND('Planilla_General_07-12-2012_8_3'!F964,"AAAAAH1vafk=")</f>
        <v>#VALUE!</v>
      </c>
      <c r="IQ64" t="e">
        <f>AND('Planilla_General_07-12-2012_8_3'!G964,"AAAAAH1vafo=")</f>
        <v>#VALUE!</v>
      </c>
      <c r="IR64" t="e">
        <f>AND('Planilla_General_07-12-2012_8_3'!H964,"AAAAAH1vafs=")</f>
        <v>#VALUE!</v>
      </c>
      <c r="IS64" t="e">
        <f>AND('Planilla_General_07-12-2012_8_3'!I964,"AAAAAH1vafw=")</f>
        <v>#VALUE!</v>
      </c>
      <c r="IT64" t="e">
        <f>AND('Planilla_General_07-12-2012_8_3'!J964,"AAAAAH1vaf0=")</f>
        <v>#VALUE!</v>
      </c>
      <c r="IU64" t="e">
        <f>AND('Planilla_General_07-12-2012_8_3'!K964,"AAAAAH1vaf4=")</f>
        <v>#VALUE!</v>
      </c>
      <c r="IV64" t="e">
        <f>AND('Planilla_General_07-12-2012_8_3'!L964,"AAAAAH1vaf8=")</f>
        <v>#VALUE!</v>
      </c>
    </row>
    <row r="65" spans="1:256" x14ac:dyDescent="0.25">
      <c r="A65" t="e">
        <f>AND('Planilla_General_07-12-2012_8_3'!M964,"AAAAAH1uHAA=")</f>
        <v>#VALUE!</v>
      </c>
      <c r="B65" t="e">
        <f>AND('Planilla_General_07-12-2012_8_3'!N964,"AAAAAH1uHAE=")</f>
        <v>#VALUE!</v>
      </c>
      <c r="C65" t="e">
        <f>AND('Planilla_General_07-12-2012_8_3'!O964,"AAAAAH1uHAI=")</f>
        <v>#VALUE!</v>
      </c>
      <c r="D65" t="e">
        <f>AND('Planilla_General_07-12-2012_8_3'!P964,"AAAAAH1uHAM=")</f>
        <v>#VALUE!</v>
      </c>
      <c r="E65" t="e">
        <f>IF('Planilla_General_07-12-2012_8_3'!965:965,"AAAAAH1uHAQ=",0)</f>
        <v>#VALUE!</v>
      </c>
      <c r="F65" t="e">
        <f>AND('Planilla_General_07-12-2012_8_3'!A965,"AAAAAH1uHAU=")</f>
        <v>#VALUE!</v>
      </c>
      <c r="G65" t="e">
        <f>AND('Planilla_General_07-12-2012_8_3'!B965,"AAAAAH1uHAY=")</f>
        <v>#VALUE!</v>
      </c>
      <c r="H65" t="e">
        <f>AND('Planilla_General_07-12-2012_8_3'!C965,"AAAAAH1uHAc=")</f>
        <v>#VALUE!</v>
      </c>
      <c r="I65" t="e">
        <f>AND('Planilla_General_07-12-2012_8_3'!D965,"AAAAAH1uHAg=")</f>
        <v>#VALUE!</v>
      </c>
      <c r="J65" t="e">
        <f>AND('Planilla_General_07-12-2012_8_3'!E965,"AAAAAH1uHAk=")</f>
        <v>#VALUE!</v>
      </c>
      <c r="K65" t="e">
        <f>AND('Planilla_General_07-12-2012_8_3'!F965,"AAAAAH1uHAo=")</f>
        <v>#VALUE!</v>
      </c>
      <c r="L65" t="e">
        <f>AND('Planilla_General_07-12-2012_8_3'!G965,"AAAAAH1uHAs=")</f>
        <v>#VALUE!</v>
      </c>
      <c r="M65" t="e">
        <f>AND('Planilla_General_07-12-2012_8_3'!H965,"AAAAAH1uHAw=")</f>
        <v>#VALUE!</v>
      </c>
      <c r="N65" t="e">
        <f>AND('Planilla_General_07-12-2012_8_3'!I965,"AAAAAH1uHA0=")</f>
        <v>#VALUE!</v>
      </c>
      <c r="O65" t="e">
        <f>AND('Planilla_General_07-12-2012_8_3'!J965,"AAAAAH1uHA4=")</f>
        <v>#VALUE!</v>
      </c>
      <c r="P65" t="e">
        <f>AND('Planilla_General_07-12-2012_8_3'!K965,"AAAAAH1uHA8=")</f>
        <v>#VALUE!</v>
      </c>
      <c r="Q65" t="e">
        <f>AND('Planilla_General_07-12-2012_8_3'!L965,"AAAAAH1uHBA=")</f>
        <v>#VALUE!</v>
      </c>
      <c r="R65" t="e">
        <f>AND('Planilla_General_07-12-2012_8_3'!M965,"AAAAAH1uHBE=")</f>
        <v>#VALUE!</v>
      </c>
      <c r="S65" t="e">
        <f>AND('Planilla_General_07-12-2012_8_3'!N965,"AAAAAH1uHBI=")</f>
        <v>#VALUE!</v>
      </c>
      <c r="T65" t="e">
        <f>AND('Planilla_General_07-12-2012_8_3'!O965,"AAAAAH1uHBM=")</f>
        <v>#VALUE!</v>
      </c>
      <c r="U65" t="e">
        <f>AND('Planilla_General_07-12-2012_8_3'!P965,"AAAAAH1uHBQ=")</f>
        <v>#VALUE!</v>
      </c>
      <c r="V65">
        <f>IF('Planilla_General_07-12-2012_8_3'!966:966,"AAAAAH1uHBU=",0)</f>
        <v>0</v>
      </c>
      <c r="W65" t="e">
        <f>AND('Planilla_General_07-12-2012_8_3'!A966,"AAAAAH1uHBY=")</f>
        <v>#VALUE!</v>
      </c>
      <c r="X65" t="e">
        <f>AND('Planilla_General_07-12-2012_8_3'!B966,"AAAAAH1uHBc=")</f>
        <v>#VALUE!</v>
      </c>
      <c r="Y65" t="e">
        <f>AND('Planilla_General_07-12-2012_8_3'!C966,"AAAAAH1uHBg=")</f>
        <v>#VALUE!</v>
      </c>
      <c r="Z65" t="e">
        <f>AND('Planilla_General_07-12-2012_8_3'!D966,"AAAAAH1uHBk=")</f>
        <v>#VALUE!</v>
      </c>
      <c r="AA65" t="e">
        <f>AND('Planilla_General_07-12-2012_8_3'!E966,"AAAAAH1uHBo=")</f>
        <v>#VALUE!</v>
      </c>
      <c r="AB65" t="e">
        <f>AND('Planilla_General_07-12-2012_8_3'!F966,"AAAAAH1uHBs=")</f>
        <v>#VALUE!</v>
      </c>
      <c r="AC65" t="e">
        <f>AND('Planilla_General_07-12-2012_8_3'!G966,"AAAAAH1uHBw=")</f>
        <v>#VALUE!</v>
      </c>
      <c r="AD65" t="e">
        <f>AND('Planilla_General_07-12-2012_8_3'!H966,"AAAAAH1uHB0=")</f>
        <v>#VALUE!</v>
      </c>
      <c r="AE65" t="e">
        <f>AND('Planilla_General_07-12-2012_8_3'!I966,"AAAAAH1uHB4=")</f>
        <v>#VALUE!</v>
      </c>
      <c r="AF65" t="e">
        <f>AND('Planilla_General_07-12-2012_8_3'!J966,"AAAAAH1uHB8=")</f>
        <v>#VALUE!</v>
      </c>
      <c r="AG65" t="e">
        <f>AND('Planilla_General_07-12-2012_8_3'!K966,"AAAAAH1uHCA=")</f>
        <v>#VALUE!</v>
      </c>
      <c r="AH65" t="e">
        <f>AND('Planilla_General_07-12-2012_8_3'!L966,"AAAAAH1uHCE=")</f>
        <v>#VALUE!</v>
      </c>
      <c r="AI65" t="e">
        <f>AND('Planilla_General_07-12-2012_8_3'!M966,"AAAAAH1uHCI=")</f>
        <v>#VALUE!</v>
      </c>
      <c r="AJ65" t="e">
        <f>AND('Planilla_General_07-12-2012_8_3'!N966,"AAAAAH1uHCM=")</f>
        <v>#VALUE!</v>
      </c>
      <c r="AK65" t="e">
        <f>AND('Planilla_General_07-12-2012_8_3'!O966,"AAAAAH1uHCQ=")</f>
        <v>#VALUE!</v>
      </c>
      <c r="AL65" t="e">
        <f>AND('Planilla_General_07-12-2012_8_3'!P966,"AAAAAH1uHCU=")</f>
        <v>#VALUE!</v>
      </c>
      <c r="AM65">
        <f>IF('Planilla_General_07-12-2012_8_3'!967:967,"AAAAAH1uHCY=",0)</f>
        <v>0</v>
      </c>
      <c r="AN65" t="e">
        <f>AND('Planilla_General_07-12-2012_8_3'!A967,"AAAAAH1uHCc=")</f>
        <v>#VALUE!</v>
      </c>
      <c r="AO65" t="e">
        <f>AND('Planilla_General_07-12-2012_8_3'!B967,"AAAAAH1uHCg=")</f>
        <v>#VALUE!</v>
      </c>
      <c r="AP65" t="e">
        <f>AND('Planilla_General_07-12-2012_8_3'!C967,"AAAAAH1uHCk=")</f>
        <v>#VALUE!</v>
      </c>
      <c r="AQ65" t="e">
        <f>AND('Planilla_General_07-12-2012_8_3'!D967,"AAAAAH1uHCo=")</f>
        <v>#VALUE!</v>
      </c>
      <c r="AR65" t="e">
        <f>AND('Planilla_General_07-12-2012_8_3'!E967,"AAAAAH1uHCs=")</f>
        <v>#VALUE!</v>
      </c>
      <c r="AS65" t="e">
        <f>AND('Planilla_General_07-12-2012_8_3'!F967,"AAAAAH1uHCw=")</f>
        <v>#VALUE!</v>
      </c>
      <c r="AT65" t="e">
        <f>AND('Planilla_General_07-12-2012_8_3'!G967,"AAAAAH1uHC0=")</f>
        <v>#VALUE!</v>
      </c>
      <c r="AU65" t="e">
        <f>AND('Planilla_General_07-12-2012_8_3'!H967,"AAAAAH1uHC4=")</f>
        <v>#VALUE!</v>
      </c>
      <c r="AV65" t="e">
        <f>AND('Planilla_General_07-12-2012_8_3'!I967,"AAAAAH1uHC8=")</f>
        <v>#VALUE!</v>
      </c>
      <c r="AW65" t="e">
        <f>AND('Planilla_General_07-12-2012_8_3'!J967,"AAAAAH1uHDA=")</f>
        <v>#VALUE!</v>
      </c>
      <c r="AX65" t="e">
        <f>AND('Planilla_General_07-12-2012_8_3'!K967,"AAAAAH1uHDE=")</f>
        <v>#VALUE!</v>
      </c>
      <c r="AY65" t="e">
        <f>AND('Planilla_General_07-12-2012_8_3'!L967,"AAAAAH1uHDI=")</f>
        <v>#VALUE!</v>
      </c>
      <c r="AZ65" t="e">
        <f>AND('Planilla_General_07-12-2012_8_3'!M967,"AAAAAH1uHDM=")</f>
        <v>#VALUE!</v>
      </c>
      <c r="BA65" t="e">
        <f>AND('Planilla_General_07-12-2012_8_3'!N967,"AAAAAH1uHDQ=")</f>
        <v>#VALUE!</v>
      </c>
      <c r="BB65" t="e">
        <f>AND('Planilla_General_07-12-2012_8_3'!O967,"AAAAAH1uHDU=")</f>
        <v>#VALUE!</v>
      </c>
      <c r="BC65" t="e">
        <f>AND('Planilla_General_07-12-2012_8_3'!P967,"AAAAAH1uHDY=")</f>
        <v>#VALUE!</v>
      </c>
      <c r="BD65">
        <f>IF('Planilla_General_07-12-2012_8_3'!968:968,"AAAAAH1uHDc=",0)</f>
        <v>0</v>
      </c>
      <c r="BE65" t="e">
        <f>AND('Planilla_General_07-12-2012_8_3'!A968,"AAAAAH1uHDg=")</f>
        <v>#VALUE!</v>
      </c>
      <c r="BF65" t="e">
        <f>AND('Planilla_General_07-12-2012_8_3'!B968,"AAAAAH1uHDk=")</f>
        <v>#VALUE!</v>
      </c>
      <c r="BG65" t="e">
        <f>AND('Planilla_General_07-12-2012_8_3'!C968,"AAAAAH1uHDo=")</f>
        <v>#VALUE!</v>
      </c>
      <c r="BH65" t="e">
        <f>AND('Planilla_General_07-12-2012_8_3'!D968,"AAAAAH1uHDs=")</f>
        <v>#VALUE!</v>
      </c>
      <c r="BI65" t="e">
        <f>AND('Planilla_General_07-12-2012_8_3'!E968,"AAAAAH1uHDw=")</f>
        <v>#VALUE!</v>
      </c>
      <c r="BJ65" t="e">
        <f>AND('Planilla_General_07-12-2012_8_3'!F968,"AAAAAH1uHD0=")</f>
        <v>#VALUE!</v>
      </c>
      <c r="BK65" t="e">
        <f>AND('Planilla_General_07-12-2012_8_3'!G968,"AAAAAH1uHD4=")</f>
        <v>#VALUE!</v>
      </c>
      <c r="BL65" t="e">
        <f>AND('Planilla_General_07-12-2012_8_3'!H968,"AAAAAH1uHD8=")</f>
        <v>#VALUE!</v>
      </c>
      <c r="BM65" t="e">
        <f>AND('Planilla_General_07-12-2012_8_3'!I968,"AAAAAH1uHEA=")</f>
        <v>#VALUE!</v>
      </c>
      <c r="BN65" t="e">
        <f>AND('Planilla_General_07-12-2012_8_3'!J968,"AAAAAH1uHEE=")</f>
        <v>#VALUE!</v>
      </c>
      <c r="BO65" t="e">
        <f>AND('Planilla_General_07-12-2012_8_3'!K968,"AAAAAH1uHEI=")</f>
        <v>#VALUE!</v>
      </c>
      <c r="BP65" t="e">
        <f>AND('Planilla_General_07-12-2012_8_3'!L968,"AAAAAH1uHEM=")</f>
        <v>#VALUE!</v>
      </c>
      <c r="BQ65" t="e">
        <f>AND('Planilla_General_07-12-2012_8_3'!M968,"AAAAAH1uHEQ=")</f>
        <v>#VALUE!</v>
      </c>
      <c r="BR65" t="e">
        <f>AND('Planilla_General_07-12-2012_8_3'!N968,"AAAAAH1uHEU=")</f>
        <v>#VALUE!</v>
      </c>
      <c r="BS65" t="e">
        <f>AND('Planilla_General_07-12-2012_8_3'!O968,"AAAAAH1uHEY=")</f>
        <v>#VALUE!</v>
      </c>
      <c r="BT65" t="e">
        <f>AND('Planilla_General_07-12-2012_8_3'!P968,"AAAAAH1uHEc=")</f>
        <v>#VALUE!</v>
      </c>
      <c r="BU65">
        <f>IF('Planilla_General_07-12-2012_8_3'!969:969,"AAAAAH1uHEg=",0)</f>
        <v>0</v>
      </c>
      <c r="BV65" t="e">
        <f>AND('Planilla_General_07-12-2012_8_3'!A969,"AAAAAH1uHEk=")</f>
        <v>#VALUE!</v>
      </c>
      <c r="BW65" t="e">
        <f>AND('Planilla_General_07-12-2012_8_3'!B969,"AAAAAH1uHEo=")</f>
        <v>#VALUE!</v>
      </c>
      <c r="BX65" t="e">
        <f>AND('Planilla_General_07-12-2012_8_3'!C969,"AAAAAH1uHEs=")</f>
        <v>#VALUE!</v>
      </c>
      <c r="BY65" t="e">
        <f>AND('Planilla_General_07-12-2012_8_3'!D969,"AAAAAH1uHEw=")</f>
        <v>#VALUE!</v>
      </c>
      <c r="BZ65" t="e">
        <f>AND('Planilla_General_07-12-2012_8_3'!E969,"AAAAAH1uHE0=")</f>
        <v>#VALUE!</v>
      </c>
      <c r="CA65" t="e">
        <f>AND('Planilla_General_07-12-2012_8_3'!F969,"AAAAAH1uHE4=")</f>
        <v>#VALUE!</v>
      </c>
      <c r="CB65" t="e">
        <f>AND('Planilla_General_07-12-2012_8_3'!G969,"AAAAAH1uHE8=")</f>
        <v>#VALUE!</v>
      </c>
      <c r="CC65" t="e">
        <f>AND('Planilla_General_07-12-2012_8_3'!H969,"AAAAAH1uHFA=")</f>
        <v>#VALUE!</v>
      </c>
      <c r="CD65" t="e">
        <f>AND('Planilla_General_07-12-2012_8_3'!I969,"AAAAAH1uHFE=")</f>
        <v>#VALUE!</v>
      </c>
      <c r="CE65" t="e">
        <f>AND('Planilla_General_07-12-2012_8_3'!J969,"AAAAAH1uHFI=")</f>
        <v>#VALUE!</v>
      </c>
      <c r="CF65" t="e">
        <f>AND('Planilla_General_07-12-2012_8_3'!K969,"AAAAAH1uHFM=")</f>
        <v>#VALUE!</v>
      </c>
      <c r="CG65" t="e">
        <f>AND('Planilla_General_07-12-2012_8_3'!L969,"AAAAAH1uHFQ=")</f>
        <v>#VALUE!</v>
      </c>
      <c r="CH65" t="e">
        <f>AND('Planilla_General_07-12-2012_8_3'!M969,"AAAAAH1uHFU=")</f>
        <v>#VALUE!</v>
      </c>
      <c r="CI65" t="e">
        <f>AND('Planilla_General_07-12-2012_8_3'!N969,"AAAAAH1uHFY=")</f>
        <v>#VALUE!</v>
      </c>
      <c r="CJ65" t="e">
        <f>AND('Planilla_General_07-12-2012_8_3'!O969,"AAAAAH1uHFc=")</f>
        <v>#VALUE!</v>
      </c>
      <c r="CK65" t="e">
        <f>AND('Planilla_General_07-12-2012_8_3'!P969,"AAAAAH1uHFg=")</f>
        <v>#VALUE!</v>
      </c>
      <c r="CL65">
        <f>IF('Planilla_General_07-12-2012_8_3'!970:970,"AAAAAH1uHFk=",0)</f>
        <v>0</v>
      </c>
      <c r="CM65" t="e">
        <f>AND('Planilla_General_07-12-2012_8_3'!A970,"AAAAAH1uHFo=")</f>
        <v>#VALUE!</v>
      </c>
      <c r="CN65" t="e">
        <f>AND('Planilla_General_07-12-2012_8_3'!B970,"AAAAAH1uHFs=")</f>
        <v>#VALUE!</v>
      </c>
      <c r="CO65" t="e">
        <f>AND('Planilla_General_07-12-2012_8_3'!C970,"AAAAAH1uHFw=")</f>
        <v>#VALUE!</v>
      </c>
      <c r="CP65" t="e">
        <f>AND('Planilla_General_07-12-2012_8_3'!D970,"AAAAAH1uHF0=")</f>
        <v>#VALUE!</v>
      </c>
      <c r="CQ65" t="e">
        <f>AND('Planilla_General_07-12-2012_8_3'!E970,"AAAAAH1uHF4=")</f>
        <v>#VALUE!</v>
      </c>
      <c r="CR65" t="e">
        <f>AND('Planilla_General_07-12-2012_8_3'!F970,"AAAAAH1uHF8=")</f>
        <v>#VALUE!</v>
      </c>
      <c r="CS65" t="e">
        <f>AND('Planilla_General_07-12-2012_8_3'!G970,"AAAAAH1uHGA=")</f>
        <v>#VALUE!</v>
      </c>
      <c r="CT65" t="e">
        <f>AND('Planilla_General_07-12-2012_8_3'!H970,"AAAAAH1uHGE=")</f>
        <v>#VALUE!</v>
      </c>
      <c r="CU65" t="e">
        <f>AND('Planilla_General_07-12-2012_8_3'!I970,"AAAAAH1uHGI=")</f>
        <v>#VALUE!</v>
      </c>
      <c r="CV65" t="e">
        <f>AND('Planilla_General_07-12-2012_8_3'!J970,"AAAAAH1uHGM=")</f>
        <v>#VALUE!</v>
      </c>
      <c r="CW65" t="e">
        <f>AND('Planilla_General_07-12-2012_8_3'!K970,"AAAAAH1uHGQ=")</f>
        <v>#VALUE!</v>
      </c>
      <c r="CX65" t="e">
        <f>AND('Planilla_General_07-12-2012_8_3'!L970,"AAAAAH1uHGU=")</f>
        <v>#VALUE!</v>
      </c>
      <c r="CY65" t="e">
        <f>AND('Planilla_General_07-12-2012_8_3'!M970,"AAAAAH1uHGY=")</f>
        <v>#VALUE!</v>
      </c>
      <c r="CZ65" t="e">
        <f>AND('Planilla_General_07-12-2012_8_3'!N970,"AAAAAH1uHGc=")</f>
        <v>#VALUE!</v>
      </c>
      <c r="DA65" t="e">
        <f>AND('Planilla_General_07-12-2012_8_3'!O970,"AAAAAH1uHGg=")</f>
        <v>#VALUE!</v>
      </c>
      <c r="DB65" t="e">
        <f>AND('Planilla_General_07-12-2012_8_3'!P970,"AAAAAH1uHGk=")</f>
        <v>#VALUE!</v>
      </c>
      <c r="DC65">
        <f>IF('Planilla_General_07-12-2012_8_3'!971:971,"AAAAAH1uHGo=",0)</f>
        <v>0</v>
      </c>
      <c r="DD65" t="e">
        <f>AND('Planilla_General_07-12-2012_8_3'!A971,"AAAAAH1uHGs=")</f>
        <v>#VALUE!</v>
      </c>
      <c r="DE65" t="e">
        <f>AND('Planilla_General_07-12-2012_8_3'!B971,"AAAAAH1uHGw=")</f>
        <v>#VALUE!</v>
      </c>
      <c r="DF65" t="e">
        <f>AND('Planilla_General_07-12-2012_8_3'!C971,"AAAAAH1uHG0=")</f>
        <v>#VALUE!</v>
      </c>
      <c r="DG65" t="e">
        <f>AND('Planilla_General_07-12-2012_8_3'!D971,"AAAAAH1uHG4=")</f>
        <v>#VALUE!</v>
      </c>
      <c r="DH65" t="e">
        <f>AND('Planilla_General_07-12-2012_8_3'!E971,"AAAAAH1uHG8=")</f>
        <v>#VALUE!</v>
      </c>
      <c r="DI65" t="e">
        <f>AND('Planilla_General_07-12-2012_8_3'!F971,"AAAAAH1uHHA=")</f>
        <v>#VALUE!</v>
      </c>
      <c r="DJ65" t="e">
        <f>AND('Planilla_General_07-12-2012_8_3'!G971,"AAAAAH1uHHE=")</f>
        <v>#VALUE!</v>
      </c>
      <c r="DK65" t="e">
        <f>AND('Planilla_General_07-12-2012_8_3'!H971,"AAAAAH1uHHI=")</f>
        <v>#VALUE!</v>
      </c>
      <c r="DL65" t="e">
        <f>AND('Planilla_General_07-12-2012_8_3'!I971,"AAAAAH1uHHM=")</f>
        <v>#VALUE!</v>
      </c>
      <c r="DM65" t="e">
        <f>AND('Planilla_General_07-12-2012_8_3'!J971,"AAAAAH1uHHQ=")</f>
        <v>#VALUE!</v>
      </c>
      <c r="DN65" t="e">
        <f>AND('Planilla_General_07-12-2012_8_3'!K971,"AAAAAH1uHHU=")</f>
        <v>#VALUE!</v>
      </c>
      <c r="DO65" t="e">
        <f>AND('Planilla_General_07-12-2012_8_3'!L971,"AAAAAH1uHHY=")</f>
        <v>#VALUE!</v>
      </c>
      <c r="DP65" t="e">
        <f>AND('Planilla_General_07-12-2012_8_3'!M971,"AAAAAH1uHHc=")</f>
        <v>#VALUE!</v>
      </c>
      <c r="DQ65" t="e">
        <f>AND('Planilla_General_07-12-2012_8_3'!N971,"AAAAAH1uHHg=")</f>
        <v>#VALUE!</v>
      </c>
      <c r="DR65" t="e">
        <f>AND('Planilla_General_07-12-2012_8_3'!O971,"AAAAAH1uHHk=")</f>
        <v>#VALUE!</v>
      </c>
      <c r="DS65" t="e">
        <f>AND('Planilla_General_07-12-2012_8_3'!P971,"AAAAAH1uHHo=")</f>
        <v>#VALUE!</v>
      </c>
      <c r="DT65">
        <f>IF('Planilla_General_07-12-2012_8_3'!972:972,"AAAAAH1uHHs=",0)</f>
        <v>0</v>
      </c>
      <c r="DU65" t="e">
        <f>AND('Planilla_General_07-12-2012_8_3'!A972,"AAAAAH1uHHw=")</f>
        <v>#VALUE!</v>
      </c>
      <c r="DV65" t="e">
        <f>AND('Planilla_General_07-12-2012_8_3'!B972,"AAAAAH1uHH0=")</f>
        <v>#VALUE!</v>
      </c>
      <c r="DW65" t="e">
        <f>AND('Planilla_General_07-12-2012_8_3'!C972,"AAAAAH1uHH4=")</f>
        <v>#VALUE!</v>
      </c>
      <c r="DX65" t="e">
        <f>AND('Planilla_General_07-12-2012_8_3'!D972,"AAAAAH1uHH8=")</f>
        <v>#VALUE!</v>
      </c>
      <c r="DY65" t="e">
        <f>AND('Planilla_General_07-12-2012_8_3'!E972,"AAAAAH1uHIA=")</f>
        <v>#VALUE!</v>
      </c>
      <c r="DZ65" t="e">
        <f>AND('Planilla_General_07-12-2012_8_3'!F972,"AAAAAH1uHIE=")</f>
        <v>#VALUE!</v>
      </c>
      <c r="EA65" t="e">
        <f>AND('Planilla_General_07-12-2012_8_3'!G972,"AAAAAH1uHII=")</f>
        <v>#VALUE!</v>
      </c>
      <c r="EB65" t="e">
        <f>AND('Planilla_General_07-12-2012_8_3'!H972,"AAAAAH1uHIM=")</f>
        <v>#VALUE!</v>
      </c>
      <c r="EC65" t="e">
        <f>AND('Planilla_General_07-12-2012_8_3'!I972,"AAAAAH1uHIQ=")</f>
        <v>#VALUE!</v>
      </c>
      <c r="ED65" t="e">
        <f>AND('Planilla_General_07-12-2012_8_3'!J972,"AAAAAH1uHIU=")</f>
        <v>#VALUE!</v>
      </c>
      <c r="EE65" t="e">
        <f>AND('Planilla_General_07-12-2012_8_3'!K972,"AAAAAH1uHIY=")</f>
        <v>#VALUE!</v>
      </c>
      <c r="EF65" t="e">
        <f>AND('Planilla_General_07-12-2012_8_3'!L972,"AAAAAH1uHIc=")</f>
        <v>#VALUE!</v>
      </c>
      <c r="EG65" t="e">
        <f>AND('Planilla_General_07-12-2012_8_3'!M972,"AAAAAH1uHIg=")</f>
        <v>#VALUE!</v>
      </c>
      <c r="EH65" t="e">
        <f>AND('Planilla_General_07-12-2012_8_3'!N972,"AAAAAH1uHIk=")</f>
        <v>#VALUE!</v>
      </c>
      <c r="EI65" t="e">
        <f>AND('Planilla_General_07-12-2012_8_3'!O972,"AAAAAH1uHIo=")</f>
        <v>#VALUE!</v>
      </c>
      <c r="EJ65" t="e">
        <f>AND('Planilla_General_07-12-2012_8_3'!P972,"AAAAAH1uHIs=")</f>
        <v>#VALUE!</v>
      </c>
      <c r="EK65">
        <f>IF('Planilla_General_07-12-2012_8_3'!973:973,"AAAAAH1uHIw=",0)</f>
        <v>0</v>
      </c>
      <c r="EL65" t="e">
        <f>AND('Planilla_General_07-12-2012_8_3'!A973,"AAAAAH1uHI0=")</f>
        <v>#VALUE!</v>
      </c>
      <c r="EM65" t="e">
        <f>AND('Planilla_General_07-12-2012_8_3'!B973,"AAAAAH1uHI4=")</f>
        <v>#VALUE!</v>
      </c>
      <c r="EN65" t="e">
        <f>AND('Planilla_General_07-12-2012_8_3'!C973,"AAAAAH1uHI8=")</f>
        <v>#VALUE!</v>
      </c>
      <c r="EO65" t="e">
        <f>AND('Planilla_General_07-12-2012_8_3'!D973,"AAAAAH1uHJA=")</f>
        <v>#VALUE!</v>
      </c>
      <c r="EP65" t="e">
        <f>AND('Planilla_General_07-12-2012_8_3'!E973,"AAAAAH1uHJE=")</f>
        <v>#VALUE!</v>
      </c>
      <c r="EQ65" t="e">
        <f>AND('Planilla_General_07-12-2012_8_3'!F973,"AAAAAH1uHJI=")</f>
        <v>#VALUE!</v>
      </c>
      <c r="ER65" t="e">
        <f>AND('Planilla_General_07-12-2012_8_3'!G973,"AAAAAH1uHJM=")</f>
        <v>#VALUE!</v>
      </c>
      <c r="ES65" t="e">
        <f>AND('Planilla_General_07-12-2012_8_3'!H973,"AAAAAH1uHJQ=")</f>
        <v>#VALUE!</v>
      </c>
      <c r="ET65" t="e">
        <f>AND('Planilla_General_07-12-2012_8_3'!I973,"AAAAAH1uHJU=")</f>
        <v>#VALUE!</v>
      </c>
      <c r="EU65" t="e">
        <f>AND('Planilla_General_07-12-2012_8_3'!J973,"AAAAAH1uHJY=")</f>
        <v>#VALUE!</v>
      </c>
      <c r="EV65" t="e">
        <f>AND('Planilla_General_07-12-2012_8_3'!K973,"AAAAAH1uHJc=")</f>
        <v>#VALUE!</v>
      </c>
      <c r="EW65" t="e">
        <f>AND('Planilla_General_07-12-2012_8_3'!L973,"AAAAAH1uHJg=")</f>
        <v>#VALUE!</v>
      </c>
      <c r="EX65" t="e">
        <f>AND('Planilla_General_07-12-2012_8_3'!M973,"AAAAAH1uHJk=")</f>
        <v>#VALUE!</v>
      </c>
      <c r="EY65" t="e">
        <f>AND('Planilla_General_07-12-2012_8_3'!N973,"AAAAAH1uHJo=")</f>
        <v>#VALUE!</v>
      </c>
      <c r="EZ65" t="e">
        <f>AND('Planilla_General_07-12-2012_8_3'!O973,"AAAAAH1uHJs=")</f>
        <v>#VALUE!</v>
      </c>
      <c r="FA65" t="e">
        <f>AND('Planilla_General_07-12-2012_8_3'!P973,"AAAAAH1uHJw=")</f>
        <v>#VALUE!</v>
      </c>
      <c r="FB65">
        <f>IF('Planilla_General_07-12-2012_8_3'!974:974,"AAAAAH1uHJ0=",0)</f>
        <v>0</v>
      </c>
      <c r="FC65" t="e">
        <f>AND('Planilla_General_07-12-2012_8_3'!A974,"AAAAAH1uHJ4=")</f>
        <v>#VALUE!</v>
      </c>
      <c r="FD65" t="e">
        <f>AND('Planilla_General_07-12-2012_8_3'!B974,"AAAAAH1uHJ8=")</f>
        <v>#VALUE!</v>
      </c>
      <c r="FE65" t="e">
        <f>AND('Planilla_General_07-12-2012_8_3'!C974,"AAAAAH1uHKA=")</f>
        <v>#VALUE!</v>
      </c>
      <c r="FF65" t="e">
        <f>AND('Planilla_General_07-12-2012_8_3'!D974,"AAAAAH1uHKE=")</f>
        <v>#VALUE!</v>
      </c>
      <c r="FG65" t="e">
        <f>AND('Planilla_General_07-12-2012_8_3'!E974,"AAAAAH1uHKI=")</f>
        <v>#VALUE!</v>
      </c>
      <c r="FH65" t="e">
        <f>AND('Planilla_General_07-12-2012_8_3'!F974,"AAAAAH1uHKM=")</f>
        <v>#VALUE!</v>
      </c>
      <c r="FI65" t="e">
        <f>AND('Planilla_General_07-12-2012_8_3'!G974,"AAAAAH1uHKQ=")</f>
        <v>#VALUE!</v>
      </c>
      <c r="FJ65" t="e">
        <f>AND('Planilla_General_07-12-2012_8_3'!H974,"AAAAAH1uHKU=")</f>
        <v>#VALUE!</v>
      </c>
      <c r="FK65" t="e">
        <f>AND('Planilla_General_07-12-2012_8_3'!I974,"AAAAAH1uHKY=")</f>
        <v>#VALUE!</v>
      </c>
      <c r="FL65" t="e">
        <f>AND('Planilla_General_07-12-2012_8_3'!J974,"AAAAAH1uHKc=")</f>
        <v>#VALUE!</v>
      </c>
      <c r="FM65" t="e">
        <f>AND('Planilla_General_07-12-2012_8_3'!K974,"AAAAAH1uHKg=")</f>
        <v>#VALUE!</v>
      </c>
      <c r="FN65" t="e">
        <f>AND('Planilla_General_07-12-2012_8_3'!L974,"AAAAAH1uHKk=")</f>
        <v>#VALUE!</v>
      </c>
      <c r="FO65" t="e">
        <f>AND('Planilla_General_07-12-2012_8_3'!M974,"AAAAAH1uHKo=")</f>
        <v>#VALUE!</v>
      </c>
      <c r="FP65" t="e">
        <f>AND('Planilla_General_07-12-2012_8_3'!N974,"AAAAAH1uHKs=")</f>
        <v>#VALUE!</v>
      </c>
      <c r="FQ65" t="e">
        <f>AND('Planilla_General_07-12-2012_8_3'!O974,"AAAAAH1uHKw=")</f>
        <v>#VALUE!</v>
      </c>
      <c r="FR65" t="e">
        <f>AND('Planilla_General_07-12-2012_8_3'!P974,"AAAAAH1uHK0=")</f>
        <v>#VALUE!</v>
      </c>
      <c r="FS65">
        <f>IF('Planilla_General_07-12-2012_8_3'!975:975,"AAAAAH1uHK4=",0)</f>
        <v>0</v>
      </c>
      <c r="FT65" t="e">
        <f>AND('Planilla_General_07-12-2012_8_3'!A975,"AAAAAH1uHK8=")</f>
        <v>#VALUE!</v>
      </c>
      <c r="FU65" t="e">
        <f>AND('Planilla_General_07-12-2012_8_3'!B975,"AAAAAH1uHLA=")</f>
        <v>#VALUE!</v>
      </c>
      <c r="FV65" t="e">
        <f>AND('Planilla_General_07-12-2012_8_3'!C975,"AAAAAH1uHLE=")</f>
        <v>#VALUE!</v>
      </c>
      <c r="FW65" t="e">
        <f>AND('Planilla_General_07-12-2012_8_3'!D975,"AAAAAH1uHLI=")</f>
        <v>#VALUE!</v>
      </c>
      <c r="FX65" t="e">
        <f>AND('Planilla_General_07-12-2012_8_3'!E975,"AAAAAH1uHLM=")</f>
        <v>#VALUE!</v>
      </c>
      <c r="FY65" t="e">
        <f>AND('Planilla_General_07-12-2012_8_3'!F975,"AAAAAH1uHLQ=")</f>
        <v>#VALUE!</v>
      </c>
      <c r="FZ65" t="e">
        <f>AND('Planilla_General_07-12-2012_8_3'!G975,"AAAAAH1uHLU=")</f>
        <v>#VALUE!</v>
      </c>
      <c r="GA65" t="e">
        <f>AND('Planilla_General_07-12-2012_8_3'!H975,"AAAAAH1uHLY=")</f>
        <v>#VALUE!</v>
      </c>
      <c r="GB65" t="e">
        <f>AND('Planilla_General_07-12-2012_8_3'!I975,"AAAAAH1uHLc=")</f>
        <v>#VALUE!</v>
      </c>
      <c r="GC65" t="e">
        <f>AND('Planilla_General_07-12-2012_8_3'!J975,"AAAAAH1uHLg=")</f>
        <v>#VALUE!</v>
      </c>
      <c r="GD65" t="e">
        <f>AND('Planilla_General_07-12-2012_8_3'!K975,"AAAAAH1uHLk=")</f>
        <v>#VALUE!</v>
      </c>
      <c r="GE65" t="e">
        <f>AND('Planilla_General_07-12-2012_8_3'!L975,"AAAAAH1uHLo=")</f>
        <v>#VALUE!</v>
      </c>
      <c r="GF65" t="e">
        <f>AND('Planilla_General_07-12-2012_8_3'!M975,"AAAAAH1uHLs=")</f>
        <v>#VALUE!</v>
      </c>
      <c r="GG65" t="e">
        <f>AND('Planilla_General_07-12-2012_8_3'!N975,"AAAAAH1uHLw=")</f>
        <v>#VALUE!</v>
      </c>
      <c r="GH65" t="e">
        <f>AND('Planilla_General_07-12-2012_8_3'!O975,"AAAAAH1uHL0=")</f>
        <v>#VALUE!</v>
      </c>
      <c r="GI65" t="e">
        <f>AND('Planilla_General_07-12-2012_8_3'!P975,"AAAAAH1uHL4=")</f>
        <v>#VALUE!</v>
      </c>
      <c r="GJ65">
        <f>IF('Planilla_General_07-12-2012_8_3'!976:976,"AAAAAH1uHL8=",0)</f>
        <v>0</v>
      </c>
      <c r="GK65" t="e">
        <f>AND('Planilla_General_07-12-2012_8_3'!A976,"AAAAAH1uHMA=")</f>
        <v>#VALUE!</v>
      </c>
      <c r="GL65" t="e">
        <f>AND('Planilla_General_07-12-2012_8_3'!B976,"AAAAAH1uHME=")</f>
        <v>#VALUE!</v>
      </c>
      <c r="GM65" t="e">
        <f>AND('Planilla_General_07-12-2012_8_3'!C976,"AAAAAH1uHMI=")</f>
        <v>#VALUE!</v>
      </c>
      <c r="GN65" t="e">
        <f>AND('Planilla_General_07-12-2012_8_3'!D976,"AAAAAH1uHMM=")</f>
        <v>#VALUE!</v>
      </c>
      <c r="GO65" t="e">
        <f>AND('Planilla_General_07-12-2012_8_3'!E976,"AAAAAH1uHMQ=")</f>
        <v>#VALUE!</v>
      </c>
      <c r="GP65" t="e">
        <f>AND('Planilla_General_07-12-2012_8_3'!F976,"AAAAAH1uHMU=")</f>
        <v>#VALUE!</v>
      </c>
      <c r="GQ65" t="e">
        <f>AND('Planilla_General_07-12-2012_8_3'!G976,"AAAAAH1uHMY=")</f>
        <v>#VALUE!</v>
      </c>
      <c r="GR65" t="e">
        <f>AND('Planilla_General_07-12-2012_8_3'!H976,"AAAAAH1uHMc=")</f>
        <v>#VALUE!</v>
      </c>
      <c r="GS65" t="e">
        <f>AND('Planilla_General_07-12-2012_8_3'!I976,"AAAAAH1uHMg=")</f>
        <v>#VALUE!</v>
      </c>
      <c r="GT65" t="e">
        <f>AND('Planilla_General_07-12-2012_8_3'!J976,"AAAAAH1uHMk=")</f>
        <v>#VALUE!</v>
      </c>
      <c r="GU65" t="e">
        <f>AND('Planilla_General_07-12-2012_8_3'!K976,"AAAAAH1uHMo=")</f>
        <v>#VALUE!</v>
      </c>
      <c r="GV65" t="e">
        <f>AND('Planilla_General_07-12-2012_8_3'!L976,"AAAAAH1uHMs=")</f>
        <v>#VALUE!</v>
      </c>
      <c r="GW65" t="e">
        <f>AND('Planilla_General_07-12-2012_8_3'!M976,"AAAAAH1uHMw=")</f>
        <v>#VALUE!</v>
      </c>
      <c r="GX65" t="e">
        <f>AND('Planilla_General_07-12-2012_8_3'!N976,"AAAAAH1uHM0=")</f>
        <v>#VALUE!</v>
      </c>
      <c r="GY65" t="e">
        <f>AND('Planilla_General_07-12-2012_8_3'!O976,"AAAAAH1uHM4=")</f>
        <v>#VALUE!</v>
      </c>
      <c r="GZ65" t="e">
        <f>AND('Planilla_General_07-12-2012_8_3'!P976,"AAAAAH1uHM8=")</f>
        <v>#VALUE!</v>
      </c>
      <c r="HA65">
        <f>IF('Planilla_General_07-12-2012_8_3'!977:977,"AAAAAH1uHNA=",0)</f>
        <v>0</v>
      </c>
      <c r="HB65" t="e">
        <f>AND('Planilla_General_07-12-2012_8_3'!A977,"AAAAAH1uHNE=")</f>
        <v>#VALUE!</v>
      </c>
      <c r="HC65" t="e">
        <f>AND('Planilla_General_07-12-2012_8_3'!B977,"AAAAAH1uHNI=")</f>
        <v>#VALUE!</v>
      </c>
      <c r="HD65" t="e">
        <f>AND('Planilla_General_07-12-2012_8_3'!C977,"AAAAAH1uHNM=")</f>
        <v>#VALUE!</v>
      </c>
      <c r="HE65" t="e">
        <f>AND('Planilla_General_07-12-2012_8_3'!D977,"AAAAAH1uHNQ=")</f>
        <v>#VALUE!</v>
      </c>
      <c r="HF65" t="e">
        <f>AND('Planilla_General_07-12-2012_8_3'!E977,"AAAAAH1uHNU=")</f>
        <v>#VALUE!</v>
      </c>
      <c r="HG65" t="e">
        <f>AND('Planilla_General_07-12-2012_8_3'!F977,"AAAAAH1uHNY=")</f>
        <v>#VALUE!</v>
      </c>
      <c r="HH65" t="e">
        <f>AND('Planilla_General_07-12-2012_8_3'!G977,"AAAAAH1uHNc=")</f>
        <v>#VALUE!</v>
      </c>
      <c r="HI65" t="e">
        <f>AND('Planilla_General_07-12-2012_8_3'!H977,"AAAAAH1uHNg=")</f>
        <v>#VALUE!</v>
      </c>
      <c r="HJ65" t="e">
        <f>AND('Planilla_General_07-12-2012_8_3'!I977,"AAAAAH1uHNk=")</f>
        <v>#VALUE!</v>
      </c>
      <c r="HK65" t="e">
        <f>AND('Planilla_General_07-12-2012_8_3'!J977,"AAAAAH1uHNo=")</f>
        <v>#VALUE!</v>
      </c>
      <c r="HL65" t="e">
        <f>AND('Planilla_General_07-12-2012_8_3'!K977,"AAAAAH1uHNs=")</f>
        <v>#VALUE!</v>
      </c>
      <c r="HM65" t="e">
        <f>AND('Planilla_General_07-12-2012_8_3'!L977,"AAAAAH1uHNw=")</f>
        <v>#VALUE!</v>
      </c>
      <c r="HN65" t="e">
        <f>AND('Planilla_General_07-12-2012_8_3'!M977,"AAAAAH1uHN0=")</f>
        <v>#VALUE!</v>
      </c>
      <c r="HO65" t="e">
        <f>AND('Planilla_General_07-12-2012_8_3'!N977,"AAAAAH1uHN4=")</f>
        <v>#VALUE!</v>
      </c>
      <c r="HP65" t="e">
        <f>AND('Planilla_General_07-12-2012_8_3'!O977,"AAAAAH1uHN8=")</f>
        <v>#VALUE!</v>
      </c>
      <c r="HQ65" t="e">
        <f>AND('Planilla_General_07-12-2012_8_3'!P977,"AAAAAH1uHOA=")</f>
        <v>#VALUE!</v>
      </c>
      <c r="HR65">
        <f>IF('Planilla_General_07-12-2012_8_3'!978:978,"AAAAAH1uHOE=",0)</f>
        <v>0</v>
      </c>
      <c r="HS65" t="e">
        <f>AND('Planilla_General_07-12-2012_8_3'!A978,"AAAAAH1uHOI=")</f>
        <v>#VALUE!</v>
      </c>
      <c r="HT65" t="e">
        <f>AND('Planilla_General_07-12-2012_8_3'!B978,"AAAAAH1uHOM=")</f>
        <v>#VALUE!</v>
      </c>
      <c r="HU65" t="e">
        <f>AND('Planilla_General_07-12-2012_8_3'!C978,"AAAAAH1uHOQ=")</f>
        <v>#VALUE!</v>
      </c>
      <c r="HV65" t="e">
        <f>AND('Planilla_General_07-12-2012_8_3'!D978,"AAAAAH1uHOU=")</f>
        <v>#VALUE!</v>
      </c>
      <c r="HW65" t="e">
        <f>AND('Planilla_General_07-12-2012_8_3'!E978,"AAAAAH1uHOY=")</f>
        <v>#VALUE!</v>
      </c>
      <c r="HX65" t="e">
        <f>AND('Planilla_General_07-12-2012_8_3'!F978,"AAAAAH1uHOc=")</f>
        <v>#VALUE!</v>
      </c>
      <c r="HY65" t="e">
        <f>AND('Planilla_General_07-12-2012_8_3'!G978,"AAAAAH1uHOg=")</f>
        <v>#VALUE!</v>
      </c>
      <c r="HZ65" t="e">
        <f>AND('Planilla_General_07-12-2012_8_3'!H978,"AAAAAH1uHOk=")</f>
        <v>#VALUE!</v>
      </c>
      <c r="IA65" t="e">
        <f>AND('Planilla_General_07-12-2012_8_3'!I978,"AAAAAH1uHOo=")</f>
        <v>#VALUE!</v>
      </c>
      <c r="IB65" t="e">
        <f>AND('Planilla_General_07-12-2012_8_3'!J978,"AAAAAH1uHOs=")</f>
        <v>#VALUE!</v>
      </c>
      <c r="IC65" t="e">
        <f>AND('Planilla_General_07-12-2012_8_3'!K978,"AAAAAH1uHOw=")</f>
        <v>#VALUE!</v>
      </c>
      <c r="ID65" t="e">
        <f>AND('Planilla_General_07-12-2012_8_3'!L978,"AAAAAH1uHO0=")</f>
        <v>#VALUE!</v>
      </c>
      <c r="IE65" t="e">
        <f>AND('Planilla_General_07-12-2012_8_3'!M978,"AAAAAH1uHO4=")</f>
        <v>#VALUE!</v>
      </c>
      <c r="IF65" t="e">
        <f>AND('Planilla_General_07-12-2012_8_3'!N978,"AAAAAH1uHO8=")</f>
        <v>#VALUE!</v>
      </c>
      <c r="IG65" t="e">
        <f>AND('Planilla_General_07-12-2012_8_3'!O978,"AAAAAH1uHPA=")</f>
        <v>#VALUE!</v>
      </c>
      <c r="IH65" t="e">
        <f>AND('Planilla_General_07-12-2012_8_3'!P978,"AAAAAH1uHPE=")</f>
        <v>#VALUE!</v>
      </c>
      <c r="II65">
        <f>IF('Planilla_General_07-12-2012_8_3'!979:979,"AAAAAH1uHPI=",0)</f>
        <v>0</v>
      </c>
      <c r="IJ65" t="e">
        <f>AND('Planilla_General_07-12-2012_8_3'!A979,"AAAAAH1uHPM=")</f>
        <v>#VALUE!</v>
      </c>
      <c r="IK65" t="e">
        <f>AND('Planilla_General_07-12-2012_8_3'!B979,"AAAAAH1uHPQ=")</f>
        <v>#VALUE!</v>
      </c>
      <c r="IL65" t="e">
        <f>AND('Planilla_General_07-12-2012_8_3'!C979,"AAAAAH1uHPU=")</f>
        <v>#VALUE!</v>
      </c>
      <c r="IM65" t="e">
        <f>AND('Planilla_General_07-12-2012_8_3'!D979,"AAAAAH1uHPY=")</f>
        <v>#VALUE!</v>
      </c>
      <c r="IN65" t="e">
        <f>AND('Planilla_General_07-12-2012_8_3'!E979,"AAAAAH1uHPc=")</f>
        <v>#VALUE!</v>
      </c>
      <c r="IO65" t="e">
        <f>AND('Planilla_General_07-12-2012_8_3'!F979,"AAAAAH1uHPg=")</f>
        <v>#VALUE!</v>
      </c>
      <c r="IP65" t="e">
        <f>AND('Planilla_General_07-12-2012_8_3'!G979,"AAAAAH1uHPk=")</f>
        <v>#VALUE!</v>
      </c>
      <c r="IQ65" t="e">
        <f>AND('Planilla_General_07-12-2012_8_3'!H979,"AAAAAH1uHPo=")</f>
        <v>#VALUE!</v>
      </c>
      <c r="IR65" t="e">
        <f>AND('Planilla_General_07-12-2012_8_3'!I979,"AAAAAH1uHPs=")</f>
        <v>#VALUE!</v>
      </c>
      <c r="IS65" t="e">
        <f>AND('Planilla_General_07-12-2012_8_3'!J979,"AAAAAH1uHPw=")</f>
        <v>#VALUE!</v>
      </c>
      <c r="IT65" t="e">
        <f>AND('Planilla_General_07-12-2012_8_3'!K979,"AAAAAH1uHP0=")</f>
        <v>#VALUE!</v>
      </c>
      <c r="IU65" t="e">
        <f>AND('Planilla_General_07-12-2012_8_3'!L979,"AAAAAH1uHP4=")</f>
        <v>#VALUE!</v>
      </c>
      <c r="IV65" t="e">
        <f>AND('Planilla_General_07-12-2012_8_3'!M979,"AAAAAH1uHP8=")</f>
        <v>#VALUE!</v>
      </c>
    </row>
    <row r="66" spans="1:256" x14ac:dyDescent="0.25">
      <c r="A66" t="e">
        <f>AND('Planilla_General_07-12-2012_8_3'!N979,"AAAAAHv9vwA=")</f>
        <v>#VALUE!</v>
      </c>
      <c r="B66" t="e">
        <f>AND('Planilla_General_07-12-2012_8_3'!O979,"AAAAAHv9vwE=")</f>
        <v>#VALUE!</v>
      </c>
      <c r="C66" t="e">
        <f>AND('Planilla_General_07-12-2012_8_3'!P979,"AAAAAHv9vwI=")</f>
        <v>#VALUE!</v>
      </c>
      <c r="D66" t="e">
        <f>IF('Planilla_General_07-12-2012_8_3'!980:980,"AAAAAHv9vwM=",0)</f>
        <v>#VALUE!</v>
      </c>
      <c r="E66" t="e">
        <f>AND('Planilla_General_07-12-2012_8_3'!A980,"AAAAAHv9vwQ=")</f>
        <v>#VALUE!</v>
      </c>
      <c r="F66" t="e">
        <f>AND('Planilla_General_07-12-2012_8_3'!B980,"AAAAAHv9vwU=")</f>
        <v>#VALUE!</v>
      </c>
      <c r="G66" t="e">
        <f>AND('Planilla_General_07-12-2012_8_3'!C980,"AAAAAHv9vwY=")</f>
        <v>#VALUE!</v>
      </c>
      <c r="H66" t="e">
        <f>AND('Planilla_General_07-12-2012_8_3'!D980,"AAAAAHv9vwc=")</f>
        <v>#VALUE!</v>
      </c>
      <c r="I66" t="e">
        <f>AND('Planilla_General_07-12-2012_8_3'!E980,"AAAAAHv9vwg=")</f>
        <v>#VALUE!</v>
      </c>
      <c r="J66" t="e">
        <f>AND('Planilla_General_07-12-2012_8_3'!F980,"AAAAAHv9vwk=")</f>
        <v>#VALUE!</v>
      </c>
      <c r="K66" t="e">
        <f>AND('Planilla_General_07-12-2012_8_3'!G980,"AAAAAHv9vwo=")</f>
        <v>#VALUE!</v>
      </c>
      <c r="L66" t="e">
        <f>AND('Planilla_General_07-12-2012_8_3'!H980,"AAAAAHv9vws=")</f>
        <v>#VALUE!</v>
      </c>
      <c r="M66" t="e">
        <f>AND('Planilla_General_07-12-2012_8_3'!I980,"AAAAAHv9vww=")</f>
        <v>#VALUE!</v>
      </c>
      <c r="N66" t="e">
        <f>AND('Planilla_General_07-12-2012_8_3'!J980,"AAAAAHv9vw0=")</f>
        <v>#VALUE!</v>
      </c>
      <c r="O66" t="e">
        <f>AND('Planilla_General_07-12-2012_8_3'!K980,"AAAAAHv9vw4=")</f>
        <v>#VALUE!</v>
      </c>
      <c r="P66" t="e">
        <f>AND('Planilla_General_07-12-2012_8_3'!L980,"AAAAAHv9vw8=")</f>
        <v>#VALUE!</v>
      </c>
      <c r="Q66" t="e">
        <f>AND('Planilla_General_07-12-2012_8_3'!M980,"AAAAAHv9vxA=")</f>
        <v>#VALUE!</v>
      </c>
      <c r="R66" t="e">
        <f>AND('Planilla_General_07-12-2012_8_3'!N980,"AAAAAHv9vxE=")</f>
        <v>#VALUE!</v>
      </c>
      <c r="S66" t="e">
        <f>AND('Planilla_General_07-12-2012_8_3'!O980,"AAAAAHv9vxI=")</f>
        <v>#VALUE!</v>
      </c>
      <c r="T66" t="e">
        <f>AND('Planilla_General_07-12-2012_8_3'!P980,"AAAAAHv9vxM=")</f>
        <v>#VALUE!</v>
      </c>
      <c r="U66">
        <f>IF('Planilla_General_07-12-2012_8_3'!981:981,"AAAAAHv9vxQ=",0)</f>
        <v>0</v>
      </c>
      <c r="V66" t="e">
        <f>AND('Planilla_General_07-12-2012_8_3'!A981,"AAAAAHv9vxU=")</f>
        <v>#VALUE!</v>
      </c>
      <c r="W66" t="e">
        <f>AND('Planilla_General_07-12-2012_8_3'!B981,"AAAAAHv9vxY=")</f>
        <v>#VALUE!</v>
      </c>
      <c r="X66" t="e">
        <f>AND('Planilla_General_07-12-2012_8_3'!C981,"AAAAAHv9vxc=")</f>
        <v>#VALUE!</v>
      </c>
      <c r="Y66" t="e">
        <f>AND('Planilla_General_07-12-2012_8_3'!D981,"AAAAAHv9vxg=")</f>
        <v>#VALUE!</v>
      </c>
      <c r="Z66" t="e">
        <f>AND('Planilla_General_07-12-2012_8_3'!E981,"AAAAAHv9vxk=")</f>
        <v>#VALUE!</v>
      </c>
      <c r="AA66" t="e">
        <f>AND('Planilla_General_07-12-2012_8_3'!F981,"AAAAAHv9vxo=")</f>
        <v>#VALUE!</v>
      </c>
      <c r="AB66" t="e">
        <f>AND('Planilla_General_07-12-2012_8_3'!G981,"AAAAAHv9vxs=")</f>
        <v>#VALUE!</v>
      </c>
      <c r="AC66" t="e">
        <f>AND('Planilla_General_07-12-2012_8_3'!H981,"AAAAAHv9vxw=")</f>
        <v>#VALUE!</v>
      </c>
      <c r="AD66" t="e">
        <f>AND('Planilla_General_07-12-2012_8_3'!I981,"AAAAAHv9vx0=")</f>
        <v>#VALUE!</v>
      </c>
      <c r="AE66" t="e">
        <f>AND('Planilla_General_07-12-2012_8_3'!J981,"AAAAAHv9vx4=")</f>
        <v>#VALUE!</v>
      </c>
      <c r="AF66" t="e">
        <f>AND('Planilla_General_07-12-2012_8_3'!K981,"AAAAAHv9vx8=")</f>
        <v>#VALUE!</v>
      </c>
      <c r="AG66" t="e">
        <f>AND('Planilla_General_07-12-2012_8_3'!L981,"AAAAAHv9vyA=")</f>
        <v>#VALUE!</v>
      </c>
      <c r="AH66" t="e">
        <f>AND('Planilla_General_07-12-2012_8_3'!M981,"AAAAAHv9vyE=")</f>
        <v>#VALUE!</v>
      </c>
      <c r="AI66" t="e">
        <f>AND('Planilla_General_07-12-2012_8_3'!N981,"AAAAAHv9vyI=")</f>
        <v>#VALUE!</v>
      </c>
      <c r="AJ66" t="e">
        <f>AND('Planilla_General_07-12-2012_8_3'!O981,"AAAAAHv9vyM=")</f>
        <v>#VALUE!</v>
      </c>
      <c r="AK66" t="e">
        <f>AND('Planilla_General_07-12-2012_8_3'!P981,"AAAAAHv9vyQ=")</f>
        <v>#VALUE!</v>
      </c>
      <c r="AL66">
        <f>IF('Planilla_General_07-12-2012_8_3'!982:982,"AAAAAHv9vyU=",0)</f>
        <v>0</v>
      </c>
      <c r="AM66" t="e">
        <f>AND('Planilla_General_07-12-2012_8_3'!A982,"AAAAAHv9vyY=")</f>
        <v>#VALUE!</v>
      </c>
      <c r="AN66" t="e">
        <f>AND('Planilla_General_07-12-2012_8_3'!B982,"AAAAAHv9vyc=")</f>
        <v>#VALUE!</v>
      </c>
      <c r="AO66" t="e">
        <f>AND('Planilla_General_07-12-2012_8_3'!C982,"AAAAAHv9vyg=")</f>
        <v>#VALUE!</v>
      </c>
      <c r="AP66" t="e">
        <f>AND('Planilla_General_07-12-2012_8_3'!D982,"AAAAAHv9vyk=")</f>
        <v>#VALUE!</v>
      </c>
      <c r="AQ66" t="e">
        <f>AND('Planilla_General_07-12-2012_8_3'!E982,"AAAAAHv9vyo=")</f>
        <v>#VALUE!</v>
      </c>
      <c r="AR66" t="e">
        <f>AND('Planilla_General_07-12-2012_8_3'!F982,"AAAAAHv9vys=")</f>
        <v>#VALUE!</v>
      </c>
      <c r="AS66" t="e">
        <f>AND('Planilla_General_07-12-2012_8_3'!G982,"AAAAAHv9vyw=")</f>
        <v>#VALUE!</v>
      </c>
      <c r="AT66" t="e">
        <f>AND('Planilla_General_07-12-2012_8_3'!H982,"AAAAAHv9vy0=")</f>
        <v>#VALUE!</v>
      </c>
      <c r="AU66" t="e">
        <f>AND('Planilla_General_07-12-2012_8_3'!I982,"AAAAAHv9vy4=")</f>
        <v>#VALUE!</v>
      </c>
      <c r="AV66" t="e">
        <f>AND('Planilla_General_07-12-2012_8_3'!J982,"AAAAAHv9vy8=")</f>
        <v>#VALUE!</v>
      </c>
      <c r="AW66" t="e">
        <f>AND('Planilla_General_07-12-2012_8_3'!K982,"AAAAAHv9vzA=")</f>
        <v>#VALUE!</v>
      </c>
      <c r="AX66" t="e">
        <f>AND('Planilla_General_07-12-2012_8_3'!L982,"AAAAAHv9vzE=")</f>
        <v>#VALUE!</v>
      </c>
      <c r="AY66" t="e">
        <f>AND('Planilla_General_07-12-2012_8_3'!M982,"AAAAAHv9vzI=")</f>
        <v>#VALUE!</v>
      </c>
      <c r="AZ66" t="e">
        <f>AND('Planilla_General_07-12-2012_8_3'!N982,"AAAAAHv9vzM=")</f>
        <v>#VALUE!</v>
      </c>
      <c r="BA66" t="e">
        <f>AND('Planilla_General_07-12-2012_8_3'!O982,"AAAAAHv9vzQ=")</f>
        <v>#VALUE!</v>
      </c>
      <c r="BB66" t="e">
        <f>AND('Planilla_General_07-12-2012_8_3'!P982,"AAAAAHv9vzU=")</f>
        <v>#VALUE!</v>
      </c>
      <c r="BC66">
        <f>IF('Planilla_General_07-12-2012_8_3'!983:983,"AAAAAHv9vzY=",0)</f>
        <v>0</v>
      </c>
      <c r="BD66" t="e">
        <f>AND('Planilla_General_07-12-2012_8_3'!A983,"AAAAAHv9vzc=")</f>
        <v>#VALUE!</v>
      </c>
      <c r="BE66" t="e">
        <f>AND('Planilla_General_07-12-2012_8_3'!B983,"AAAAAHv9vzg=")</f>
        <v>#VALUE!</v>
      </c>
      <c r="BF66" t="e">
        <f>AND('Planilla_General_07-12-2012_8_3'!C983,"AAAAAHv9vzk=")</f>
        <v>#VALUE!</v>
      </c>
      <c r="BG66" t="e">
        <f>AND('Planilla_General_07-12-2012_8_3'!D983,"AAAAAHv9vzo=")</f>
        <v>#VALUE!</v>
      </c>
      <c r="BH66" t="e">
        <f>AND('Planilla_General_07-12-2012_8_3'!E983,"AAAAAHv9vzs=")</f>
        <v>#VALUE!</v>
      </c>
      <c r="BI66" t="e">
        <f>AND('Planilla_General_07-12-2012_8_3'!F983,"AAAAAHv9vzw=")</f>
        <v>#VALUE!</v>
      </c>
      <c r="BJ66" t="e">
        <f>AND('Planilla_General_07-12-2012_8_3'!G983,"AAAAAHv9vz0=")</f>
        <v>#VALUE!</v>
      </c>
      <c r="BK66" t="e">
        <f>AND('Planilla_General_07-12-2012_8_3'!H983,"AAAAAHv9vz4=")</f>
        <v>#VALUE!</v>
      </c>
      <c r="BL66" t="e">
        <f>AND('Planilla_General_07-12-2012_8_3'!I983,"AAAAAHv9vz8=")</f>
        <v>#VALUE!</v>
      </c>
      <c r="BM66" t="e">
        <f>AND('Planilla_General_07-12-2012_8_3'!J983,"AAAAAHv9v0A=")</f>
        <v>#VALUE!</v>
      </c>
      <c r="BN66" t="e">
        <f>AND('Planilla_General_07-12-2012_8_3'!K983,"AAAAAHv9v0E=")</f>
        <v>#VALUE!</v>
      </c>
      <c r="BO66" t="e">
        <f>AND('Planilla_General_07-12-2012_8_3'!L983,"AAAAAHv9v0I=")</f>
        <v>#VALUE!</v>
      </c>
      <c r="BP66" t="e">
        <f>AND('Planilla_General_07-12-2012_8_3'!M983,"AAAAAHv9v0M=")</f>
        <v>#VALUE!</v>
      </c>
      <c r="BQ66" t="e">
        <f>AND('Planilla_General_07-12-2012_8_3'!N983,"AAAAAHv9v0Q=")</f>
        <v>#VALUE!</v>
      </c>
      <c r="BR66" t="e">
        <f>AND('Planilla_General_07-12-2012_8_3'!O983,"AAAAAHv9v0U=")</f>
        <v>#VALUE!</v>
      </c>
      <c r="BS66" t="e">
        <f>AND('Planilla_General_07-12-2012_8_3'!P983,"AAAAAHv9v0Y=")</f>
        <v>#VALUE!</v>
      </c>
      <c r="BT66">
        <f>IF('Planilla_General_07-12-2012_8_3'!984:984,"AAAAAHv9v0c=",0)</f>
        <v>0</v>
      </c>
      <c r="BU66" t="e">
        <f>AND('Planilla_General_07-12-2012_8_3'!A984,"AAAAAHv9v0g=")</f>
        <v>#VALUE!</v>
      </c>
      <c r="BV66" t="e">
        <f>AND('Planilla_General_07-12-2012_8_3'!B984,"AAAAAHv9v0k=")</f>
        <v>#VALUE!</v>
      </c>
      <c r="BW66" t="e">
        <f>AND('Planilla_General_07-12-2012_8_3'!C984,"AAAAAHv9v0o=")</f>
        <v>#VALUE!</v>
      </c>
      <c r="BX66" t="e">
        <f>AND('Planilla_General_07-12-2012_8_3'!D984,"AAAAAHv9v0s=")</f>
        <v>#VALUE!</v>
      </c>
      <c r="BY66" t="e">
        <f>AND('Planilla_General_07-12-2012_8_3'!E984,"AAAAAHv9v0w=")</f>
        <v>#VALUE!</v>
      </c>
      <c r="BZ66" t="e">
        <f>AND('Planilla_General_07-12-2012_8_3'!F984,"AAAAAHv9v00=")</f>
        <v>#VALUE!</v>
      </c>
      <c r="CA66" t="e">
        <f>AND('Planilla_General_07-12-2012_8_3'!G984,"AAAAAHv9v04=")</f>
        <v>#VALUE!</v>
      </c>
      <c r="CB66" t="e">
        <f>AND('Planilla_General_07-12-2012_8_3'!H984,"AAAAAHv9v08=")</f>
        <v>#VALUE!</v>
      </c>
      <c r="CC66" t="e">
        <f>AND('Planilla_General_07-12-2012_8_3'!I984,"AAAAAHv9v1A=")</f>
        <v>#VALUE!</v>
      </c>
      <c r="CD66" t="e">
        <f>AND('Planilla_General_07-12-2012_8_3'!J984,"AAAAAHv9v1E=")</f>
        <v>#VALUE!</v>
      </c>
      <c r="CE66" t="e">
        <f>AND('Planilla_General_07-12-2012_8_3'!K984,"AAAAAHv9v1I=")</f>
        <v>#VALUE!</v>
      </c>
      <c r="CF66" t="e">
        <f>AND('Planilla_General_07-12-2012_8_3'!L984,"AAAAAHv9v1M=")</f>
        <v>#VALUE!</v>
      </c>
      <c r="CG66" t="e">
        <f>AND('Planilla_General_07-12-2012_8_3'!M984,"AAAAAHv9v1Q=")</f>
        <v>#VALUE!</v>
      </c>
      <c r="CH66" t="e">
        <f>AND('Planilla_General_07-12-2012_8_3'!N984,"AAAAAHv9v1U=")</f>
        <v>#VALUE!</v>
      </c>
      <c r="CI66" t="e">
        <f>AND('Planilla_General_07-12-2012_8_3'!O984,"AAAAAHv9v1Y=")</f>
        <v>#VALUE!</v>
      </c>
      <c r="CJ66" t="e">
        <f>AND('Planilla_General_07-12-2012_8_3'!P984,"AAAAAHv9v1c=")</f>
        <v>#VALUE!</v>
      </c>
      <c r="CK66">
        <f>IF('Planilla_General_07-12-2012_8_3'!985:985,"AAAAAHv9v1g=",0)</f>
        <v>0</v>
      </c>
      <c r="CL66" t="e">
        <f>AND('Planilla_General_07-12-2012_8_3'!A985,"AAAAAHv9v1k=")</f>
        <v>#VALUE!</v>
      </c>
      <c r="CM66" t="e">
        <f>AND('Planilla_General_07-12-2012_8_3'!B985,"AAAAAHv9v1o=")</f>
        <v>#VALUE!</v>
      </c>
      <c r="CN66" t="e">
        <f>AND('Planilla_General_07-12-2012_8_3'!C985,"AAAAAHv9v1s=")</f>
        <v>#VALUE!</v>
      </c>
      <c r="CO66" t="e">
        <f>AND('Planilla_General_07-12-2012_8_3'!D985,"AAAAAHv9v1w=")</f>
        <v>#VALUE!</v>
      </c>
      <c r="CP66" t="e">
        <f>AND('Planilla_General_07-12-2012_8_3'!E985,"AAAAAHv9v10=")</f>
        <v>#VALUE!</v>
      </c>
      <c r="CQ66" t="e">
        <f>AND('Planilla_General_07-12-2012_8_3'!F985,"AAAAAHv9v14=")</f>
        <v>#VALUE!</v>
      </c>
      <c r="CR66" t="e">
        <f>AND('Planilla_General_07-12-2012_8_3'!G985,"AAAAAHv9v18=")</f>
        <v>#VALUE!</v>
      </c>
      <c r="CS66" t="e">
        <f>AND('Planilla_General_07-12-2012_8_3'!H985,"AAAAAHv9v2A=")</f>
        <v>#VALUE!</v>
      </c>
      <c r="CT66" t="e">
        <f>AND('Planilla_General_07-12-2012_8_3'!I985,"AAAAAHv9v2E=")</f>
        <v>#VALUE!</v>
      </c>
      <c r="CU66" t="e">
        <f>AND('Planilla_General_07-12-2012_8_3'!J985,"AAAAAHv9v2I=")</f>
        <v>#VALUE!</v>
      </c>
      <c r="CV66" t="e">
        <f>AND('Planilla_General_07-12-2012_8_3'!K985,"AAAAAHv9v2M=")</f>
        <v>#VALUE!</v>
      </c>
      <c r="CW66" t="e">
        <f>AND('Planilla_General_07-12-2012_8_3'!L985,"AAAAAHv9v2Q=")</f>
        <v>#VALUE!</v>
      </c>
      <c r="CX66" t="e">
        <f>AND('Planilla_General_07-12-2012_8_3'!M985,"AAAAAHv9v2U=")</f>
        <v>#VALUE!</v>
      </c>
      <c r="CY66" t="e">
        <f>AND('Planilla_General_07-12-2012_8_3'!N985,"AAAAAHv9v2Y=")</f>
        <v>#VALUE!</v>
      </c>
      <c r="CZ66" t="e">
        <f>AND('Planilla_General_07-12-2012_8_3'!O985,"AAAAAHv9v2c=")</f>
        <v>#VALUE!</v>
      </c>
      <c r="DA66" t="e">
        <f>AND('Planilla_General_07-12-2012_8_3'!P985,"AAAAAHv9v2g=")</f>
        <v>#VALUE!</v>
      </c>
      <c r="DB66">
        <f>IF('Planilla_General_07-12-2012_8_3'!986:986,"AAAAAHv9v2k=",0)</f>
        <v>0</v>
      </c>
      <c r="DC66" t="e">
        <f>AND('Planilla_General_07-12-2012_8_3'!A986,"AAAAAHv9v2o=")</f>
        <v>#VALUE!</v>
      </c>
      <c r="DD66" t="e">
        <f>AND('Planilla_General_07-12-2012_8_3'!B986,"AAAAAHv9v2s=")</f>
        <v>#VALUE!</v>
      </c>
      <c r="DE66" t="e">
        <f>AND('Planilla_General_07-12-2012_8_3'!C986,"AAAAAHv9v2w=")</f>
        <v>#VALUE!</v>
      </c>
      <c r="DF66" t="e">
        <f>AND('Planilla_General_07-12-2012_8_3'!D986,"AAAAAHv9v20=")</f>
        <v>#VALUE!</v>
      </c>
      <c r="DG66" t="e">
        <f>AND('Planilla_General_07-12-2012_8_3'!E986,"AAAAAHv9v24=")</f>
        <v>#VALUE!</v>
      </c>
      <c r="DH66" t="e">
        <f>AND('Planilla_General_07-12-2012_8_3'!F986,"AAAAAHv9v28=")</f>
        <v>#VALUE!</v>
      </c>
      <c r="DI66" t="e">
        <f>AND('Planilla_General_07-12-2012_8_3'!G986,"AAAAAHv9v3A=")</f>
        <v>#VALUE!</v>
      </c>
      <c r="DJ66" t="e">
        <f>AND('Planilla_General_07-12-2012_8_3'!H986,"AAAAAHv9v3E=")</f>
        <v>#VALUE!</v>
      </c>
      <c r="DK66" t="e">
        <f>AND('Planilla_General_07-12-2012_8_3'!I986,"AAAAAHv9v3I=")</f>
        <v>#VALUE!</v>
      </c>
      <c r="DL66" t="e">
        <f>AND('Planilla_General_07-12-2012_8_3'!J986,"AAAAAHv9v3M=")</f>
        <v>#VALUE!</v>
      </c>
      <c r="DM66" t="e">
        <f>AND('Planilla_General_07-12-2012_8_3'!K986,"AAAAAHv9v3Q=")</f>
        <v>#VALUE!</v>
      </c>
      <c r="DN66" t="e">
        <f>AND('Planilla_General_07-12-2012_8_3'!L986,"AAAAAHv9v3U=")</f>
        <v>#VALUE!</v>
      </c>
      <c r="DO66" t="e">
        <f>AND('Planilla_General_07-12-2012_8_3'!M986,"AAAAAHv9v3Y=")</f>
        <v>#VALUE!</v>
      </c>
      <c r="DP66" t="e">
        <f>AND('Planilla_General_07-12-2012_8_3'!N986,"AAAAAHv9v3c=")</f>
        <v>#VALUE!</v>
      </c>
      <c r="DQ66" t="e">
        <f>AND('Planilla_General_07-12-2012_8_3'!O986,"AAAAAHv9v3g=")</f>
        <v>#VALUE!</v>
      </c>
      <c r="DR66" t="e">
        <f>AND('Planilla_General_07-12-2012_8_3'!P986,"AAAAAHv9v3k=")</f>
        <v>#VALUE!</v>
      </c>
      <c r="DS66">
        <f>IF('Planilla_General_07-12-2012_8_3'!987:987,"AAAAAHv9v3o=",0)</f>
        <v>0</v>
      </c>
      <c r="DT66" t="e">
        <f>AND('Planilla_General_07-12-2012_8_3'!A987,"AAAAAHv9v3s=")</f>
        <v>#VALUE!</v>
      </c>
      <c r="DU66" t="e">
        <f>AND('Planilla_General_07-12-2012_8_3'!B987,"AAAAAHv9v3w=")</f>
        <v>#VALUE!</v>
      </c>
      <c r="DV66" t="e">
        <f>AND('Planilla_General_07-12-2012_8_3'!C987,"AAAAAHv9v30=")</f>
        <v>#VALUE!</v>
      </c>
      <c r="DW66" t="e">
        <f>AND('Planilla_General_07-12-2012_8_3'!D987,"AAAAAHv9v34=")</f>
        <v>#VALUE!</v>
      </c>
      <c r="DX66" t="e">
        <f>AND('Planilla_General_07-12-2012_8_3'!E987,"AAAAAHv9v38=")</f>
        <v>#VALUE!</v>
      </c>
      <c r="DY66" t="e">
        <f>AND('Planilla_General_07-12-2012_8_3'!F987,"AAAAAHv9v4A=")</f>
        <v>#VALUE!</v>
      </c>
      <c r="DZ66" t="e">
        <f>AND('Planilla_General_07-12-2012_8_3'!G987,"AAAAAHv9v4E=")</f>
        <v>#VALUE!</v>
      </c>
      <c r="EA66" t="e">
        <f>AND('Planilla_General_07-12-2012_8_3'!H987,"AAAAAHv9v4I=")</f>
        <v>#VALUE!</v>
      </c>
      <c r="EB66" t="e">
        <f>AND('Planilla_General_07-12-2012_8_3'!I987,"AAAAAHv9v4M=")</f>
        <v>#VALUE!</v>
      </c>
      <c r="EC66" t="e">
        <f>AND('Planilla_General_07-12-2012_8_3'!J987,"AAAAAHv9v4Q=")</f>
        <v>#VALUE!</v>
      </c>
      <c r="ED66" t="e">
        <f>AND('Planilla_General_07-12-2012_8_3'!K987,"AAAAAHv9v4U=")</f>
        <v>#VALUE!</v>
      </c>
      <c r="EE66" t="e">
        <f>AND('Planilla_General_07-12-2012_8_3'!L987,"AAAAAHv9v4Y=")</f>
        <v>#VALUE!</v>
      </c>
      <c r="EF66" t="e">
        <f>AND('Planilla_General_07-12-2012_8_3'!M987,"AAAAAHv9v4c=")</f>
        <v>#VALUE!</v>
      </c>
      <c r="EG66" t="e">
        <f>AND('Planilla_General_07-12-2012_8_3'!N987,"AAAAAHv9v4g=")</f>
        <v>#VALUE!</v>
      </c>
      <c r="EH66" t="e">
        <f>AND('Planilla_General_07-12-2012_8_3'!O987,"AAAAAHv9v4k=")</f>
        <v>#VALUE!</v>
      </c>
      <c r="EI66" t="e">
        <f>AND('Planilla_General_07-12-2012_8_3'!P987,"AAAAAHv9v4o=")</f>
        <v>#VALUE!</v>
      </c>
      <c r="EJ66">
        <f>IF('Planilla_General_07-12-2012_8_3'!988:988,"AAAAAHv9v4s=",0)</f>
        <v>0</v>
      </c>
      <c r="EK66" t="e">
        <f>AND('Planilla_General_07-12-2012_8_3'!A988,"AAAAAHv9v4w=")</f>
        <v>#VALUE!</v>
      </c>
      <c r="EL66" t="e">
        <f>AND('Planilla_General_07-12-2012_8_3'!B988,"AAAAAHv9v40=")</f>
        <v>#VALUE!</v>
      </c>
      <c r="EM66" t="e">
        <f>AND('Planilla_General_07-12-2012_8_3'!C988,"AAAAAHv9v44=")</f>
        <v>#VALUE!</v>
      </c>
      <c r="EN66" t="e">
        <f>AND('Planilla_General_07-12-2012_8_3'!D988,"AAAAAHv9v48=")</f>
        <v>#VALUE!</v>
      </c>
      <c r="EO66" t="e">
        <f>AND('Planilla_General_07-12-2012_8_3'!E988,"AAAAAHv9v5A=")</f>
        <v>#VALUE!</v>
      </c>
      <c r="EP66" t="e">
        <f>AND('Planilla_General_07-12-2012_8_3'!F988,"AAAAAHv9v5E=")</f>
        <v>#VALUE!</v>
      </c>
      <c r="EQ66" t="e">
        <f>AND('Planilla_General_07-12-2012_8_3'!G988,"AAAAAHv9v5I=")</f>
        <v>#VALUE!</v>
      </c>
      <c r="ER66" t="e">
        <f>AND('Planilla_General_07-12-2012_8_3'!H988,"AAAAAHv9v5M=")</f>
        <v>#VALUE!</v>
      </c>
      <c r="ES66" t="e">
        <f>AND('Planilla_General_07-12-2012_8_3'!I988,"AAAAAHv9v5Q=")</f>
        <v>#VALUE!</v>
      </c>
      <c r="ET66" t="e">
        <f>AND('Planilla_General_07-12-2012_8_3'!J988,"AAAAAHv9v5U=")</f>
        <v>#VALUE!</v>
      </c>
      <c r="EU66" t="e">
        <f>AND('Planilla_General_07-12-2012_8_3'!K988,"AAAAAHv9v5Y=")</f>
        <v>#VALUE!</v>
      </c>
      <c r="EV66" t="e">
        <f>AND('Planilla_General_07-12-2012_8_3'!L988,"AAAAAHv9v5c=")</f>
        <v>#VALUE!</v>
      </c>
      <c r="EW66" t="e">
        <f>AND('Planilla_General_07-12-2012_8_3'!M988,"AAAAAHv9v5g=")</f>
        <v>#VALUE!</v>
      </c>
      <c r="EX66" t="e">
        <f>AND('Planilla_General_07-12-2012_8_3'!N988,"AAAAAHv9v5k=")</f>
        <v>#VALUE!</v>
      </c>
      <c r="EY66" t="e">
        <f>AND('Planilla_General_07-12-2012_8_3'!O988,"AAAAAHv9v5o=")</f>
        <v>#VALUE!</v>
      </c>
      <c r="EZ66" t="e">
        <f>AND('Planilla_General_07-12-2012_8_3'!P988,"AAAAAHv9v5s=")</f>
        <v>#VALUE!</v>
      </c>
      <c r="FA66">
        <f>IF('Planilla_General_07-12-2012_8_3'!989:989,"AAAAAHv9v5w=",0)</f>
        <v>0</v>
      </c>
      <c r="FB66" t="e">
        <f>AND('Planilla_General_07-12-2012_8_3'!A989,"AAAAAHv9v50=")</f>
        <v>#VALUE!</v>
      </c>
      <c r="FC66" t="e">
        <f>AND('Planilla_General_07-12-2012_8_3'!B989,"AAAAAHv9v54=")</f>
        <v>#VALUE!</v>
      </c>
      <c r="FD66" t="e">
        <f>AND('Planilla_General_07-12-2012_8_3'!C989,"AAAAAHv9v58=")</f>
        <v>#VALUE!</v>
      </c>
      <c r="FE66" t="e">
        <f>AND('Planilla_General_07-12-2012_8_3'!D989,"AAAAAHv9v6A=")</f>
        <v>#VALUE!</v>
      </c>
      <c r="FF66" t="e">
        <f>AND('Planilla_General_07-12-2012_8_3'!E989,"AAAAAHv9v6E=")</f>
        <v>#VALUE!</v>
      </c>
      <c r="FG66" t="e">
        <f>AND('Planilla_General_07-12-2012_8_3'!F989,"AAAAAHv9v6I=")</f>
        <v>#VALUE!</v>
      </c>
      <c r="FH66" t="e">
        <f>AND('Planilla_General_07-12-2012_8_3'!G989,"AAAAAHv9v6M=")</f>
        <v>#VALUE!</v>
      </c>
      <c r="FI66" t="e">
        <f>AND('Planilla_General_07-12-2012_8_3'!H989,"AAAAAHv9v6Q=")</f>
        <v>#VALUE!</v>
      </c>
      <c r="FJ66" t="e">
        <f>AND('Planilla_General_07-12-2012_8_3'!I989,"AAAAAHv9v6U=")</f>
        <v>#VALUE!</v>
      </c>
      <c r="FK66" t="e">
        <f>AND('Planilla_General_07-12-2012_8_3'!J989,"AAAAAHv9v6Y=")</f>
        <v>#VALUE!</v>
      </c>
      <c r="FL66" t="e">
        <f>AND('Planilla_General_07-12-2012_8_3'!K989,"AAAAAHv9v6c=")</f>
        <v>#VALUE!</v>
      </c>
      <c r="FM66" t="e">
        <f>AND('Planilla_General_07-12-2012_8_3'!L989,"AAAAAHv9v6g=")</f>
        <v>#VALUE!</v>
      </c>
      <c r="FN66" t="e">
        <f>AND('Planilla_General_07-12-2012_8_3'!M989,"AAAAAHv9v6k=")</f>
        <v>#VALUE!</v>
      </c>
      <c r="FO66" t="e">
        <f>AND('Planilla_General_07-12-2012_8_3'!N989,"AAAAAHv9v6o=")</f>
        <v>#VALUE!</v>
      </c>
      <c r="FP66" t="e">
        <f>AND('Planilla_General_07-12-2012_8_3'!O989,"AAAAAHv9v6s=")</f>
        <v>#VALUE!</v>
      </c>
      <c r="FQ66" t="e">
        <f>AND('Planilla_General_07-12-2012_8_3'!P989,"AAAAAHv9v6w=")</f>
        <v>#VALUE!</v>
      </c>
      <c r="FR66">
        <f>IF('Planilla_General_07-12-2012_8_3'!990:990,"AAAAAHv9v60=",0)</f>
        <v>0</v>
      </c>
      <c r="FS66" t="e">
        <f>AND('Planilla_General_07-12-2012_8_3'!A990,"AAAAAHv9v64=")</f>
        <v>#VALUE!</v>
      </c>
      <c r="FT66" t="e">
        <f>AND('Planilla_General_07-12-2012_8_3'!B990,"AAAAAHv9v68=")</f>
        <v>#VALUE!</v>
      </c>
      <c r="FU66" t="e">
        <f>AND('Planilla_General_07-12-2012_8_3'!C990,"AAAAAHv9v7A=")</f>
        <v>#VALUE!</v>
      </c>
      <c r="FV66" t="e">
        <f>AND('Planilla_General_07-12-2012_8_3'!D990,"AAAAAHv9v7E=")</f>
        <v>#VALUE!</v>
      </c>
      <c r="FW66" t="e">
        <f>AND('Planilla_General_07-12-2012_8_3'!E990,"AAAAAHv9v7I=")</f>
        <v>#VALUE!</v>
      </c>
      <c r="FX66" t="e">
        <f>AND('Planilla_General_07-12-2012_8_3'!F990,"AAAAAHv9v7M=")</f>
        <v>#VALUE!</v>
      </c>
      <c r="FY66" t="e">
        <f>AND('Planilla_General_07-12-2012_8_3'!G990,"AAAAAHv9v7Q=")</f>
        <v>#VALUE!</v>
      </c>
      <c r="FZ66" t="e">
        <f>AND('Planilla_General_07-12-2012_8_3'!H990,"AAAAAHv9v7U=")</f>
        <v>#VALUE!</v>
      </c>
      <c r="GA66" t="e">
        <f>AND('Planilla_General_07-12-2012_8_3'!I990,"AAAAAHv9v7Y=")</f>
        <v>#VALUE!</v>
      </c>
      <c r="GB66" t="e">
        <f>AND('Planilla_General_07-12-2012_8_3'!J990,"AAAAAHv9v7c=")</f>
        <v>#VALUE!</v>
      </c>
      <c r="GC66" t="e">
        <f>AND('Planilla_General_07-12-2012_8_3'!K990,"AAAAAHv9v7g=")</f>
        <v>#VALUE!</v>
      </c>
      <c r="GD66" t="e">
        <f>AND('Planilla_General_07-12-2012_8_3'!L990,"AAAAAHv9v7k=")</f>
        <v>#VALUE!</v>
      </c>
      <c r="GE66" t="e">
        <f>AND('Planilla_General_07-12-2012_8_3'!M990,"AAAAAHv9v7o=")</f>
        <v>#VALUE!</v>
      </c>
      <c r="GF66" t="e">
        <f>AND('Planilla_General_07-12-2012_8_3'!N990,"AAAAAHv9v7s=")</f>
        <v>#VALUE!</v>
      </c>
      <c r="GG66" t="e">
        <f>AND('Planilla_General_07-12-2012_8_3'!O990,"AAAAAHv9v7w=")</f>
        <v>#VALUE!</v>
      </c>
      <c r="GH66" t="e">
        <f>AND('Planilla_General_07-12-2012_8_3'!P990,"AAAAAHv9v70=")</f>
        <v>#VALUE!</v>
      </c>
      <c r="GI66">
        <f>IF('Planilla_General_07-12-2012_8_3'!991:991,"AAAAAHv9v74=",0)</f>
        <v>0</v>
      </c>
      <c r="GJ66" t="e">
        <f>AND('Planilla_General_07-12-2012_8_3'!A991,"AAAAAHv9v78=")</f>
        <v>#VALUE!</v>
      </c>
      <c r="GK66" t="e">
        <f>AND('Planilla_General_07-12-2012_8_3'!B991,"AAAAAHv9v8A=")</f>
        <v>#VALUE!</v>
      </c>
      <c r="GL66" t="e">
        <f>AND('Planilla_General_07-12-2012_8_3'!C991,"AAAAAHv9v8E=")</f>
        <v>#VALUE!</v>
      </c>
      <c r="GM66" t="e">
        <f>AND('Planilla_General_07-12-2012_8_3'!D991,"AAAAAHv9v8I=")</f>
        <v>#VALUE!</v>
      </c>
      <c r="GN66" t="e">
        <f>AND('Planilla_General_07-12-2012_8_3'!E991,"AAAAAHv9v8M=")</f>
        <v>#VALUE!</v>
      </c>
      <c r="GO66" t="e">
        <f>AND('Planilla_General_07-12-2012_8_3'!F991,"AAAAAHv9v8Q=")</f>
        <v>#VALUE!</v>
      </c>
      <c r="GP66" t="e">
        <f>AND('Planilla_General_07-12-2012_8_3'!G991,"AAAAAHv9v8U=")</f>
        <v>#VALUE!</v>
      </c>
      <c r="GQ66" t="e">
        <f>AND('Planilla_General_07-12-2012_8_3'!H991,"AAAAAHv9v8Y=")</f>
        <v>#VALUE!</v>
      </c>
      <c r="GR66" t="e">
        <f>AND('Planilla_General_07-12-2012_8_3'!I991,"AAAAAHv9v8c=")</f>
        <v>#VALUE!</v>
      </c>
      <c r="GS66" t="e">
        <f>AND('Planilla_General_07-12-2012_8_3'!J991,"AAAAAHv9v8g=")</f>
        <v>#VALUE!</v>
      </c>
      <c r="GT66" t="e">
        <f>AND('Planilla_General_07-12-2012_8_3'!K991,"AAAAAHv9v8k=")</f>
        <v>#VALUE!</v>
      </c>
      <c r="GU66" t="e">
        <f>AND('Planilla_General_07-12-2012_8_3'!L991,"AAAAAHv9v8o=")</f>
        <v>#VALUE!</v>
      </c>
      <c r="GV66" t="e">
        <f>AND('Planilla_General_07-12-2012_8_3'!M991,"AAAAAHv9v8s=")</f>
        <v>#VALUE!</v>
      </c>
      <c r="GW66" t="e">
        <f>AND('Planilla_General_07-12-2012_8_3'!N991,"AAAAAHv9v8w=")</f>
        <v>#VALUE!</v>
      </c>
      <c r="GX66" t="e">
        <f>AND('Planilla_General_07-12-2012_8_3'!O991,"AAAAAHv9v80=")</f>
        <v>#VALUE!</v>
      </c>
      <c r="GY66" t="e">
        <f>AND('Planilla_General_07-12-2012_8_3'!P991,"AAAAAHv9v84=")</f>
        <v>#VALUE!</v>
      </c>
      <c r="GZ66">
        <f>IF('Planilla_General_07-12-2012_8_3'!992:992,"AAAAAHv9v88=",0)</f>
        <v>0</v>
      </c>
      <c r="HA66" t="e">
        <f>AND('Planilla_General_07-12-2012_8_3'!A992,"AAAAAHv9v9A=")</f>
        <v>#VALUE!</v>
      </c>
      <c r="HB66" t="e">
        <f>AND('Planilla_General_07-12-2012_8_3'!B992,"AAAAAHv9v9E=")</f>
        <v>#VALUE!</v>
      </c>
      <c r="HC66" t="e">
        <f>AND('Planilla_General_07-12-2012_8_3'!C992,"AAAAAHv9v9I=")</f>
        <v>#VALUE!</v>
      </c>
      <c r="HD66" t="e">
        <f>AND('Planilla_General_07-12-2012_8_3'!D992,"AAAAAHv9v9M=")</f>
        <v>#VALUE!</v>
      </c>
      <c r="HE66" t="e">
        <f>AND('Planilla_General_07-12-2012_8_3'!E992,"AAAAAHv9v9Q=")</f>
        <v>#VALUE!</v>
      </c>
      <c r="HF66" t="e">
        <f>AND('Planilla_General_07-12-2012_8_3'!F992,"AAAAAHv9v9U=")</f>
        <v>#VALUE!</v>
      </c>
      <c r="HG66" t="e">
        <f>AND('Planilla_General_07-12-2012_8_3'!G992,"AAAAAHv9v9Y=")</f>
        <v>#VALUE!</v>
      </c>
      <c r="HH66" t="e">
        <f>AND('Planilla_General_07-12-2012_8_3'!H992,"AAAAAHv9v9c=")</f>
        <v>#VALUE!</v>
      </c>
      <c r="HI66" t="e">
        <f>AND('Planilla_General_07-12-2012_8_3'!I992,"AAAAAHv9v9g=")</f>
        <v>#VALUE!</v>
      </c>
      <c r="HJ66" t="e">
        <f>AND('Planilla_General_07-12-2012_8_3'!J992,"AAAAAHv9v9k=")</f>
        <v>#VALUE!</v>
      </c>
      <c r="HK66" t="e">
        <f>AND('Planilla_General_07-12-2012_8_3'!K992,"AAAAAHv9v9o=")</f>
        <v>#VALUE!</v>
      </c>
      <c r="HL66" t="e">
        <f>AND('Planilla_General_07-12-2012_8_3'!L992,"AAAAAHv9v9s=")</f>
        <v>#VALUE!</v>
      </c>
      <c r="HM66" t="e">
        <f>AND('Planilla_General_07-12-2012_8_3'!M992,"AAAAAHv9v9w=")</f>
        <v>#VALUE!</v>
      </c>
      <c r="HN66" t="e">
        <f>AND('Planilla_General_07-12-2012_8_3'!N992,"AAAAAHv9v90=")</f>
        <v>#VALUE!</v>
      </c>
      <c r="HO66" t="e">
        <f>AND('Planilla_General_07-12-2012_8_3'!O992,"AAAAAHv9v94=")</f>
        <v>#VALUE!</v>
      </c>
      <c r="HP66" t="e">
        <f>AND('Planilla_General_07-12-2012_8_3'!P992,"AAAAAHv9v98=")</f>
        <v>#VALUE!</v>
      </c>
      <c r="HQ66">
        <f>IF('Planilla_General_07-12-2012_8_3'!993:993,"AAAAAHv9v+A=",0)</f>
        <v>0</v>
      </c>
      <c r="HR66" t="e">
        <f>AND('Planilla_General_07-12-2012_8_3'!A993,"AAAAAHv9v+E=")</f>
        <v>#VALUE!</v>
      </c>
      <c r="HS66" t="e">
        <f>AND('Planilla_General_07-12-2012_8_3'!B993,"AAAAAHv9v+I=")</f>
        <v>#VALUE!</v>
      </c>
      <c r="HT66" t="e">
        <f>AND('Planilla_General_07-12-2012_8_3'!C993,"AAAAAHv9v+M=")</f>
        <v>#VALUE!</v>
      </c>
      <c r="HU66" t="e">
        <f>AND('Planilla_General_07-12-2012_8_3'!D993,"AAAAAHv9v+Q=")</f>
        <v>#VALUE!</v>
      </c>
      <c r="HV66" t="e">
        <f>AND('Planilla_General_07-12-2012_8_3'!E993,"AAAAAHv9v+U=")</f>
        <v>#VALUE!</v>
      </c>
      <c r="HW66" t="e">
        <f>AND('Planilla_General_07-12-2012_8_3'!F993,"AAAAAHv9v+Y=")</f>
        <v>#VALUE!</v>
      </c>
      <c r="HX66" t="e">
        <f>AND('Planilla_General_07-12-2012_8_3'!G993,"AAAAAHv9v+c=")</f>
        <v>#VALUE!</v>
      </c>
      <c r="HY66" t="e">
        <f>AND('Planilla_General_07-12-2012_8_3'!H993,"AAAAAHv9v+g=")</f>
        <v>#VALUE!</v>
      </c>
      <c r="HZ66" t="e">
        <f>AND('Planilla_General_07-12-2012_8_3'!I993,"AAAAAHv9v+k=")</f>
        <v>#VALUE!</v>
      </c>
      <c r="IA66" t="e">
        <f>AND('Planilla_General_07-12-2012_8_3'!J993,"AAAAAHv9v+o=")</f>
        <v>#VALUE!</v>
      </c>
      <c r="IB66" t="e">
        <f>AND('Planilla_General_07-12-2012_8_3'!K993,"AAAAAHv9v+s=")</f>
        <v>#VALUE!</v>
      </c>
      <c r="IC66" t="e">
        <f>AND('Planilla_General_07-12-2012_8_3'!L993,"AAAAAHv9v+w=")</f>
        <v>#VALUE!</v>
      </c>
      <c r="ID66" t="e">
        <f>AND('Planilla_General_07-12-2012_8_3'!M993,"AAAAAHv9v+0=")</f>
        <v>#VALUE!</v>
      </c>
      <c r="IE66" t="e">
        <f>AND('Planilla_General_07-12-2012_8_3'!N993,"AAAAAHv9v+4=")</f>
        <v>#VALUE!</v>
      </c>
      <c r="IF66" t="e">
        <f>AND('Planilla_General_07-12-2012_8_3'!O993,"AAAAAHv9v+8=")</f>
        <v>#VALUE!</v>
      </c>
      <c r="IG66" t="e">
        <f>AND('Planilla_General_07-12-2012_8_3'!P993,"AAAAAHv9v/A=")</f>
        <v>#VALUE!</v>
      </c>
      <c r="IH66">
        <f>IF('Planilla_General_07-12-2012_8_3'!994:994,"AAAAAHv9v/E=",0)</f>
        <v>0</v>
      </c>
      <c r="II66" t="e">
        <f>AND('Planilla_General_07-12-2012_8_3'!A994,"AAAAAHv9v/I=")</f>
        <v>#VALUE!</v>
      </c>
      <c r="IJ66" t="e">
        <f>AND('Planilla_General_07-12-2012_8_3'!B994,"AAAAAHv9v/M=")</f>
        <v>#VALUE!</v>
      </c>
      <c r="IK66" t="e">
        <f>AND('Planilla_General_07-12-2012_8_3'!C994,"AAAAAHv9v/Q=")</f>
        <v>#VALUE!</v>
      </c>
      <c r="IL66" t="e">
        <f>AND('Planilla_General_07-12-2012_8_3'!D994,"AAAAAHv9v/U=")</f>
        <v>#VALUE!</v>
      </c>
      <c r="IM66" t="e">
        <f>AND('Planilla_General_07-12-2012_8_3'!E994,"AAAAAHv9v/Y=")</f>
        <v>#VALUE!</v>
      </c>
      <c r="IN66" t="e">
        <f>AND('Planilla_General_07-12-2012_8_3'!F994,"AAAAAHv9v/c=")</f>
        <v>#VALUE!</v>
      </c>
      <c r="IO66" t="e">
        <f>AND('Planilla_General_07-12-2012_8_3'!G994,"AAAAAHv9v/g=")</f>
        <v>#VALUE!</v>
      </c>
      <c r="IP66" t="e">
        <f>AND('Planilla_General_07-12-2012_8_3'!H994,"AAAAAHv9v/k=")</f>
        <v>#VALUE!</v>
      </c>
      <c r="IQ66" t="e">
        <f>AND('Planilla_General_07-12-2012_8_3'!I994,"AAAAAHv9v/o=")</f>
        <v>#VALUE!</v>
      </c>
      <c r="IR66" t="e">
        <f>AND('Planilla_General_07-12-2012_8_3'!J994,"AAAAAHv9v/s=")</f>
        <v>#VALUE!</v>
      </c>
      <c r="IS66" t="e">
        <f>AND('Planilla_General_07-12-2012_8_3'!K994,"AAAAAHv9v/w=")</f>
        <v>#VALUE!</v>
      </c>
      <c r="IT66" t="e">
        <f>AND('Planilla_General_07-12-2012_8_3'!L994,"AAAAAHv9v/0=")</f>
        <v>#VALUE!</v>
      </c>
      <c r="IU66" t="e">
        <f>AND('Planilla_General_07-12-2012_8_3'!M994,"AAAAAHv9v/4=")</f>
        <v>#VALUE!</v>
      </c>
      <c r="IV66" t="e">
        <f>AND('Planilla_General_07-12-2012_8_3'!N994,"AAAAAHv9v/8=")</f>
        <v>#VALUE!</v>
      </c>
    </row>
    <row r="67" spans="1:256" x14ac:dyDescent="0.25">
      <c r="A67" t="e">
        <f>AND('Planilla_General_07-12-2012_8_3'!O994,"AAAAAHb+2wA=")</f>
        <v>#VALUE!</v>
      </c>
      <c r="B67" t="e">
        <f>AND('Planilla_General_07-12-2012_8_3'!P994,"AAAAAHb+2wE=")</f>
        <v>#VALUE!</v>
      </c>
      <c r="C67" t="str">
        <f>IF('Planilla_General_07-12-2012_8_3'!995:995,"AAAAAHb+2wI=",0)</f>
        <v>AAAAAHb+2wI=</v>
      </c>
      <c r="D67" t="e">
        <f>AND('Planilla_General_07-12-2012_8_3'!A995,"AAAAAHb+2wM=")</f>
        <v>#VALUE!</v>
      </c>
      <c r="E67" t="e">
        <f>AND('Planilla_General_07-12-2012_8_3'!B995,"AAAAAHb+2wQ=")</f>
        <v>#VALUE!</v>
      </c>
      <c r="F67" t="e">
        <f>AND('Planilla_General_07-12-2012_8_3'!C995,"AAAAAHb+2wU=")</f>
        <v>#VALUE!</v>
      </c>
      <c r="G67" t="e">
        <f>AND('Planilla_General_07-12-2012_8_3'!D995,"AAAAAHb+2wY=")</f>
        <v>#VALUE!</v>
      </c>
      <c r="H67" t="e">
        <f>AND('Planilla_General_07-12-2012_8_3'!E995,"AAAAAHb+2wc=")</f>
        <v>#VALUE!</v>
      </c>
      <c r="I67" t="e">
        <f>AND('Planilla_General_07-12-2012_8_3'!F995,"AAAAAHb+2wg=")</f>
        <v>#VALUE!</v>
      </c>
      <c r="J67" t="e">
        <f>AND('Planilla_General_07-12-2012_8_3'!G995,"AAAAAHb+2wk=")</f>
        <v>#VALUE!</v>
      </c>
      <c r="K67" t="e">
        <f>AND('Planilla_General_07-12-2012_8_3'!H995,"AAAAAHb+2wo=")</f>
        <v>#VALUE!</v>
      </c>
      <c r="L67" t="e">
        <f>AND('Planilla_General_07-12-2012_8_3'!I995,"AAAAAHb+2ws=")</f>
        <v>#VALUE!</v>
      </c>
      <c r="M67" t="e">
        <f>AND('Planilla_General_07-12-2012_8_3'!J995,"AAAAAHb+2ww=")</f>
        <v>#VALUE!</v>
      </c>
      <c r="N67" t="e">
        <f>AND('Planilla_General_07-12-2012_8_3'!K995,"AAAAAHb+2w0=")</f>
        <v>#VALUE!</v>
      </c>
      <c r="O67" t="e">
        <f>AND('Planilla_General_07-12-2012_8_3'!L995,"AAAAAHb+2w4=")</f>
        <v>#VALUE!</v>
      </c>
      <c r="P67" t="e">
        <f>AND('Planilla_General_07-12-2012_8_3'!M995,"AAAAAHb+2w8=")</f>
        <v>#VALUE!</v>
      </c>
      <c r="Q67" t="e">
        <f>AND('Planilla_General_07-12-2012_8_3'!N995,"AAAAAHb+2xA=")</f>
        <v>#VALUE!</v>
      </c>
      <c r="R67" t="e">
        <f>AND('Planilla_General_07-12-2012_8_3'!O995,"AAAAAHb+2xE=")</f>
        <v>#VALUE!</v>
      </c>
      <c r="S67" t="e">
        <f>AND('Planilla_General_07-12-2012_8_3'!P995,"AAAAAHb+2xI=")</f>
        <v>#VALUE!</v>
      </c>
      <c r="T67">
        <f>IF('Planilla_General_07-12-2012_8_3'!996:996,"AAAAAHb+2xM=",0)</f>
        <v>0</v>
      </c>
      <c r="U67" t="e">
        <f>AND('Planilla_General_07-12-2012_8_3'!A996,"AAAAAHb+2xQ=")</f>
        <v>#VALUE!</v>
      </c>
      <c r="V67" t="e">
        <f>AND('Planilla_General_07-12-2012_8_3'!B996,"AAAAAHb+2xU=")</f>
        <v>#VALUE!</v>
      </c>
      <c r="W67" t="e">
        <f>AND('Planilla_General_07-12-2012_8_3'!C996,"AAAAAHb+2xY=")</f>
        <v>#VALUE!</v>
      </c>
      <c r="X67" t="e">
        <f>AND('Planilla_General_07-12-2012_8_3'!D996,"AAAAAHb+2xc=")</f>
        <v>#VALUE!</v>
      </c>
      <c r="Y67" t="e">
        <f>AND('Planilla_General_07-12-2012_8_3'!E996,"AAAAAHb+2xg=")</f>
        <v>#VALUE!</v>
      </c>
      <c r="Z67" t="e">
        <f>AND('Planilla_General_07-12-2012_8_3'!F996,"AAAAAHb+2xk=")</f>
        <v>#VALUE!</v>
      </c>
      <c r="AA67" t="e">
        <f>AND('Planilla_General_07-12-2012_8_3'!G996,"AAAAAHb+2xo=")</f>
        <v>#VALUE!</v>
      </c>
      <c r="AB67" t="e">
        <f>AND('Planilla_General_07-12-2012_8_3'!H996,"AAAAAHb+2xs=")</f>
        <v>#VALUE!</v>
      </c>
      <c r="AC67" t="e">
        <f>AND('Planilla_General_07-12-2012_8_3'!I996,"AAAAAHb+2xw=")</f>
        <v>#VALUE!</v>
      </c>
      <c r="AD67" t="e">
        <f>AND('Planilla_General_07-12-2012_8_3'!J996,"AAAAAHb+2x0=")</f>
        <v>#VALUE!</v>
      </c>
      <c r="AE67" t="e">
        <f>AND('Planilla_General_07-12-2012_8_3'!K996,"AAAAAHb+2x4=")</f>
        <v>#VALUE!</v>
      </c>
      <c r="AF67" t="e">
        <f>AND('Planilla_General_07-12-2012_8_3'!L996,"AAAAAHb+2x8=")</f>
        <v>#VALUE!</v>
      </c>
      <c r="AG67" t="e">
        <f>AND('Planilla_General_07-12-2012_8_3'!M996,"AAAAAHb+2yA=")</f>
        <v>#VALUE!</v>
      </c>
      <c r="AH67" t="e">
        <f>AND('Planilla_General_07-12-2012_8_3'!N996,"AAAAAHb+2yE=")</f>
        <v>#VALUE!</v>
      </c>
      <c r="AI67" t="e">
        <f>AND('Planilla_General_07-12-2012_8_3'!O996,"AAAAAHb+2yI=")</f>
        <v>#VALUE!</v>
      </c>
      <c r="AJ67" t="e">
        <f>AND('Planilla_General_07-12-2012_8_3'!P996,"AAAAAHb+2yM=")</f>
        <v>#VALUE!</v>
      </c>
      <c r="AK67">
        <f>IF('Planilla_General_07-12-2012_8_3'!997:997,"AAAAAHb+2yQ=",0)</f>
        <v>0</v>
      </c>
      <c r="AL67" t="e">
        <f>AND('Planilla_General_07-12-2012_8_3'!A997,"AAAAAHb+2yU=")</f>
        <v>#VALUE!</v>
      </c>
      <c r="AM67" t="e">
        <f>AND('Planilla_General_07-12-2012_8_3'!B997,"AAAAAHb+2yY=")</f>
        <v>#VALUE!</v>
      </c>
      <c r="AN67" t="e">
        <f>AND('Planilla_General_07-12-2012_8_3'!C997,"AAAAAHb+2yc=")</f>
        <v>#VALUE!</v>
      </c>
      <c r="AO67" t="e">
        <f>AND('Planilla_General_07-12-2012_8_3'!D997,"AAAAAHb+2yg=")</f>
        <v>#VALUE!</v>
      </c>
      <c r="AP67" t="e">
        <f>AND('Planilla_General_07-12-2012_8_3'!E997,"AAAAAHb+2yk=")</f>
        <v>#VALUE!</v>
      </c>
      <c r="AQ67" t="e">
        <f>AND('Planilla_General_07-12-2012_8_3'!F997,"AAAAAHb+2yo=")</f>
        <v>#VALUE!</v>
      </c>
      <c r="AR67" t="e">
        <f>AND('Planilla_General_07-12-2012_8_3'!G997,"AAAAAHb+2ys=")</f>
        <v>#VALUE!</v>
      </c>
      <c r="AS67" t="e">
        <f>AND('Planilla_General_07-12-2012_8_3'!H997,"AAAAAHb+2yw=")</f>
        <v>#VALUE!</v>
      </c>
      <c r="AT67" t="e">
        <f>AND('Planilla_General_07-12-2012_8_3'!I997,"AAAAAHb+2y0=")</f>
        <v>#VALUE!</v>
      </c>
      <c r="AU67" t="e">
        <f>AND('Planilla_General_07-12-2012_8_3'!J997,"AAAAAHb+2y4=")</f>
        <v>#VALUE!</v>
      </c>
      <c r="AV67" t="e">
        <f>AND('Planilla_General_07-12-2012_8_3'!K997,"AAAAAHb+2y8=")</f>
        <v>#VALUE!</v>
      </c>
      <c r="AW67" t="e">
        <f>AND('Planilla_General_07-12-2012_8_3'!L997,"AAAAAHb+2zA=")</f>
        <v>#VALUE!</v>
      </c>
      <c r="AX67" t="e">
        <f>AND('Planilla_General_07-12-2012_8_3'!M997,"AAAAAHb+2zE=")</f>
        <v>#VALUE!</v>
      </c>
      <c r="AY67" t="e">
        <f>AND('Planilla_General_07-12-2012_8_3'!N997,"AAAAAHb+2zI=")</f>
        <v>#VALUE!</v>
      </c>
      <c r="AZ67" t="e">
        <f>AND('Planilla_General_07-12-2012_8_3'!O997,"AAAAAHb+2zM=")</f>
        <v>#VALUE!</v>
      </c>
      <c r="BA67" t="e">
        <f>AND('Planilla_General_07-12-2012_8_3'!P997,"AAAAAHb+2zQ=")</f>
        <v>#VALUE!</v>
      </c>
      <c r="BB67">
        <f>IF('Planilla_General_07-12-2012_8_3'!998:998,"AAAAAHb+2zU=",0)</f>
        <v>0</v>
      </c>
      <c r="BC67" t="e">
        <f>AND('Planilla_General_07-12-2012_8_3'!A998,"AAAAAHb+2zY=")</f>
        <v>#VALUE!</v>
      </c>
      <c r="BD67" t="e">
        <f>AND('Planilla_General_07-12-2012_8_3'!B998,"AAAAAHb+2zc=")</f>
        <v>#VALUE!</v>
      </c>
      <c r="BE67" t="e">
        <f>AND('Planilla_General_07-12-2012_8_3'!C998,"AAAAAHb+2zg=")</f>
        <v>#VALUE!</v>
      </c>
      <c r="BF67" t="e">
        <f>AND('Planilla_General_07-12-2012_8_3'!D998,"AAAAAHb+2zk=")</f>
        <v>#VALUE!</v>
      </c>
      <c r="BG67" t="e">
        <f>AND('Planilla_General_07-12-2012_8_3'!E998,"AAAAAHb+2zo=")</f>
        <v>#VALUE!</v>
      </c>
      <c r="BH67" t="e">
        <f>AND('Planilla_General_07-12-2012_8_3'!F998,"AAAAAHb+2zs=")</f>
        <v>#VALUE!</v>
      </c>
      <c r="BI67" t="e">
        <f>AND('Planilla_General_07-12-2012_8_3'!G998,"AAAAAHb+2zw=")</f>
        <v>#VALUE!</v>
      </c>
      <c r="BJ67" t="e">
        <f>AND('Planilla_General_07-12-2012_8_3'!H998,"AAAAAHb+2z0=")</f>
        <v>#VALUE!</v>
      </c>
      <c r="BK67" t="e">
        <f>AND('Planilla_General_07-12-2012_8_3'!I998,"AAAAAHb+2z4=")</f>
        <v>#VALUE!</v>
      </c>
      <c r="BL67" t="e">
        <f>AND('Planilla_General_07-12-2012_8_3'!J998,"AAAAAHb+2z8=")</f>
        <v>#VALUE!</v>
      </c>
      <c r="BM67" t="e">
        <f>AND('Planilla_General_07-12-2012_8_3'!K998,"AAAAAHb+20A=")</f>
        <v>#VALUE!</v>
      </c>
      <c r="BN67" t="e">
        <f>AND('Planilla_General_07-12-2012_8_3'!L998,"AAAAAHb+20E=")</f>
        <v>#VALUE!</v>
      </c>
      <c r="BO67" t="e">
        <f>AND('Planilla_General_07-12-2012_8_3'!M998,"AAAAAHb+20I=")</f>
        <v>#VALUE!</v>
      </c>
      <c r="BP67" t="e">
        <f>AND('Planilla_General_07-12-2012_8_3'!N998,"AAAAAHb+20M=")</f>
        <v>#VALUE!</v>
      </c>
      <c r="BQ67" t="e">
        <f>AND('Planilla_General_07-12-2012_8_3'!O998,"AAAAAHb+20Q=")</f>
        <v>#VALUE!</v>
      </c>
      <c r="BR67" t="e">
        <f>AND('Planilla_General_07-12-2012_8_3'!P998,"AAAAAHb+20U=")</f>
        <v>#VALUE!</v>
      </c>
      <c r="BS67">
        <f>IF('Planilla_General_07-12-2012_8_3'!999:999,"AAAAAHb+20Y=",0)</f>
        <v>0</v>
      </c>
      <c r="BT67" t="e">
        <f>AND('Planilla_General_07-12-2012_8_3'!A999,"AAAAAHb+20c=")</f>
        <v>#VALUE!</v>
      </c>
      <c r="BU67" t="e">
        <f>AND('Planilla_General_07-12-2012_8_3'!B999,"AAAAAHb+20g=")</f>
        <v>#VALUE!</v>
      </c>
      <c r="BV67" t="e">
        <f>AND('Planilla_General_07-12-2012_8_3'!C999,"AAAAAHb+20k=")</f>
        <v>#VALUE!</v>
      </c>
      <c r="BW67" t="e">
        <f>AND('Planilla_General_07-12-2012_8_3'!D999,"AAAAAHb+20o=")</f>
        <v>#VALUE!</v>
      </c>
      <c r="BX67" t="e">
        <f>AND('Planilla_General_07-12-2012_8_3'!E999,"AAAAAHb+20s=")</f>
        <v>#VALUE!</v>
      </c>
      <c r="BY67" t="e">
        <f>AND('Planilla_General_07-12-2012_8_3'!F999,"AAAAAHb+20w=")</f>
        <v>#VALUE!</v>
      </c>
      <c r="BZ67" t="e">
        <f>AND('Planilla_General_07-12-2012_8_3'!G999,"AAAAAHb+200=")</f>
        <v>#VALUE!</v>
      </c>
      <c r="CA67" t="e">
        <f>AND('Planilla_General_07-12-2012_8_3'!H999,"AAAAAHb+204=")</f>
        <v>#VALUE!</v>
      </c>
      <c r="CB67" t="e">
        <f>AND('Planilla_General_07-12-2012_8_3'!I999,"AAAAAHb+208=")</f>
        <v>#VALUE!</v>
      </c>
      <c r="CC67" t="e">
        <f>AND('Planilla_General_07-12-2012_8_3'!J999,"AAAAAHb+21A=")</f>
        <v>#VALUE!</v>
      </c>
      <c r="CD67" t="e">
        <f>AND('Planilla_General_07-12-2012_8_3'!K999,"AAAAAHb+21E=")</f>
        <v>#VALUE!</v>
      </c>
      <c r="CE67" t="e">
        <f>AND('Planilla_General_07-12-2012_8_3'!L999,"AAAAAHb+21I=")</f>
        <v>#VALUE!</v>
      </c>
      <c r="CF67" t="e">
        <f>AND('Planilla_General_07-12-2012_8_3'!M999,"AAAAAHb+21M=")</f>
        <v>#VALUE!</v>
      </c>
      <c r="CG67" t="e">
        <f>AND('Planilla_General_07-12-2012_8_3'!N999,"AAAAAHb+21Q=")</f>
        <v>#VALUE!</v>
      </c>
      <c r="CH67" t="e">
        <f>AND('Planilla_General_07-12-2012_8_3'!O999,"AAAAAHb+21U=")</f>
        <v>#VALUE!</v>
      </c>
      <c r="CI67" t="e">
        <f>AND('Planilla_General_07-12-2012_8_3'!P999,"AAAAAHb+21Y=")</f>
        <v>#VALUE!</v>
      </c>
      <c r="CJ67">
        <f>IF('Planilla_General_07-12-2012_8_3'!1000:1000,"AAAAAHb+21c=",0)</f>
        <v>0</v>
      </c>
      <c r="CK67" t="e">
        <f>AND('Planilla_General_07-12-2012_8_3'!A1000,"AAAAAHb+21g=")</f>
        <v>#VALUE!</v>
      </c>
      <c r="CL67" t="e">
        <f>AND('Planilla_General_07-12-2012_8_3'!B1000,"AAAAAHb+21k=")</f>
        <v>#VALUE!</v>
      </c>
      <c r="CM67" t="e">
        <f>AND('Planilla_General_07-12-2012_8_3'!C1000,"AAAAAHb+21o=")</f>
        <v>#VALUE!</v>
      </c>
      <c r="CN67" t="e">
        <f>AND('Planilla_General_07-12-2012_8_3'!D1000,"AAAAAHb+21s=")</f>
        <v>#VALUE!</v>
      </c>
      <c r="CO67" t="e">
        <f>AND('Planilla_General_07-12-2012_8_3'!E1000,"AAAAAHb+21w=")</f>
        <v>#VALUE!</v>
      </c>
      <c r="CP67" t="e">
        <f>AND('Planilla_General_07-12-2012_8_3'!F1000,"AAAAAHb+210=")</f>
        <v>#VALUE!</v>
      </c>
      <c r="CQ67" t="e">
        <f>AND('Planilla_General_07-12-2012_8_3'!G1000,"AAAAAHb+214=")</f>
        <v>#VALUE!</v>
      </c>
      <c r="CR67" t="e">
        <f>AND('Planilla_General_07-12-2012_8_3'!H1000,"AAAAAHb+218=")</f>
        <v>#VALUE!</v>
      </c>
      <c r="CS67" t="e">
        <f>AND('Planilla_General_07-12-2012_8_3'!I1000,"AAAAAHb+22A=")</f>
        <v>#VALUE!</v>
      </c>
      <c r="CT67" t="e">
        <f>AND('Planilla_General_07-12-2012_8_3'!J1000,"AAAAAHb+22E=")</f>
        <v>#VALUE!</v>
      </c>
      <c r="CU67" t="e">
        <f>AND('Planilla_General_07-12-2012_8_3'!K1000,"AAAAAHb+22I=")</f>
        <v>#VALUE!</v>
      </c>
      <c r="CV67" t="e">
        <f>AND('Planilla_General_07-12-2012_8_3'!L1000,"AAAAAHb+22M=")</f>
        <v>#VALUE!</v>
      </c>
      <c r="CW67" t="e">
        <f>AND('Planilla_General_07-12-2012_8_3'!M1000,"AAAAAHb+22Q=")</f>
        <v>#VALUE!</v>
      </c>
      <c r="CX67" t="e">
        <f>AND('Planilla_General_07-12-2012_8_3'!N1000,"AAAAAHb+22U=")</f>
        <v>#VALUE!</v>
      </c>
      <c r="CY67" t="e">
        <f>AND('Planilla_General_07-12-2012_8_3'!O1000,"AAAAAHb+22Y=")</f>
        <v>#VALUE!</v>
      </c>
      <c r="CZ67" t="e">
        <f>AND('Planilla_General_07-12-2012_8_3'!P1000,"AAAAAHb+22c=")</f>
        <v>#VALUE!</v>
      </c>
      <c r="DA67">
        <f>IF('Planilla_General_07-12-2012_8_3'!1001:1001,"AAAAAHb+22g=",0)</f>
        <v>0</v>
      </c>
      <c r="DB67" t="e">
        <f>AND('Planilla_General_07-12-2012_8_3'!A1001,"AAAAAHb+22k=")</f>
        <v>#VALUE!</v>
      </c>
      <c r="DC67" t="e">
        <f>AND('Planilla_General_07-12-2012_8_3'!B1001,"AAAAAHb+22o=")</f>
        <v>#VALUE!</v>
      </c>
      <c r="DD67" t="e">
        <f>AND('Planilla_General_07-12-2012_8_3'!C1001,"AAAAAHb+22s=")</f>
        <v>#VALUE!</v>
      </c>
      <c r="DE67" t="e">
        <f>AND('Planilla_General_07-12-2012_8_3'!D1001,"AAAAAHb+22w=")</f>
        <v>#VALUE!</v>
      </c>
      <c r="DF67" t="e">
        <f>AND('Planilla_General_07-12-2012_8_3'!E1001,"AAAAAHb+220=")</f>
        <v>#VALUE!</v>
      </c>
      <c r="DG67" t="e">
        <f>AND('Planilla_General_07-12-2012_8_3'!F1001,"AAAAAHb+224=")</f>
        <v>#VALUE!</v>
      </c>
      <c r="DH67" t="e">
        <f>AND('Planilla_General_07-12-2012_8_3'!G1001,"AAAAAHb+228=")</f>
        <v>#VALUE!</v>
      </c>
      <c r="DI67" t="e">
        <f>AND('Planilla_General_07-12-2012_8_3'!H1001,"AAAAAHb+23A=")</f>
        <v>#VALUE!</v>
      </c>
      <c r="DJ67" t="e">
        <f>AND('Planilla_General_07-12-2012_8_3'!I1001,"AAAAAHb+23E=")</f>
        <v>#VALUE!</v>
      </c>
      <c r="DK67" t="e">
        <f>AND('Planilla_General_07-12-2012_8_3'!J1001,"AAAAAHb+23I=")</f>
        <v>#VALUE!</v>
      </c>
      <c r="DL67" t="e">
        <f>AND('Planilla_General_07-12-2012_8_3'!K1001,"AAAAAHb+23M=")</f>
        <v>#VALUE!</v>
      </c>
      <c r="DM67" t="e">
        <f>AND('Planilla_General_07-12-2012_8_3'!L1001,"AAAAAHb+23Q=")</f>
        <v>#VALUE!</v>
      </c>
      <c r="DN67" t="e">
        <f>AND('Planilla_General_07-12-2012_8_3'!M1001,"AAAAAHb+23U=")</f>
        <v>#VALUE!</v>
      </c>
      <c r="DO67" t="e">
        <f>AND('Planilla_General_07-12-2012_8_3'!N1001,"AAAAAHb+23Y=")</f>
        <v>#VALUE!</v>
      </c>
      <c r="DP67" t="e">
        <f>AND('Planilla_General_07-12-2012_8_3'!O1001,"AAAAAHb+23c=")</f>
        <v>#VALUE!</v>
      </c>
      <c r="DQ67" t="e">
        <f>AND('Planilla_General_07-12-2012_8_3'!P1001,"AAAAAHb+23g=")</f>
        <v>#VALUE!</v>
      </c>
      <c r="DR67">
        <f>IF('Planilla_General_07-12-2012_8_3'!1002:1002,"AAAAAHb+23k=",0)</f>
        <v>0</v>
      </c>
      <c r="DS67" t="e">
        <f>AND('Planilla_General_07-12-2012_8_3'!A1002,"AAAAAHb+23o=")</f>
        <v>#VALUE!</v>
      </c>
      <c r="DT67" t="e">
        <f>AND('Planilla_General_07-12-2012_8_3'!B1002,"AAAAAHb+23s=")</f>
        <v>#VALUE!</v>
      </c>
      <c r="DU67" t="e">
        <f>AND('Planilla_General_07-12-2012_8_3'!C1002,"AAAAAHb+23w=")</f>
        <v>#VALUE!</v>
      </c>
      <c r="DV67" t="e">
        <f>AND('Planilla_General_07-12-2012_8_3'!D1002,"AAAAAHb+230=")</f>
        <v>#VALUE!</v>
      </c>
      <c r="DW67" t="e">
        <f>AND('Planilla_General_07-12-2012_8_3'!E1002,"AAAAAHb+234=")</f>
        <v>#VALUE!</v>
      </c>
      <c r="DX67" t="e">
        <f>AND('Planilla_General_07-12-2012_8_3'!F1002,"AAAAAHb+238=")</f>
        <v>#VALUE!</v>
      </c>
      <c r="DY67" t="e">
        <f>AND('Planilla_General_07-12-2012_8_3'!G1002,"AAAAAHb+24A=")</f>
        <v>#VALUE!</v>
      </c>
      <c r="DZ67" t="e">
        <f>AND('Planilla_General_07-12-2012_8_3'!H1002,"AAAAAHb+24E=")</f>
        <v>#VALUE!</v>
      </c>
      <c r="EA67" t="e">
        <f>AND('Planilla_General_07-12-2012_8_3'!I1002,"AAAAAHb+24I=")</f>
        <v>#VALUE!</v>
      </c>
      <c r="EB67" t="e">
        <f>AND('Planilla_General_07-12-2012_8_3'!J1002,"AAAAAHb+24M=")</f>
        <v>#VALUE!</v>
      </c>
      <c r="EC67" t="e">
        <f>AND('Planilla_General_07-12-2012_8_3'!K1002,"AAAAAHb+24Q=")</f>
        <v>#VALUE!</v>
      </c>
      <c r="ED67" t="e">
        <f>AND('Planilla_General_07-12-2012_8_3'!L1002,"AAAAAHb+24U=")</f>
        <v>#VALUE!</v>
      </c>
      <c r="EE67" t="e">
        <f>AND('Planilla_General_07-12-2012_8_3'!M1002,"AAAAAHb+24Y=")</f>
        <v>#VALUE!</v>
      </c>
      <c r="EF67" t="e">
        <f>AND('Planilla_General_07-12-2012_8_3'!N1002,"AAAAAHb+24c=")</f>
        <v>#VALUE!</v>
      </c>
      <c r="EG67" t="e">
        <f>AND('Planilla_General_07-12-2012_8_3'!O1002,"AAAAAHb+24g=")</f>
        <v>#VALUE!</v>
      </c>
      <c r="EH67" t="e">
        <f>AND('Planilla_General_07-12-2012_8_3'!P1002,"AAAAAHb+24k=")</f>
        <v>#VALUE!</v>
      </c>
      <c r="EI67">
        <f>IF('Planilla_General_07-12-2012_8_3'!1003:1003,"AAAAAHb+24o=",0)</f>
        <v>0</v>
      </c>
      <c r="EJ67" t="e">
        <f>AND('Planilla_General_07-12-2012_8_3'!A1003,"AAAAAHb+24s=")</f>
        <v>#VALUE!</v>
      </c>
      <c r="EK67" t="e">
        <f>AND('Planilla_General_07-12-2012_8_3'!B1003,"AAAAAHb+24w=")</f>
        <v>#VALUE!</v>
      </c>
      <c r="EL67" t="e">
        <f>AND('Planilla_General_07-12-2012_8_3'!C1003,"AAAAAHb+240=")</f>
        <v>#VALUE!</v>
      </c>
      <c r="EM67" t="e">
        <f>AND('Planilla_General_07-12-2012_8_3'!D1003,"AAAAAHb+244=")</f>
        <v>#VALUE!</v>
      </c>
      <c r="EN67" t="e">
        <f>AND('Planilla_General_07-12-2012_8_3'!E1003,"AAAAAHb+248=")</f>
        <v>#VALUE!</v>
      </c>
      <c r="EO67" t="e">
        <f>AND('Planilla_General_07-12-2012_8_3'!F1003,"AAAAAHb+25A=")</f>
        <v>#VALUE!</v>
      </c>
      <c r="EP67" t="e">
        <f>AND('Planilla_General_07-12-2012_8_3'!G1003,"AAAAAHb+25E=")</f>
        <v>#VALUE!</v>
      </c>
      <c r="EQ67" t="e">
        <f>AND('Planilla_General_07-12-2012_8_3'!H1003,"AAAAAHb+25I=")</f>
        <v>#VALUE!</v>
      </c>
      <c r="ER67" t="e">
        <f>AND('Planilla_General_07-12-2012_8_3'!I1003,"AAAAAHb+25M=")</f>
        <v>#VALUE!</v>
      </c>
      <c r="ES67" t="e">
        <f>AND('Planilla_General_07-12-2012_8_3'!J1003,"AAAAAHb+25Q=")</f>
        <v>#VALUE!</v>
      </c>
      <c r="ET67" t="e">
        <f>AND('Planilla_General_07-12-2012_8_3'!K1003,"AAAAAHb+25U=")</f>
        <v>#VALUE!</v>
      </c>
      <c r="EU67" t="e">
        <f>AND('Planilla_General_07-12-2012_8_3'!L1003,"AAAAAHb+25Y=")</f>
        <v>#VALUE!</v>
      </c>
      <c r="EV67" t="e">
        <f>AND('Planilla_General_07-12-2012_8_3'!M1003,"AAAAAHb+25c=")</f>
        <v>#VALUE!</v>
      </c>
      <c r="EW67" t="e">
        <f>AND('Planilla_General_07-12-2012_8_3'!N1003,"AAAAAHb+25g=")</f>
        <v>#VALUE!</v>
      </c>
      <c r="EX67" t="e">
        <f>AND('Planilla_General_07-12-2012_8_3'!O1003,"AAAAAHb+25k=")</f>
        <v>#VALUE!</v>
      </c>
      <c r="EY67" t="e">
        <f>AND('Planilla_General_07-12-2012_8_3'!P1003,"AAAAAHb+25o=")</f>
        <v>#VALUE!</v>
      </c>
      <c r="EZ67">
        <f>IF('Planilla_General_07-12-2012_8_3'!1004:1004,"AAAAAHb+25s=",0)</f>
        <v>0</v>
      </c>
      <c r="FA67" t="e">
        <f>AND('Planilla_General_07-12-2012_8_3'!A1004,"AAAAAHb+25w=")</f>
        <v>#VALUE!</v>
      </c>
      <c r="FB67" t="e">
        <f>AND('Planilla_General_07-12-2012_8_3'!B1004,"AAAAAHb+250=")</f>
        <v>#VALUE!</v>
      </c>
      <c r="FC67" t="e">
        <f>AND('Planilla_General_07-12-2012_8_3'!C1004,"AAAAAHb+254=")</f>
        <v>#VALUE!</v>
      </c>
      <c r="FD67" t="e">
        <f>AND('Planilla_General_07-12-2012_8_3'!D1004,"AAAAAHb+258=")</f>
        <v>#VALUE!</v>
      </c>
      <c r="FE67" t="e">
        <f>AND('Planilla_General_07-12-2012_8_3'!E1004,"AAAAAHb+26A=")</f>
        <v>#VALUE!</v>
      </c>
      <c r="FF67" t="e">
        <f>AND('Planilla_General_07-12-2012_8_3'!F1004,"AAAAAHb+26E=")</f>
        <v>#VALUE!</v>
      </c>
      <c r="FG67" t="e">
        <f>AND('Planilla_General_07-12-2012_8_3'!G1004,"AAAAAHb+26I=")</f>
        <v>#VALUE!</v>
      </c>
      <c r="FH67" t="e">
        <f>AND('Planilla_General_07-12-2012_8_3'!H1004,"AAAAAHb+26M=")</f>
        <v>#VALUE!</v>
      </c>
      <c r="FI67" t="e">
        <f>AND('Planilla_General_07-12-2012_8_3'!I1004,"AAAAAHb+26Q=")</f>
        <v>#VALUE!</v>
      </c>
      <c r="FJ67" t="e">
        <f>AND('Planilla_General_07-12-2012_8_3'!J1004,"AAAAAHb+26U=")</f>
        <v>#VALUE!</v>
      </c>
      <c r="FK67" t="e">
        <f>AND('Planilla_General_07-12-2012_8_3'!K1004,"AAAAAHb+26Y=")</f>
        <v>#VALUE!</v>
      </c>
      <c r="FL67" t="e">
        <f>AND('Planilla_General_07-12-2012_8_3'!L1004,"AAAAAHb+26c=")</f>
        <v>#VALUE!</v>
      </c>
      <c r="FM67" t="e">
        <f>AND('Planilla_General_07-12-2012_8_3'!M1004,"AAAAAHb+26g=")</f>
        <v>#VALUE!</v>
      </c>
      <c r="FN67" t="e">
        <f>AND('Planilla_General_07-12-2012_8_3'!N1004,"AAAAAHb+26k=")</f>
        <v>#VALUE!</v>
      </c>
      <c r="FO67" t="e">
        <f>AND('Planilla_General_07-12-2012_8_3'!O1004,"AAAAAHb+26o=")</f>
        <v>#VALUE!</v>
      </c>
      <c r="FP67" t="e">
        <f>AND('Planilla_General_07-12-2012_8_3'!P1004,"AAAAAHb+26s=")</f>
        <v>#VALUE!</v>
      </c>
      <c r="FQ67">
        <f>IF('Planilla_General_07-12-2012_8_3'!1005:1005,"AAAAAHb+26w=",0)</f>
        <v>0</v>
      </c>
      <c r="FR67" t="e">
        <f>AND('Planilla_General_07-12-2012_8_3'!A1005,"AAAAAHb+260=")</f>
        <v>#VALUE!</v>
      </c>
      <c r="FS67" t="e">
        <f>AND('Planilla_General_07-12-2012_8_3'!B1005,"AAAAAHb+264=")</f>
        <v>#VALUE!</v>
      </c>
      <c r="FT67" t="e">
        <f>AND('Planilla_General_07-12-2012_8_3'!C1005,"AAAAAHb+268=")</f>
        <v>#VALUE!</v>
      </c>
      <c r="FU67" t="e">
        <f>AND('Planilla_General_07-12-2012_8_3'!D1005,"AAAAAHb+27A=")</f>
        <v>#VALUE!</v>
      </c>
      <c r="FV67" t="e">
        <f>AND('Planilla_General_07-12-2012_8_3'!E1005,"AAAAAHb+27E=")</f>
        <v>#VALUE!</v>
      </c>
      <c r="FW67" t="e">
        <f>AND('Planilla_General_07-12-2012_8_3'!F1005,"AAAAAHb+27I=")</f>
        <v>#VALUE!</v>
      </c>
      <c r="FX67" t="e">
        <f>AND('Planilla_General_07-12-2012_8_3'!G1005,"AAAAAHb+27M=")</f>
        <v>#VALUE!</v>
      </c>
      <c r="FY67" t="e">
        <f>AND('Planilla_General_07-12-2012_8_3'!H1005,"AAAAAHb+27Q=")</f>
        <v>#VALUE!</v>
      </c>
      <c r="FZ67" t="e">
        <f>AND('Planilla_General_07-12-2012_8_3'!I1005,"AAAAAHb+27U=")</f>
        <v>#VALUE!</v>
      </c>
      <c r="GA67" t="e">
        <f>AND('Planilla_General_07-12-2012_8_3'!J1005,"AAAAAHb+27Y=")</f>
        <v>#VALUE!</v>
      </c>
      <c r="GB67" t="e">
        <f>AND('Planilla_General_07-12-2012_8_3'!K1005,"AAAAAHb+27c=")</f>
        <v>#VALUE!</v>
      </c>
      <c r="GC67" t="e">
        <f>AND('Planilla_General_07-12-2012_8_3'!L1005,"AAAAAHb+27g=")</f>
        <v>#VALUE!</v>
      </c>
      <c r="GD67" t="e">
        <f>AND('Planilla_General_07-12-2012_8_3'!M1005,"AAAAAHb+27k=")</f>
        <v>#VALUE!</v>
      </c>
      <c r="GE67" t="e">
        <f>AND('Planilla_General_07-12-2012_8_3'!N1005,"AAAAAHb+27o=")</f>
        <v>#VALUE!</v>
      </c>
      <c r="GF67" t="e">
        <f>AND('Planilla_General_07-12-2012_8_3'!O1005,"AAAAAHb+27s=")</f>
        <v>#VALUE!</v>
      </c>
      <c r="GG67" t="e">
        <f>AND('Planilla_General_07-12-2012_8_3'!P1005,"AAAAAHb+27w=")</f>
        <v>#VALUE!</v>
      </c>
      <c r="GH67">
        <f>IF('Planilla_General_07-12-2012_8_3'!1006:1006,"AAAAAHb+270=",0)</f>
        <v>0</v>
      </c>
      <c r="GI67" t="e">
        <f>AND('Planilla_General_07-12-2012_8_3'!A1006,"AAAAAHb+274=")</f>
        <v>#VALUE!</v>
      </c>
      <c r="GJ67" t="e">
        <f>AND('Planilla_General_07-12-2012_8_3'!B1006,"AAAAAHb+278=")</f>
        <v>#VALUE!</v>
      </c>
      <c r="GK67" t="e">
        <f>AND('Planilla_General_07-12-2012_8_3'!C1006,"AAAAAHb+28A=")</f>
        <v>#VALUE!</v>
      </c>
      <c r="GL67" t="e">
        <f>AND('Planilla_General_07-12-2012_8_3'!D1006,"AAAAAHb+28E=")</f>
        <v>#VALUE!</v>
      </c>
      <c r="GM67" t="e">
        <f>AND('Planilla_General_07-12-2012_8_3'!E1006,"AAAAAHb+28I=")</f>
        <v>#VALUE!</v>
      </c>
      <c r="GN67" t="e">
        <f>AND('Planilla_General_07-12-2012_8_3'!F1006,"AAAAAHb+28M=")</f>
        <v>#VALUE!</v>
      </c>
      <c r="GO67" t="e">
        <f>AND('Planilla_General_07-12-2012_8_3'!G1006,"AAAAAHb+28Q=")</f>
        <v>#VALUE!</v>
      </c>
      <c r="GP67" t="e">
        <f>AND('Planilla_General_07-12-2012_8_3'!H1006,"AAAAAHb+28U=")</f>
        <v>#VALUE!</v>
      </c>
      <c r="GQ67" t="e">
        <f>AND('Planilla_General_07-12-2012_8_3'!I1006,"AAAAAHb+28Y=")</f>
        <v>#VALUE!</v>
      </c>
      <c r="GR67" t="e">
        <f>AND('Planilla_General_07-12-2012_8_3'!J1006,"AAAAAHb+28c=")</f>
        <v>#VALUE!</v>
      </c>
      <c r="GS67" t="e">
        <f>AND('Planilla_General_07-12-2012_8_3'!K1006,"AAAAAHb+28g=")</f>
        <v>#VALUE!</v>
      </c>
      <c r="GT67" t="e">
        <f>AND('Planilla_General_07-12-2012_8_3'!L1006,"AAAAAHb+28k=")</f>
        <v>#VALUE!</v>
      </c>
      <c r="GU67" t="e">
        <f>AND('Planilla_General_07-12-2012_8_3'!M1006,"AAAAAHb+28o=")</f>
        <v>#VALUE!</v>
      </c>
      <c r="GV67" t="e">
        <f>AND('Planilla_General_07-12-2012_8_3'!N1006,"AAAAAHb+28s=")</f>
        <v>#VALUE!</v>
      </c>
      <c r="GW67" t="e">
        <f>AND('Planilla_General_07-12-2012_8_3'!O1006,"AAAAAHb+28w=")</f>
        <v>#VALUE!</v>
      </c>
      <c r="GX67" t="e">
        <f>AND('Planilla_General_07-12-2012_8_3'!P1006,"AAAAAHb+280=")</f>
        <v>#VALUE!</v>
      </c>
      <c r="GY67">
        <f>IF('Planilla_General_07-12-2012_8_3'!1007:1007,"AAAAAHb+284=",0)</f>
        <v>0</v>
      </c>
      <c r="GZ67" t="e">
        <f>AND('Planilla_General_07-12-2012_8_3'!A1007,"AAAAAHb+288=")</f>
        <v>#VALUE!</v>
      </c>
      <c r="HA67" t="e">
        <f>AND('Planilla_General_07-12-2012_8_3'!B1007,"AAAAAHb+29A=")</f>
        <v>#VALUE!</v>
      </c>
      <c r="HB67" t="e">
        <f>AND('Planilla_General_07-12-2012_8_3'!C1007,"AAAAAHb+29E=")</f>
        <v>#VALUE!</v>
      </c>
      <c r="HC67" t="e">
        <f>AND('Planilla_General_07-12-2012_8_3'!D1007,"AAAAAHb+29I=")</f>
        <v>#VALUE!</v>
      </c>
      <c r="HD67" t="e">
        <f>AND('Planilla_General_07-12-2012_8_3'!E1007,"AAAAAHb+29M=")</f>
        <v>#VALUE!</v>
      </c>
      <c r="HE67" t="e">
        <f>AND('Planilla_General_07-12-2012_8_3'!F1007,"AAAAAHb+29Q=")</f>
        <v>#VALUE!</v>
      </c>
      <c r="HF67" t="e">
        <f>AND('Planilla_General_07-12-2012_8_3'!G1007,"AAAAAHb+29U=")</f>
        <v>#VALUE!</v>
      </c>
      <c r="HG67" t="e">
        <f>AND('Planilla_General_07-12-2012_8_3'!H1007,"AAAAAHb+29Y=")</f>
        <v>#VALUE!</v>
      </c>
      <c r="HH67" t="e">
        <f>AND('Planilla_General_07-12-2012_8_3'!I1007,"AAAAAHb+29c=")</f>
        <v>#VALUE!</v>
      </c>
      <c r="HI67" t="e">
        <f>AND('Planilla_General_07-12-2012_8_3'!J1007,"AAAAAHb+29g=")</f>
        <v>#VALUE!</v>
      </c>
      <c r="HJ67" t="e">
        <f>AND('Planilla_General_07-12-2012_8_3'!K1007,"AAAAAHb+29k=")</f>
        <v>#VALUE!</v>
      </c>
      <c r="HK67" t="e">
        <f>AND('Planilla_General_07-12-2012_8_3'!L1007,"AAAAAHb+29o=")</f>
        <v>#VALUE!</v>
      </c>
      <c r="HL67" t="e">
        <f>AND('Planilla_General_07-12-2012_8_3'!M1007,"AAAAAHb+29s=")</f>
        <v>#VALUE!</v>
      </c>
      <c r="HM67" t="e">
        <f>AND('Planilla_General_07-12-2012_8_3'!N1007,"AAAAAHb+29w=")</f>
        <v>#VALUE!</v>
      </c>
      <c r="HN67" t="e">
        <f>AND('Planilla_General_07-12-2012_8_3'!O1007,"AAAAAHb+290=")</f>
        <v>#VALUE!</v>
      </c>
      <c r="HO67" t="e">
        <f>AND('Planilla_General_07-12-2012_8_3'!P1007,"AAAAAHb+294=")</f>
        <v>#VALUE!</v>
      </c>
      <c r="HP67">
        <f>IF('Planilla_General_07-12-2012_8_3'!1008:1008,"AAAAAHb+298=",0)</f>
        <v>0</v>
      </c>
      <c r="HQ67" t="e">
        <f>AND('Planilla_General_07-12-2012_8_3'!A1008,"AAAAAHb+2+A=")</f>
        <v>#VALUE!</v>
      </c>
      <c r="HR67" t="e">
        <f>AND('Planilla_General_07-12-2012_8_3'!B1008,"AAAAAHb+2+E=")</f>
        <v>#VALUE!</v>
      </c>
      <c r="HS67" t="e">
        <f>AND('Planilla_General_07-12-2012_8_3'!C1008,"AAAAAHb+2+I=")</f>
        <v>#VALUE!</v>
      </c>
      <c r="HT67" t="e">
        <f>AND('Planilla_General_07-12-2012_8_3'!D1008,"AAAAAHb+2+M=")</f>
        <v>#VALUE!</v>
      </c>
      <c r="HU67" t="e">
        <f>AND('Planilla_General_07-12-2012_8_3'!E1008,"AAAAAHb+2+Q=")</f>
        <v>#VALUE!</v>
      </c>
      <c r="HV67" t="e">
        <f>AND('Planilla_General_07-12-2012_8_3'!F1008,"AAAAAHb+2+U=")</f>
        <v>#VALUE!</v>
      </c>
      <c r="HW67" t="e">
        <f>AND('Planilla_General_07-12-2012_8_3'!G1008,"AAAAAHb+2+Y=")</f>
        <v>#VALUE!</v>
      </c>
      <c r="HX67" t="e">
        <f>AND('Planilla_General_07-12-2012_8_3'!H1008,"AAAAAHb+2+c=")</f>
        <v>#VALUE!</v>
      </c>
      <c r="HY67" t="e">
        <f>AND('Planilla_General_07-12-2012_8_3'!I1008,"AAAAAHb+2+g=")</f>
        <v>#VALUE!</v>
      </c>
      <c r="HZ67" t="e">
        <f>AND('Planilla_General_07-12-2012_8_3'!J1008,"AAAAAHb+2+k=")</f>
        <v>#VALUE!</v>
      </c>
      <c r="IA67" t="e">
        <f>AND('Planilla_General_07-12-2012_8_3'!K1008,"AAAAAHb+2+o=")</f>
        <v>#VALUE!</v>
      </c>
      <c r="IB67" t="e">
        <f>AND('Planilla_General_07-12-2012_8_3'!L1008,"AAAAAHb+2+s=")</f>
        <v>#VALUE!</v>
      </c>
      <c r="IC67" t="e">
        <f>AND('Planilla_General_07-12-2012_8_3'!M1008,"AAAAAHb+2+w=")</f>
        <v>#VALUE!</v>
      </c>
      <c r="ID67" t="e">
        <f>AND('Planilla_General_07-12-2012_8_3'!N1008,"AAAAAHb+2+0=")</f>
        <v>#VALUE!</v>
      </c>
      <c r="IE67" t="e">
        <f>AND('Planilla_General_07-12-2012_8_3'!O1008,"AAAAAHb+2+4=")</f>
        <v>#VALUE!</v>
      </c>
      <c r="IF67" t="e">
        <f>AND('Planilla_General_07-12-2012_8_3'!P1008,"AAAAAHb+2+8=")</f>
        <v>#VALUE!</v>
      </c>
      <c r="IG67">
        <f>IF('Planilla_General_07-12-2012_8_3'!1009:1009,"AAAAAHb+2/A=",0)</f>
        <v>0</v>
      </c>
      <c r="IH67" t="e">
        <f>AND('Planilla_General_07-12-2012_8_3'!A1009,"AAAAAHb+2/E=")</f>
        <v>#VALUE!</v>
      </c>
      <c r="II67" t="e">
        <f>AND('Planilla_General_07-12-2012_8_3'!B1009,"AAAAAHb+2/I=")</f>
        <v>#VALUE!</v>
      </c>
      <c r="IJ67" t="e">
        <f>AND('Planilla_General_07-12-2012_8_3'!C1009,"AAAAAHb+2/M=")</f>
        <v>#VALUE!</v>
      </c>
      <c r="IK67" t="e">
        <f>AND('Planilla_General_07-12-2012_8_3'!D1009,"AAAAAHb+2/Q=")</f>
        <v>#VALUE!</v>
      </c>
      <c r="IL67" t="e">
        <f>AND('Planilla_General_07-12-2012_8_3'!E1009,"AAAAAHb+2/U=")</f>
        <v>#VALUE!</v>
      </c>
      <c r="IM67" t="e">
        <f>AND('Planilla_General_07-12-2012_8_3'!F1009,"AAAAAHb+2/Y=")</f>
        <v>#VALUE!</v>
      </c>
      <c r="IN67" t="e">
        <f>AND('Planilla_General_07-12-2012_8_3'!G1009,"AAAAAHb+2/c=")</f>
        <v>#VALUE!</v>
      </c>
      <c r="IO67" t="e">
        <f>AND('Planilla_General_07-12-2012_8_3'!H1009,"AAAAAHb+2/g=")</f>
        <v>#VALUE!</v>
      </c>
      <c r="IP67" t="e">
        <f>AND('Planilla_General_07-12-2012_8_3'!I1009,"AAAAAHb+2/k=")</f>
        <v>#VALUE!</v>
      </c>
      <c r="IQ67" t="e">
        <f>AND('Planilla_General_07-12-2012_8_3'!J1009,"AAAAAHb+2/o=")</f>
        <v>#VALUE!</v>
      </c>
      <c r="IR67" t="e">
        <f>AND('Planilla_General_07-12-2012_8_3'!K1009,"AAAAAHb+2/s=")</f>
        <v>#VALUE!</v>
      </c>
      <c r="IS67" t="e">
        <f>AND('Planilla_General_07-12-2012_8_3'!L1009,"AAAAAHb+2/w=")</f>
        <v>#VALUE!</v>
      </c>
      <c r="IT67" t="e">
        <f>AND('Planilla_General_07-12-2012_8_3'!M1009,"AAAAAHb+2/0=")</f>
        <v>#VALUE!</v>
      </c>
      <c r="IU67" t="e">
        <f>AND('Planilla_General_07-12-2012_8_3'!N1009,"AAAAAHb+2/4=")</f>
        <v>#VALUE!</v>
      </c>
      <c r="IV67" t="e">
        <f>AND('Planilla_General_07-12-2012_8_3'!O1009,"AAAAAHb+2/8=")</f>
        <v>#VALUE!</v>
      </c>
    </row>
    <row r="68" spans="1:256" x14ac:dyDescent="0.25">
      <c r="A68" t="e">
        <f>AND('Planilla_General_07-12-2012_8_3'!P1009,"AAAAAD9L/wA=")</f>
        <v>#VALUE!</v>
      </c>
      <c r="B68" t="e">
        <f>IF('Planilla_General_07-12-2012_8_3'!1010:1010,"AAAAAD9L/wE=",0)</f>
        <v>#VALUE!</v>
      </c>
      <c r="C68" t="e">
        <f>AND('Planilla_General_07-12-2012_8_3'!A1010,"AAAAAD9L/wI=")</f>
        <v>#VALUE!</v>
      </c>
      <c r="D68" t="e">
        <f>AND('Planilla_General_07-12-2012_8_3'!B1010,"AAAAAD9L/wM=")</f>
        <v>#VALUE!</v>
      </c>
      <c r="E68" t="e">
        <f>AND('Planilla_General_07-12-2012_8_3'!C1010,"AAAAAD9L/wQ=")</f>
        <v>#VALUE!</v>
      </c>
      <c r="F68" t="e">
        <f>AND('Planilla_General_07-12-2012_8_3'!D1010,"AAAAAD9L/wU=")</f>
        <v>#VALUE!</v>
      </c>
      <c r="G68" t="e">
        <f>AND('Planilla_General_07-12-2012_8_3'!E1010,"AAAAAD9L/wY=")</f>
        <v>#VALUE!</v>
      </c>
      <c r="H68" t="e">
        <f>AND('Planilla_General_07-12-2012_8_3'!F1010,"AAAAAD9L/wc=")</f>
        <v>#VALUE!</v>
      </c>
      <c r="I68" t="e">
        <f>AND('Planilla_General_07-12-2012_8_3'!G1010,"AAAAAD9L/wg=")</f>
        <v>#VALUE!</v>
      </c>
      <c r="J68" t="e">
        <f>AND('Planilla_General_07-12-2012_8_3'!H1010,"AAAAAD9L/wk=")</f>
        <v>#VALUE!</v>
      </c>
      <c r="K68" t="e">
        <f>AND('Planilla_General_07-12-2012_8_3'!I1010,"AAAAAD9L/wo=")</f>
        <v>#VALUE!</v>
      </c>
      <c r="L68" t="e">
        <f>AND('Planilla_General_07-12-2012_8_3'!J1010,"AAAAAD9L/ws=")</f>
        <v>#VALUE!</v>
      </c>
      <c r="M68" t="e">
        <f>AND('Planilla_General_07-12-2012_8_3'!K1010,"AAAAAD9L/ww=")</f>
        <v>#VALUE!</v>
      </c>
      <c r="N68" t="e">
        <f>AND('Planilla_General_07-12-2012_8_3'!L1010,"AAAAAD9L/w0=")</f>
        <v>#VALUE!</v>
      </c>
      <c r="O68" t="e">
        <f>AND('Planilla_General_07-12-2012_8_3'!M1010,"AAAAAD9L/w4=")</f>
        <v>#VALUE!</v>
      </c>
      <c r="P68" t="e">
        <f>AND('Planilla_General_07-12-2012_8_3'!N1010,"AAAAAD9L/w8=")</f>
        <v>#VALUE!</v>
      </c>
      <c r="Q68" t="e">
        <f>AND('Planilla_General_07-12-2012_8_3'!O1010,"AAAAAD9L/xA=")</f>
        <v>#VALUE!</v>
      </c>
      <c r="R68" t="e">
        <f>AND('Planilla_General_07-12-2012_8_3'!P1010,"AAAAAD9L/xE=")</f>
        <v>#VALUE!</v>
      </c>
      <c r="S68">
        <f>IF('Planilla_General_07-12-2012_8_3'!1011:1011,"AAAAAD9L/xI=",0)</f>
        <v>0</v>
      </c>
      <c r="T68" t="e">
        <f>AND('Planilla_General_07-12-2012_8_3'!A1011,"AAAAAD9L/xM=")</f>
        <v>#VALUE!</v>
      </c>
      <c r="U68" t="e">
        <f>AND('Planilla_General_07-12-2012_8_3'!B1011,"AAAAAD9L/xQ=")</f>
        <v>#VALUE!</v>
      </c>
      <c r="V68" t="e">
        <f>AND('Planilla_General_07-12-2012_8_3'!C1011,"AAAAAD9L/xU=")</f>
        <v>#VALUE!</v>
      </c>
      <c r="W68" t="e">
        <f>AND('Planilla_General_07-12-2012_8_3'!D1011,"AAAAAD9L/xY=")</f>
        <v>#VALUE!</v>
      </c>
      <c r="X68" t="e">
        <f>AND('Planilla_General_07-12-2012_8_3'!E1011,"AAAAAD9L/xc=")</f>
        <v>#VALUE!</v>
      </c>
      <c r="Y68" t="e">
        <f>AND('Planilla_General_07-12-2012_8_3'!F1011,"AAAAAD9L/xg=")</f>
        <v>#VALUE!</v>
      </c>
      <c r="Z68" t="e">
        <f>AND('Planilla_General_07-12-2012_8_3'!G1011,"AAAAAD9L/xk=")</f>
        <v>#VALUE!</v>
      </c>
      <c r="AA68" t="e">
        <f>AND('Planilla_General_07-12-2012_8_3'!H1011,"AAAAAD9L/xo=")</f>
        <v>#VALUE!</v>
      </c>
      <c r="AB68" t="e">
        <f>AND('Planilla_General_07-12-2012_8_3'!I1011,"AAAAAD9L/xs=")</f>
        <v>#VALUE!</v>
      </c>
      <c r="AC68" t="e">
        <f>AND('Planilla_General_07-12-2012_8_3'!J1011,"AAAAAD9L/xw=")</f>
        <v>#VALUE!</v>
      </c>
      <c r="AD68" t="e">
        <f>AND('Planilla_General_07-12-2012_8_3'!K1011,"AAAAAD9L/x0=")</f>
        <v>#VALUE!</v>
      </c>
      <c r="AE68" t="e">
        <f>AND('Planilla_General_07-12-2012_8_3'!L1011,"AAAAAD9L/x4=")</f>
        <v>#VALUE!</v>
      </c>
      <c r="AF68" t="e">
        <f>AND('Planilla_General_07-12-2012_8_3'!M1011,"AAAAAD9L/x8=")</f>
        <v>#VALUE!</v>
      </c>
      <c r="AG68" t="e">
        <f>AND('Planilla_General_07-12-2012_8_3'!N1011,"AAAAAD9L/yA=")</f>
        <v>#VALUE!</v>
      </c>
      <c r="AH68" t="e">
        <f>AND('Planilla_General_07-12-2012_8_3'!O1011,"AAAAAD9L/yE=")</f>
        <v>#VALUE!</v>
      </c>
      <c r="AI68" t="e">
        <f>AND('Planilla_General_07-12-2012_8_3'!P1011,"AAAAAD9L/yI=")</f>
        <v>#VALUE!</v>
      </c>
      <c r="AJ68">
        <f>IF('Planilla_General_07-12-2012_8_3'!1012:1012,"AAAAAD9L/yM=",0)</f>
        <v>0</v>
      </c>
      <c r="AK68" t="e">
        <f>AND('Planilla_General_07-12-2012_8_3'!A1012,"AAAAAD9L/yQ=")</f>
        <v>#VALUE!</v>
      </c>
      <c r="AL68" t="e">
        <f>AND('Planilla_General_07-12-2012_8_3'!B1012,"AAAAAD9L/yU=")</f>
        <v>#VALUE!</v>
      </c>
      <c r="AM68" t="e">
        <f>AND('Planilla_General_07-12-2012_8_3'!C1012,"AAAAAD9L/yY=")</f>
        <v>#VALUE!</v>
      </c>
      <c r="AN68" t="e">
        <f>AND('Planilla_General_07-12-2012_8_3'!D1012,"AAAAAD9L/yc=")</f>
        <v>#VALUE!</v>
      </c>
      <c r="AO68" t="e">
        <f>AND('Planilla_General_07-12-2012_8_3'!E1012,"AAAAAD9L/yg=")</f>
        <v>#VALUE!</v>
      </c>
      <c r="AP68" t="e">
        <f>AND('Planilla_General_07-12-2012_8_3'!F1012,"AAAAAD9L/yk=")</f>
        <v>#VALUE!</v>
      </c>
      <c r="AQ68" t="e">
        <f>AND('Planilla_General_07-12-2012_8_3'!G1012,"AAAAAD9L/yo=")</f>
        <v>#VALUE!</v>
      </c>
      <c r="AR68" t="e">
        <f>AND('Planilla_General_07-12-2012_8_3'!H1012,"AAAAAD9L/ys=")</f>
        <v>#VALUE!</v>
      </c>
      <c r="AS68" t="e">
        <f>AND('Planilla_General_07-12-2012_8_3'!I1012,"AAAAAD9L/yw=")</f>
        <v>#VALUE!</v>
      </c>
      <c r="AT68" t="e">
        <f>AND('Planilla_General_07-12-2012_8_3'!J1012,"AAAAAD9L/y0=")</f>
        <v>#VALUE!</v>
      </c>
      <c r="AU68" t="e">
        <f>AND('Planilla_General_07-12-2012_8_3'!K1012,"AAAAAD9L/y4=")</f>
        <v>#VALUE!</v>
      </c>
      <c r="AV68" t="e">
        <f>AND('Planilla_General_07-12-2012_8_3'!L1012,"AAAAAD9L/y8=")</f>
        <v>#VALUE!</v>
      </c>
      <c r="AW68" t="e">
        <f>AND('Planilla_General_07-12-2012_8_3'!M1012,"AAAAAD9L/zA=")</f>
        <v>#VALUE!</v>
      </c>
      <c r="AX68" t="e">
        <f>AND('Planilla_General_07-12-2012_8_3'!N1012,"AAAAAD9L/zE=")</f>
        <v>#VALUE!</v>
      </c>
      <c r="AY68" t="e">
        <f>AND('Planilla_General_07-12-2012_8_3'!O1012,"AAAAAD9L/zI=")</f>
        <v>#VALUE!</v>
      </c>
      <c r="AZ68" t="e">
        <f>AND('Planilla_General_07-12-2012_8_3'!P1012,"AAAAAD9L/zM=")</f>
        <v>#VALUE!</v>
      </c>
      <c r="BA68">
        <f>IF('Planilla_General_07-12-2012_8_3'!1013:1013,"AAAAAD9L/zQ=",0)</f>
        <v>0</v>
      </c>
      <c r="BB68" t="e">
        <f>AND('Planilla_General_07-12-2012_8_3'!A1013,"AAAAAD9L/zU=")</f>
        <v>#VALUE!</v>
      </c>
      <c r="BC68" t="e">
        <f>AND('Planilla_General_07-12-2012_8_3'!B1013,"AAAAAD9L/zY=")</f>
        <v>#VALUE!</v>
      </c>
      <c r="BD68" t="e">
        <f>AND('Planilla_General_07-12-2012_8_3'!C1013,"AAAAAD9L/zc=")</f>
        <v>#VALUE!</v>
      </c>
      <c r="BE68" t="e">
        <f>AND('Planilla_General_07-12-2012_8_3'!D1013,"AAAAAD9L/zg=")</f>
        <v>#VALUE!</v>
      </c>
      <c r="BF68" t="e">
        <f>AND('Planilla_General_07-12-2012_8_3'!E1013,"AAAAAD9L/zk=")</f>
        <v>#VALUE!</v>
      </c>
      <c r="BG68" t="e">
        <f>AND('Planilla_General_07-12-2012_8_3'!F1013,"AAAAAD9L/zo=")</f>
        <v>#VALUE!</v>
      </c>
      <c r="BH68" t="e">
        <f>AND('Planilla_General_07-12-2012_8_3'!G1013,"AAAAAD9L/zs=")</f>
        <v>#VALUE!</v>
      </c>
      <c r="BI68" t="e">
        <f>AND('Planilla_General_07-12-2012_8_3'!H1013,"AAAAAD9L/zw=")</f>
        <v>#VALUE!</v>
      </c>
      <c r="BJ68" t="e">
        <f>AND('Planilla_General_07-12-2012_8_3'!I1013,"AAAAAD9L/z0=")</f>
        <v>#VALUE!</v>
      </c>
      <c r="BK68" t="e">
        <f>AND('Planilla_General_07-12-2012_8_3'!J1013,"AAAAAD9L/z4=")</f>
        <v>#VALUE!</v>
      </c>
      <c r="BL68" t="e">
        <f>AND('Planilla_General_07-12-2012_8_3'!K1013,"AAAAAD9L/z8=")</f>
        <v>#VALUE!</v>
      </c>
      <c r="BM68" t="e">
        <f>AND('Planilla_General_07-12-2012_8_3'!L1013,"AAAAAD9L/0A=")</f>
        <v>#VALUE!</v>
      </c>
      <c r="BN68" t="e">
        <f>AND('Planilla_General_07-12-2012_8_3'!M1013,"AAAAAD9L/0E=")</f>
        <v>#VALUE!</v>
      </c>
      <c r="BO68" t="e">
        <f>AND('Planilla_General_07-12-2012_8_3'!N1013,"AAAAAD9L/0I=")</f>
        <v>#VALUE!</v>
      </c>
      <c r="BP68" t="e">
        <f>AND('Planilla_General_07-12-2012_8_3'!O1013,"AAAAAD9L/0M=")</f>
        <v>#VALUE!</v>
      </c>
      <c r="BQ68" t="e">
        <f>AND('Planilla_General_07-12-2012_8_3'!P1013,"AAAAAD9L/0Q=")</f>
        <v>#VALUE!</v>
      </c>
      <c r="BR68">
        <f>IF('Planilla_General_07-12-2012_8_3'!1014:1014,"AAAAAD9L/0U=",0)</f>
        <v>0</v>
      </c>
      <c r="BS68" t="e">
        <f>AND('Planilla_General_07-12-2012_8_3'!A1014,"AAAAAD9L/0Y=")</f>
        <v>#VALUE!</v>
      </c>
      <c r="BT68" t="e">
        <f>AND('Planilla_General_07-12-2012_8_3'!B1014,"AAAAAD9L/0c=")</f>
        <v>#VALUE!</v>
      </c>
      <c r="BU68" t="e">
        <f>AND('Planilla_General_07-12-2012_8_3'!C1014,"AAAAAD9L/0g=")</f>
        <v>#VALUE!</v>
      </c>
      <c r="BV68" t="e">
        <f>AND('Planilla_General_07-12-2012_8_3'!D1014,"AAAAAD9L/0k=")</f>
        <v>#VALUE!</v>
      </c>
      <c r="BW68" t="e">
        <f>AND('Planilla_General_07-12-2012_8_3'!E1014,"AAAAAD9L/0o=")</f>
        <v>#VALUE!</v>
      </c>
      <c r="BX68" t="e">
        <f>AND('Planilla_General_07-12-2012_8_3'!F1014,"AAAAAD9L/0s=")</f>
        <v>#VALUE!</v>
      </c>
      <c r="BY68" t="e">
        <f>AND('Planilla_General_07-12-2012_8_3'!G1014,"AAAAAD9L/0w=")</f>
        <v>#VALUE!</v>
      </c>
      <c r="BZ68" t="e">
        <f>AND('Planilla_General_07-12-2012_8_3'!H1014,"AAAAAD9L/00=")</f>
        <v>#VALUE!</v>
      </c>
      <c r="CA68" t="e">
        <f>AND('Planilla_General_07-12-2012_8_3'!I1014,"AAAAAD9L/04=")</f>
        <v>#VALUE!</v>
      </c>
      <c r="CB68" t="e">
        <f>AND('Planilla_General_07-12-2012_8_3'!J1014,"AAAAAD9L/08=")</f>
        <v>#VALUE!</v>
      </c>
      <c r="CC68" t="e">
        <f>AND('Planilla_General_07-12-2012_8_3'!K1014,"AAAAAD9L/1A=")</f>
        <v>#VALUE!</v>
      </c>
      <c r="CD68" t="e">
        <f>AND('Planilla_General_07-12-2012_8_3'!L1014,"AAAAAD9L/1E=")</f>
        <v>#VALUE!</v>
      </c>
      <c r="CE68" t="e">
        <f>AND('Planilla_General_07-12-2012_8_3'!M1014,"AAAAAD9L/1I=")</f>
        <v>#VALUE!</v>
      </c>
      <c r="CF68" t="e">
        <f>AND('Planilla_General_07-12-2012_8_3'!N1014,"AAAAAD9L/1M=")</f>
        <v>#VALUE!</v>
      </c>
      <c r="CG68" t="e">
        <f>AND('Planilla_General_07-12-2012_8_3'!O1014,"AAAAAD9L/1Q=")</f>
        <v>#VALUE!</v>
      </c>
      <c r="CH68" t="e">
        <f>AND('Planilla_General_07-12-2012_8_3'!P1014,"AAAAAD9L/1U=")</f>
        <v>#VALUE!</v>
      </c>
      <c r="CI68">
        <f>IF('Planilla_General_07-12-2012_8_3'!1015:1015,"AAAAAD9L/1Y=",0)</f>
        <v>0</v>
      </c>
      <c r="CJ68" t="e">
        <f>AND('Planilla_General_07-12-2012_8_3'!A1015,"AAAAAD9L/1c=")</f>
        <v>#VALUE!</v>
      </c>
      <c r="CK68" t="e">
        <f>AND('Planilla_General_07-12-2012_8_3'!B1015,"AAAAAD9L/1g=")</f>
        <v>#VALUE!</v>
      </c>
      <c r="CL68" t="e">
        <f>AND('Planilla_General_07-12-2012_8_3'!C1015,"AAAAAD9L/1k=")</f>
        <v>#VALUE!</v>
      </c>
      <c r="CM68" t="e">
        <f>AND('Planilla_General_07-12-2012_8_3'!D1015,"AAAAAD9L/1o=")</f>
        <v>#VALUE!</v>
      </c>
      <c r="CN68" t="e">
        <f>AND('Planilla_General_07-12-2012_8_3'!E1015,"AAAAAD9L/1s=")</f>
        <v>#VALUE!</v>
      </c>
      <c r="CO68" t="e">
        <f>AND('Planilla_General_07-12-2012_8_3'!F1015,"AAAAAD9L/1w=")</f>
        <v>#VALUE!</v>
      </c>
      <c r="CP68" t="e">
        <f>AND('Planilla_General_07-12-2012_8_3'!G1015,"AAAAAD9L/10=")</f>
        <v>#VALUE!</v>
      </c>
      <c r="CQ68" t="e">
        <f>AND('Planilla_General_07-12-2012_8_3'!H1015,"AAAAAD9L/14=")</f>
        <v>#VALUE!</v>
      </c>
      <c r="CR68" t="e">
        <f>AND('Planilla_General_07-12-2012_8_3'!I1015,"AAAAAD9L/18=")</f>
        <v>#VALUE!</v>
      </c>
      <c r="CS68" t="e">
        <f>AND('Planilla_General_07-12-2012_8_3'!J1015,"AAAAAD9L/2A=")</f>
        <v>#VALUE!</v>
      </c>
      <c r="CT68" t="e">
        <f>AND('Planilla_General_07-12-2012_8_3'!K1015,"AAAAAD9L/2E=")</f>
        <v>#VALUE!</v>
      </c>
      <c r="CU68" t="e">
        <f>AND('Planilla_General_07-12-2012_8_3'!L1015,"AAAAAD9L/2I=")</f>
        <v>#VALUE!</v>
      </c>
      <c r="CV68" t="e">
        <f>AND('Planilla_General_07-12-2012_8_3'!M1015,"AAAAAD9L/2M=")</f>
        <v>#VALUE!</v>
      </c>
      <c r="CW68" t="e">
        <f>AND('Planilla_General_07-12-2012_8_3'!N1015,"AAAAAD9L/2Q=")</f>
        <v>#VALUE!</v>
      </c>
      <c r="CX68" t="e">
        <f>AND('Planilla_General_07-12-2012_8_3'!O1015,"AAAAAD9L/2U=")</f>
        <v>#VALUE!</v>
      </c>
      <c r="CY68" t="e">
        <f>AND('Planilla_General_07-12-2012_8_3'!P1015,"AAAAAD9L/2Y=")</f>
        <v>#VALUE!</v>
      </c>
      <c r="CZ68">
        <f>IF('Planilla_General_07-12-2012_8_3'!1016:1016,"AAAAAD9L/2c=",0)</f>
        <v>0</v>
      </c>
      <c r="DA68" t="e">
        <f>AND('Planilla_General_07-12-2012_8_3'!A1016,"AAAAAD9L/2g=")</f>
        <v>#VALUE!</v>
      </c>
      <c r="DB68" t="e">
        <f>AND('Planilla_General_07-12-2012_8_3'!B1016,"AAAAAD9L/2k=")</f>
        <v>#VALUE!</v>
      </c>
      <c r="DC68" t="e">
        <f>AND('Planilla_General_07-12-2012_8_3'!C1016,"AAAAAD9L/2o=")</f>
        <v>#VALUE!</v>
      </c>
      <c r="DD68" t="e">
        <f>AND('Planilla_General_07-12-2012_8_3'!D1016,"AAAAAD9L/2s=")</f>
        <v>#VALUE!</v>
      </c>
      <c r="DE68" t="e">
        <f>AND('Planilla_General_07-12-2012_8_3'!E1016,"AAAAAD9L/2w=")</f>
        <v>#VALUE!</v>
      </c>
      <c r="DF68" t="e">
        <f>AND('Planilla_General_07-12-2012_8_3'!F1016,"AAAAAD9L/20=")</f>
        <v>#VALUE!</v>
      </c>
      <c r="DG68" t="e">
        <f>AND('Planilla_General_07-12-2012_8_3'!G1016,"AAAAAD9L/24=")</f>
        <v>#VALUE!</v>
      </c>
      <c r="DH68" t="e">
        <f>AND('Planilla_General_07-12-2012_8_3'!H1016,"AAAAAD9L/28=")</f>
        <v>#VALUE!</v>
      </c>
      <c r="DI68" t="e">
        <f>AND('Planilla_General_07-12-2012_8_3'!I1016,"AAAAAD9L/3A=")</f>
        <v>#VALUE!</v>
      </c>
      <c r="DJ68" t="e">
        <f>AND('Planilla_General_07-12-2012_8_3'!J1016,"AAAAAD9L/3E=")</f>
        <v>#VALUE!</v>
      </c>
      <c r="DK68" t="e">
        <f>AND('Planilla_General_07-12-2012_8_3'!K1016,"AAAAAD9L/3I=")</f>
        <v>#VALUE!</v>
      </c>
      <c r="DL68" t="e">
        <f>AND('Planilla_General_07-12-2012_8_3'!L1016,"AAAAAD9L/3M=")</f>
        <v>#VALUE!</v>
      </c>
      <c r="DM68" t="e">
        <f>AND('Planilla_General_07-12-2012_8_3'!M1016,"AAAAAD9L/3Q=")</f>
        <v>#VALUE!</v>
      </c>
      <c r="DN68" t="e">
        <f>AND('Planilla_General_07-12-2012_8_3'!N1016,"AAAAAD9L/3U=")</f>
        <v>#VALUE!</v>
      </c>
      <c r="DO68" t="e">
        <f>AND('Planilla_General_07-12-2012_8_3'!O1016,"AAAAAD9L/3Y=")</f>
        <v>#VALUE!</v>
      </c>
      <c r="DP68" t="e">
        <f>AND('Planilla_General_07-12-2012_8_3'!P1016,"AAAAAD9L/3c=")</f>
        <v>#VALUE!</v>
      </c>
      <c r="DQ68">
        <f>IF('Planilla_General_07-12-2012_8_3'!1017:1017,"AAAAAD9L/3g=",0)</f>
        <v>0</v>
      </c>
      <c r="DR68" t="e">
        <f>AND('Planilla_General_07-12-2012_8_3'!A1017,"AAAAAD9L/3k=")</f>
        <v>#VALUE!</v>
      </c>
      <c r="DS68" t="e">
        <f>AND('Planilla_General_07-12-2012_8_3'!B1017,"AAAAAD9L/3o=")</f>
        <v>#VALUE!</v>
      </c>
      <c r="DT68" t="e">
        <f>AND('Planilla_General_07-12-2012_8_3'!C1017,"AAAAAD9L/3s=")</f>
        <v>#VALUE!</v>
      </c>
      <c r="DU68" t="e">
        <f>AND('Planilla_General_07-12-2012_8_3'!D1017,"AAAAAD9L/3w=")</f>
        <v>#VALUE!</v>
      </c>
      <c r="DV68" t="e">
        <f>AND('Planilla_General_07-12-2012_8_3'!E1017,"AAAAAD9L/30=")</f>
        <v>#VALUE!</v>
      </c>
      <c r="DW68" t="e">
        <f>AND('Planilla_General_07-12-2012_8_3'!F1017,"AAAAAD9L/34=")</f>
        <v>#VALUE!</v>
      </c>
      <c r="DX68" t="e">
        <f>AND('Planilla_General_07-12-2012_8_3'!G1017,"AAAAAD9L/38=")</f>
        <v>#VALUE!</v>
      </c>
      <c r="DY68" t="e">
        <f>AND('Planilla_General_07-12-2012_8_3'!H1017,"AAAAAD9L/4A=")</f>
        <v>#VALUE!</v>
      </c>
      <c r="DZ68" t="e">
        <f>AND('Planilla_General_07-12-2012_8_3'!I1017,"AAAAAD9L/4E=")</f>
        <v>#VALUE!</v>
      </c>
      <c r="EA68" t="e">
        <f>AND('Planilla_General_07-12-2012_8_3'!J1017,"AAAAAD9L/4I=")</f>
        <v>#VALUE!</v>
      </c>
      <c r="EB68" t="e">
        <f>AND('Planilla_General_07-12-2012_8_3'!K1017,"AAAAAD9L/4M=")</f>
        <v>#VALUE!</v>
      </c>
      <c r="EC68" t="e">
        <f>AND('Planilla_General_07-12-2012_8_3'!L1017,"AAAAAD9L/4Q=")</f>
        <v>#VALUE!</v>
      </c>
      <c r="ED68" t="e">
        <f>AND('Planilla_General_07-12-2012_8_3'!M1017,"AAAAAD9L/4U=")</f>
        <v>#VALUE!</v>
      </c>
      <c r="EE68" t="e">
        <f>AND('Planilla_General_07-12-2012_8_3'!N1017,"AAAAAD9L/4Y=")</f>
        <v>#VALUE!</v>
      </c>
      <c r="EF68" t="e">
        <f>AND('Planilla_General_07-12-2012_8_3'!O1017,"AAAAAD9L/4c=")</f>
        <v>#VALUE!</v>
      </c>
      <c r="EG68" t="e">
        <f>AND('Planilla_General_07-12-2012_8_3'!P1017,"AAAAAD9L/4g=")</f>
        <v>#VALUE!</v>
      </c>
      <c r="EH68">
        <f>IF('Planilla_General_07-12-2012_8_3'!1018:1018,"AAAAAD9L/4k=",0)</f>
        <v>0</v>
      </c>
      <c r="EI68" t="e">
        <f>AND('Planilla_General_07-12-2012_8_3'!A1018,"AAAAAD9L/4o=")</f>
        <v>#VALUE!</v>
      </c>
      <c r="EJ68" t="e">
        <f>AND('Planilla_General_07-12-2012_8_3'!B1018,"AAAAAD9L/4s=")</f>
        <v>#VALUE!</v>
      </c>
      <c r="EK68" t="e">
        <f>AND('Planilla_General_07-12-2012_8_3'!C1018,"AAAAAD9L/4w=")</f>
        <v>#VALUE!</v>
      </c>
      <c r="EL68" t="e">
        <f>AND('Planilla_General_07-12-2012_8_3'!D1018,"AAAAAD9L/40=")</f>
        <v>#VALUE!</v>
      </c>
      <c r="EM68" t="e">
        <f>AND('Planilla_General_07-12-2012_8_3'!E1018,"AAAAAD9L/44=")</f>
        <v>#VALUE!</v>
      </c>
      <c r="EN68" t="e">
        <f>AND('Planilla_General_07-12-2012_8_3'!F1018,"AAAAAD9L/48=")</f>
        <v>#VALUE!</v>
      </c>
      <c r="EO68" t="e">
        <f>AND('Planilla_General_07-12-2012_8_3'!G1018,"AAAAAD9L/5A=")</f>
        <v>#VALUE!</v>
      </c>
      <c r="EP68" t="e">
        <f>AND('Planilla_General_07-12-2012_8_3'!H1018,"AAAAAD9L/5E=")</f>
        <v>#VALUE!</v>
      </c>
      <c r="EQ68" t="e">
        <f>AND('Planilla_General_07-12-2012_8_3'!I1018,"AAAAAD9L/5I=")</f>
        <v>#VALUE!</v>
      </c>
      <c r="ER68" t="e">
        <f>AND('Planilla_General_07-12-2012_8_3'!J1018,"AAAAAD9L/5M=")</f>
        <v>#VALUE!</v>
      </c>
      <c r="ES68" t="e">
        <f>AND('Planilla_General_07-12-2012_8_3'!K1018,"AAAAAD9L/5Q=")</f>
        <v>#VALUE!</v>
      </c>
      <c r="ET68" t="e">
        <f>AND('Planilla_General_07-12-2012_8_3'!L1018,"AAAAAD9L/5U=")</f>
        <v>#VALUE!</v>
      </c>
      <c r="EU68" t="e">
        <f>AND('Planilla_General_07-12-2012_8_3'!M1018,"AAAAAD9L/5Y=")</f>
        <v>#VALUE!</v>
      </c>
      <c r="EV68" t="e">
        <f>AND('Planilla_General_07-12-2012_8_3'!N1018,"AAAAAD9L/5c=")</f>
        <v>#VALUE!</v>
      </c>
      <c r="EW68" t="e">
        <f>AND('Planilla_General_07-12-2012_8_3'!O1018,"AAAAAD9L/5g=")</f>
        <v>#VALUE!</v>
      </c>
      <c r="EX68" t="e">
        <f>AND('Planilla_General_07-12-2012_8_3'!P1018,"AAAAAD9L/5k=")</f>
        <v>#VALUE!</v>
      </c>
      <c r="EY68">
        <f>IF('Planilla_General_07-12-2012_8_3'!1019:1019,"AAAAAD9L/5o=",0)</f>
        <v>0</v>
      </c>
      <c r="EZ68" t="e">
        <f>AND('Planilla_General_07-12-2012_8_3'!A1019,"AAAAAD9L/5s=")</f>
        <v>#VALUE!</v>
      </c>
      <c r="FA68" t="e">
        <f>AND('Planilla_General_07-12-2012_8_3'!B1019,"AAAAAD9L/5w=")</f>
        <v>#VALUE!</v>
      </c>
      <c r="FB68" t="e">
        <f>AND('Planilla_General_07-12-2012_8_3'!C1019,"AAAAAD9L/50=")</f>
        <v>#VALUE!</v>
      </c>
      <c r="FC68" t="e">
        <f>AND('Planilla_General_07-12-2012_8_3'!D1019,"AAAAAD9L/54=")</f>
        <v>#VALUE!</v>
      </c>
      <c r="FD68" t="e">
        <f>AND('Planilla_General_07-12-2012_8_3'!E1019,"AAAAAD9L/58=")</f>
        <v>#VALUE!</v>
      </c>
      <c r="FE68" t="e">
        <f>AND('Planilla_General_07-12-2012_8_3'!F1019,"AAAAAD9L/6A=")</f>
        <v>#VALUE!</v>
      </c>
      <c r="FF68" t="e">
        <f>AND('Planilla_General_07-12-2012_8_3'!G1019,"AAAAAD9L/6E=")</f>
        <v>#VALUE!</v>
      </c>
      <c r="FG68" t="e">
        <f>AND('Planilla_General_07-12-2012_8_3'!H1019,"AAAAAD9L/6I=")</f>
        <v>#VALUE!</v>
      </c>
      <c r="FH68" t="e">
        <f>AND('Planilla_General_07-12-2012_8_3'!I1019,"AAAAAD9L/6M=")</f>
        <v>#VALUE!</v>
      </c>
      <c r="FI68" t="e">
        <f>AND('Planilla_General_07-12-2012_8_3'!J1019,"AAAAAD9L/6Q=")</f>
        <v>#VALUE!</v>
      </c>
      <c r="FJ68" t="e">
        <f>AND('Planilla_General_07-12-2012_8_3'!K1019,"AAAAAD9L/6U=")</f>
        <v>#VALUE!</v>
      </c>
      <c r="FK68" t="e">
        <f>AND('Planilla_General_07-12-2012_8_3'!L1019,"AAAAAD9L/6Y=")</f>
        <v>#VALUE!</v>
      </c>
      <c r="FL68" t="e">
        <f>AND('Planilla_General_07-12-2012_8_3'!M1019,"AAAAAD9L/6c=")</f>
        <v>#VALUE!</v>
      </c>
      <c r="FM68" t="e">
        <f>AND('Planilla_General_07-12-2012_8_3'!N1019,"AAAAAD9L/6g=")</f>
        <v>#VALUE!</v>
      </c>
      <c r="FN68" t="e">
        <f>AND('Planilla_General_07-12-2012_8_3'!O1019,"AAAAAD9L/6k=")</f>
        <v>#VALUE!</v>
      </c>
      <c r="FO68" t="e">
        <f>AND('Planilla_General_07-12-2012_8_3'!P1019,"AAAAAD9L/6o=")</f>
        <v>#VALUE!</v>
      </c>
      <c r="FP68">
        <f>IF('Planilla_General_07-12-2012_8_3'!1020:1020,"AAAAAD9L/6s=",0)</f>
        <v>0</v>
      </c>
      <c r="FQ68" t="e">
        <f>AND('Planilla_General_07-12-2012_8_3'!A1020,"AAAAAD9L/6w=")</f>
        <v>#VALUE!</v>
      </c>
      <c r="FR68" t="e">
        <f>AND('Planilla_General_07-12-2012_8_3'!B1020,"AAAAAD9L/60=")</f>
        <v>#VALUE!</v>
      </c>
      <c r="FS68" t="e">
        <f>AND('Planilla_General_07-12-2012_8_3'!C1020,"AAAAAD9L/64=")</f>
        <v>#VALUE!</v>
      </c>
      <c r="FT68" t="e">
        <f>AND('Planilla_General_07-12-2012_8_3'!D1020,"AAAAAD9L/68=")</f>
        <v>#VALUE!</v>
      </c>
      <c r="FU68" t="e">
        <f>AND('Planilla_General_07-12-2012_8_3'!E1020,"AAAAAD9L/7A=")</f>
        <v>#VALUE!</v>
      </c>
      <c r="FV68" t="e">
        <f>AND('Planilla_General_07-12-2012_8_3'!F1020,"AAAAAD9L/7E=")</f>
        <v>#VALUE!</v>
      </c>
      <c r="FW68" t="e">
        <f>AND('Planilla_General_07-12-2012_8_3'!G1020,"AAAAAD9L/7I=")</f>
        <v>#VALUE!</v>
      </c>
      <c r="FX68" t="e">
        <f>AND('Planilla_General_07-12-2012_8_3'!H1020,"AAAAAD9L/7M=")</f>
        <v>#VALUE!</v>
      </c>
      <c r="FY68" t="e">
        <f>AND('Planilla_General_07-12-2012_8_3'!I1020,"AAAAAD9L/7Q=")</f>
        <v>#VALUE!</v>
      </c>
      <c r="FZ68" t="e">
        <f>AND('Planilla_General_07-12-2012_8_3'!J1020,"AAAAAD9L/7U=")</f>
        <v>#VALUE!</v>
      </c>
      <c r="GA68" t="e">
        <f>AND('Planilla_General_07-12-2012_8_3'!K1020,"AAAAAD9L/7Y=")</f>
        <v>#VALUE!</v>
      </c>
      <c r="GB68" t="e">
        <f>AND('Planilla_General_07-12-2012_8_3'!L1020,"AAAAAD9L/7c=")</f>
        <v>#VALUE!</v>
      </c>
      <c r="GC68" t="e">
        <f>AND('Planilla_General_07-12-2012_8_3'!M1020,"AAAAAD9L/7g=")</f>
        <v>#VALUE!</v>
      </c>
      <c r="GD68" t="e">
        <f>AND('Planilla_General_07-12-2012_8_3'!N1020,"AAAAAD9L/7k=")</f>
        <v>#VALUE!</v>
      </c>
      <c r="GE68" t="e">
        <f>AND('Planilla_General_07-12-2012_8_3'!O1020,"AAAAAD9L/7o=")</f>
        <v>#VALUE!</v>
      </c>
      <c r="GF68" t="e">
        <f>AND('Planilla_General_07-12-2012_8_3'!P1020,"AAAAAD9L/7s=")</f>
        <v>#VALUE!</v>
      </c>
      <c r="GG68">
        <f>IF('Planilla_General_07-12-2012_8_3'!1021:1021,"AAAAAD9L/7w=",0)</f>
        <v>0</v>
      </c>
      <c r="GH68" t="e">
        <f>AND('Planilla_General_07-12-2012_8_3'!A1021,"AAAAAD9L/70=")</f>
        <v>#VALUE!</v>
      </c>
      <c r="GI68" t="e">
        <f>AND('Planilla_General_07-12-2012_8_3'!B1021,"AAAAAD9L/74=")</f>
        <v>#VALUE!</v>
      </c>
      <c r="GJ68" t="e">
        <f>AND('Planilla_General_07-12-2012_8_3'!C1021,"AAAAAD9L/78=")</f>
        <v>#VALUE!</v>
      </c>
      <c r="GK68" t="e">
        <f>AND('Planilla_General_07-12-2012_8_3'!D1021,"AAAAAD9L/8A=")</f>
        <v>#VALUE!</v>
      </c>
      <c r="GL68" t="e">
        <f>AND('Planilla_General_07-12-2012_8_3'!E1021,"AAAAAD9L/8E=")</f>
        <v>#VALUE!</v>
      </c>
      <c r="GM68" t="e">
        <f>AND('Planilla_General_07-12-2012_8_3'!F1021,"AAAAAD9L/8I=")</f>
        <v>#VALUE!</v>
      </c>
      <c r="GN68" t="e">
        <f>AND('Planilla_General_07-12-2012_8_3'!G1021,"AAAAAD9L/8M=")</f>
        <v>#VALUE!</v>
      </c>
      <c r="GO68" t="e">
        <f>AND('Planilla_General_07-12-2012_8_3'!H1021,"AAAAAD9L/8Q=")</f>
        <v>#VALUE!</v>
      </c>
      <c r="GP68" t="e">
        <f>AND('Planilla_General_07-12-2012_8_3'!I1021,"AAAAAD9L/8U=")</f>
        <v>#VALUE!</v>
      </c>
      <c r="GQ68" t="e">
        <f>AND('Planilla_General_07-12-2012_8_3'!J1021,"AAAAAD9L/8Y=")</f>
        <v>#VALUE!</v>
      </c>
      <c r="GR68" t="e">
        <f>AND('Planilla_General_07-12-2012_8_3'!K1021,"AAAAAD9L/8c=")</f>
        <v>#VALUE!</v>
      </c>
      <c r="GS68" t="e">
        <f>AND('Planilla_General_07-12-2012_8_3'!L1021,"AAAAAD9L/8g=")</f>
        <v>#VALUE!</v>
      </c>
      <c r="GT68" t="e">
        <f>AND('Planilla_General_07-12-2012_8_3'!M1021,"AAAAAD9L/8k=")</f>
        <v>#VALUE!</v>
      </c>
      <c r="GU68" t="e">
        <f>AND('Planilla_General_07-12-2012_8_3'!N1021,"AAAAAD9L/8o=")</f>
        <v>#VALUE!</v>
      </c>
      <c r="GV68" t="e">
        <f>AND('Planilla_General_07-12-2012_8_3'!O1021,"AAAAAD9L/8s=")</f>
        <v>#VALUE!</v>
      </c>
      <c r="GW68" t="e">
        <f>AND('Planilla_General_07-12-2012_8_3'!P1021,"AAAAAD9L/8w=")</f>
        <v>#VALUE!</v>
      </c>
      <c r="GX68">
        <f>IF('Planilla_General_07-12-2012_8_3'!1022:1022,"AAAAAD9L/80=",0)</f>
        <v>0</v>
      </c>
      <c r="GY68" t="e">
        <f>AND('Planilla_General_07-12-2012_8_3'!A1022,"AAAAAD9L/84=")</f>
        <v>#VALUE!</v>
      </c>
      <c r="GZ68" t="e">
        <f>AND('Planilla_General_07-12-2012_8_3'!B1022,"AAAAAD9L/88=")</f>
        <v>#VALUE!</v>
      </c>
      <c r="HA68" t="e">
        <f>AND('Planilla_General_07-12-2012_8_3'!C1022,"AAAAAD9L/9A=")</f>
        <v>#VALUE!</v>
      </c>
      <c r="HB68" t="e">
        <f>AND('Planilla_General_07-12-2012_8_3'!D1022,"AAAAAD9L/9E=")</f>
        <v>#VALUE!</v>
      </c>
      <c r="HC68" t="e">
        <f>AND('Planilla_General_07-12-2012_8_3'!E1022,"AAAAAD9L/9I=")</f>
        <v>#VALUE!</v>
      </c>
      <c r="HD68" t="e">
        <f>AND('Planilla_General_07-12-2012_8_3'!F1022,"AAAAAD9L/9M=")</f>
        <v>#VALUE!</v>
      </c>
      <c r="HE68" t="e">
        <f>AND('Planilla_General_07-12-2012_8_3'!G1022,"AAAAAD9L/9Q=")</f>
        <v>#VALUE!</v>
      </c>
      <c r="HF68" t="e">
        <f>AND('Planilla_General_07-12-2012_8_3'!H1022,"AAAAAD9L/9U=")</f>
        <v>#VALUE!</v>
      </c>
      <c r="HG68" t="e">
        <f>AND('Planilla_General_07-12-2012_8_3'!I1022,"AAAAAD9L/9Y=")</f>
        <v>#VALUE!</v>
      </c>
      <c r="HH68" t="e">
        <f>AND('Planilla_General_07-12-2012_8_3'!J1022,"AAAAAD9L/9c=")</f>
        <v>#VALUE!</v>
      </c>
      <c r="HI68" t="e">
        <f>AND('Planilla_General_07-12-2012_8_3'!K1022,"AAAAAD9L/9g=")</f>
        <v>#VALUE!</v>
      </c>
      <c r="HJ68" t="e">
        <f>AND('Planilla_General_07-12-2012_8_3'!L1022,"AAAAAD9L/9k=")</f>
        <v>#VALUE!</v>
      </c>
      <c r="HK68" t="e">
        <f>AND('Planilla_General_07-12-2012_8_3'!M1022,"AAAAAD9L/9o=")</f>
        <v>#VALUE!</v>
      </c>
      <c r="HL68" t="e">
        <f>AND('Planilla_General_07-12-2012_8_3'!N1022,"AAAAAD9L/9s=")</f>
        <v>#VALUE!</v>
      </c>
      <c r="HM68" t="e">
        <f>AND('Planilla_General_07-12-2012_8_3'!O1022,"AAAAAD9L/9w=")</f>
        <v>#VALUE!</v>
      </c>
      <c r="HN68" t="e">
        <f>AND('Planilla_General_07-12-2012_8_3'!P1022,"AAAAAD9L/90=")</f>
        <v>#VALUE!</v>
      </c>
      <c r="HO68">
        <f>IF('Planilla_General_07-12-2012_8_3'!1023:1023,"AAAAAD9L/94=",0)</f>
        <v>0</v>
      </c>
      <c r="HP68" t="e">
        <f>AND('Planilla_General_07-12-2012_8_3'!A1023,"AAAAAD9L/98=")</f>
        <v>#VALUE!</v>
      </c>
      <c r="HQ68" t="e">
        <f>AND('Planilla_General_07-12-2012_8_3'!B1023,"AAAAAD9L/+A=")</f>
        <v>#VALUE!</v>
      </c>
      <c r="HR68" t="e">
        <f>AND('Planilla_General_07-12-2012_8_3'!C1023,"AAAAAD9L/+E=")</f>
        <v>#VALUE!</v>
      </c>
      <c r="HS68" t="e">
        <f>AND('Planilla_General_07-12-2012_8_3'!D1023,"AAAAAD9L/+I=")</f>
        <v>#VALUE!</v>
      </c>
      <c r="HT68" t="e">
        <f>AND('Planilla_General_07-12-2012_8_3'!E1023,"AAAAAD9L/+M=")</f>
        <v>#VALUE!</v>
      </c>
      <c r="HU68" t="e">
        <f>AND('Planilla_General_07-12-2012_8_3'!F1023,"AAAAAD9L/+Q=")</f>
        <v>#VALUE!</v>
      </c>
      <c r="HV68" t="e">
        <f>AND('Planilla_General_07-12-2012_8_3'!G1023,"AAAAAD9L/+U=")</f>
        <v>#VALUE!</v>
      </c>
      <c r="HW68" t="e">
        <f>AND('Planilla_General_07-12-2012_8_3'!H1023,"AAAAAD9L/+Y=")</f>
        <v>#VALUE!</v>
      </c>
      <c r="HX68" t="e">
        <f>AND('Planilla_General_07-12-2012_8_3'!I1023,"AAAAAD9L/+c=")</f>
        <v>#VALUE!</v>
      </c>
      <c r="HY68" t="e">
        <f>AND('Planilla_General_07-12-2012_8_3'!J1023,"AAAAAD9L/+g=")</f>
        <v>#VALUE!</v>
      </c>
      <c r="HZ68" t="e">
        <f>AND('Planilla_General_07-12-2012_8_3'!K1023,"AAAAAD9L/+k=")</f>
        <v>#VALUE!</v>
      </c>
      <c r="IA68" t="e">
        <f>AND('Planilla_General_07-12-2012_8_3'!L1023,"AAAAAD9L/+o=")</f>
        <v>#VALUE!</v>
      </c>
      <c r="IB68" t="e">
        <f>AND('Planilla_General_07-12-2012_8_3'!M1023,"AAAAAD9L/+s=")</f>
        <v>#VALUE!</v>
      </c>
      <c r="IC68" t="e">
        <f>AND('Planilla_General_07-12-2012_8_3'!N1023,"AAAAAD9L/+w=")</f>
        <v>#VALUE!</v>
      </c>
      <c r="ID68" t="e">
        <f>AND('Planilla_General_07-12-2012_8_3'!O1023,"AAAAAD9L/+0=")</f>
        <v>#VALUE!</v>
      </c>
      <c r="IE68" t="e">
        <f>AND('Planilla_General_07-12-2012_8_3'!P1023,"AAAAAD9L/+4=")</f>
        <v>#VALUE!</v>
      </c>
      <c r="IF68">
        <f>IF('Planilla_General_07-12-2012_8_3'!1024:1024,"AAAAAD9L/+8=",0)</f>
        <v>0</v>
      </c>
      <c r="IG68" t="e">
        <f>AND('Planilla_General_07-12-2012_8_3'!A1024,"AAAAAD9L//A=")</f>
        <v>#VALUE!</v>
      </c>
      <c r="IH68" t="e">
        <f>AND('Planilla_General_07-12-2012_8_3'!B1024,"AAAAAD9L//E=")</f>
        <v>#VALUE!</v>
      </c>
      <c r="II68" t="e">
        <f>AND('Planilla_General_07-12-2012_8_3'!C1024,"AAAAAD9L//I=")</f>
        <v>#VALUE!</v>
      </c>
      <c r="IJ68" t="e">
        <f>AND('Planilla_General_07-12-2012_8_3'!D1024,"AAAAAD9L//M=")</f>
        <v>#VALUE!</v>
      </c>
      <c r="IK68" t="e">
        <f>AND('Planilla_General_07-12-2012_8_3'!E1024,"AAAAAD9L//Q=")</f>
        <v>#VALUE!</v>
      </c>
      <c r="IL68" t="e">
        <f>AND('Planilla_General_07-12-2012_8_3'!F1024,"AAAAAD9L//U=")</f>
        <v>#VALUE!</v>
      </c>
      <c r="IM68" t="e">
        <f>AND('Planilla_General_07-12-2012_8_3'!G1024,"AAAAAD9L//Y=")</f>
        <v>#VALUE!</v>
      </c>
      <c r="IN68" t="e">
        <f>AND('Planilla_General_07-12-2012_8_3'!H1024,"AAAAAD9L//c=")</f>
        <v>#VALUE!</v>
      </c>
      <c r="IO68" t="e">
        <f>AND('Planilla_General_07-12-2012_8_3'!I1024,"AAAAAD9L//g=")</f>
        <v>#VALUE!</v>
      </c>
      <c r="IP68" t="e">
        <f>AND('Planilla_General_07-12-2012_8_3'!J1024,"AAAAAD9L//k=")</f>
        <v>#VALUE!</v>
      </c>
      <c r="IQ68" t="e">
        <f>AND('Planilla_General_07-12-2012_8_3'!K1024,"AAAAAD9L//o=")</f>
        <v>#VALUE!</v>
      </c>
      <c r="IR68" t="e">
        <f>AND('Planilla_General_07-12-2012_8_3'!L1024,"AAAAAD9L//s=")</f>
        <v>#VALUE!</v>
      </c>
      <c r="IS68" t="e">
        <f>AND('Planilla_General_07-12-2012_8_3'!M1024,"AAAAAD9L//w=")</f>
        <v>#VALUE!</v>
      </c>
      <c r="IT68" t="e">
        <f>AND('Planilla_General_07-12-2012_8_3'!N1024,"AAAAAD9L//0=")</f>
        <v>#VALUE!</v>
      </c>
      <c r="IU68" t="e">
        <f>AND('Planilla_General_07-12-2012_8_3'!O1024,"AAAAAD9L//4=")</f>
        <v>#VALUE!</v>
      </c>
      <c r="IV68" t="e">
        <f>AND('Planilla_General_07-12-2012_8_3'!P1024,"AAAAAD9L//8=")</f>
        <v>#VALUE!</v>
      </c>
    </row>
    <row r="69" spans="1:256" x14ac:dyDescent="0.25">
      <c r="A69" t="e">
        <f>IF('Planilla_General_07-12-2012_8_3'!1025:1025,"AAAAAF1z/QA=",0)</f>
        <v>#VALUE!</v>
      </c>
      <c r="B69" t="e">
        <f>AND('Planilla_General_07-12-2012_8_3'!A1025,"AAAAAF1z/QE=")</f>
        <v>#VALUE!</v>
      </c>
      <c r="C69" t="e">
        <f>AND('Planilla_General_07-12-2012_8_3'!B1025,"AAAAAF1z/QI=")</f>
        <v>#VALUE!</v>
      </c>
      <c r="D69" t="e">
        <f>AND('Planilla_General_07-12-2012_8_3'!C1025,"AAAAAF1z/QM=")</f>
        <v>#VALUE!</v>
      </c>
      <c r="E69" t="e">
        <f>AND('Planilla_General_07-12-2012_8_3'!D1025,"AAAAAF1z/QQ=")</f>
        <v>#VALUE!</v>
      </c>
      <c r="F69" t="e">
        <f>AND('Planilla_General_07-12-2012_8_3'!E1025,"AAAAAF1z/QU=")</f>
        <v>#VALUE!</v>
      </c>
      <c r="G69" t="e">
        <f>AND('Planilla_General_07-12-2012_8_3'!F1025,"AAAAAF1z/QY=")</f>
        <v>#VALUE!</v>
      </c>
      <c r="H69" t="e">
        <f>AND('Planilla_General_07-12-2012_8_3'!G1025,"AAAAAF1z/Qc=")</f>
        <v>#VALUE!</v>
      </c>
      <c r="I69" t="e">
        <f>AND('Planilla_General_07-12-2012_8_3'!H1025,"AAAAAF1z/Qg=")</f>
        <v>#VALUE!</v>
      </c>
      <c r="J69" t="e">
        <f>AND('Planilla_General_07-12-2012_8_3'!I1025,"AAAAAF1z/Qk=")</f>
        <v>#VALUE!</v>
      </c>
      <c r="K69" t="e">
        <f>AND('Planilla_General_07-12-2012_8_3'!J1025,"AAAAAF1z/Qo=")</f>
        <v>#VALUE!</v>
      </c>
      <c r="L69" t="e">
        <f>AND('Planilla_General_07-12-2012_8_3'!K1025,"AAAAAF1z/Qs=")</f>
        <v>#VALUE!</v>
      </c>
      <c r="M69" t="e">
        <f>AND('Planilla_General_07-12-2012_8_3'!L1025,"AAAAAF1z/Qw=")</f>
        <v>#VALUE!</v>
      </c>
      <c r="N69" t="e">
        <f>AND('Planilla_General_07-12-2012_8_3'!M1025,"AAAAAF1z/Q0=")</f>
        <v>#VALUE!</v>
      </c>
      <c r="O69" t="e">
        <f>AND('Planilla_General_07-12-2012_8_3'!N1025,"AAAAAF1z/Q4=")</f>
        <v>#VALUE!</v>
      </c>
      <c r="P69" t="e">
        <f>AND('Planilla_General_07-12-2012_8_3'!O1025,"AAAAAF1z/Q8=")</f>
        <v>#VALUE!</v>
      </c>
      <c r="Q69" t="e">
        <f>AND('Planilla_General_07-12-2012_8_3'!P1025,"AAAAAF1z/RA=")</f>
        <v>#VALUE!</v>
      </c>
      <c r="R69">
        <f>IF('Planilla_General_07-12-2012_8_3'!1026:1026,"AAAAAF1z/RE=",0)</f>
        <v>0</v>
      </c>
      <c r="S69" t="e">
        <f>AND('Planilla_General_07-12-2012_8_3'!A1026,"AAAAAF1z/RI=")</f>
        <v>#VALUE!</v>
      </c>
      <c r="T69" t="e">
        <f>AND('Planilla_General_07-12-2012_8_3'!B1026,"AAAAAF1z/RM=")</f>
        <v>#VALUE!</v>
      </c>
      <c r="U69" t="e">
        <f>AND('Planilla_General_07-12-2012_8_3'!C1026,"AAAAAF1z/RQ=")</f>
        <v>#VALUE!</v>
      </c>
      <c r="V69" t="e">
        <f>AND('Planilla_General_07-12-2012_8_3'!D1026,"AAAAAF1z/RU=")</f>
        <v>#VALUE!</v>
      </c>
      <c r="W69" t="e">
        <f>AND('Planilla_General_07-12-2012_8_3'!E1026,"AAAAAF1z/RY=")</f>
        <v>#VALUE!</v>
      </c>
      <c r="X69" t="e">
        <f>AND('Planilla_General_07-12-2012_8_3'!F1026,"AAAAAF1z/Rc=")</f>
        <v>#VALUE!</v>
      </c>
      <c r="Y69" t="e">
        <f>AND('Planilla_General_07-12-2012_8_3'!G1026,"AAAAAF1z/Rg=")</f>
        <v>#VALUE!</v>
      </c>
      <c r="Z69" t="e">
        <f>AND('Planilla_General_07-12-2012_8_3'!H1026,"AAAAAF1z/Rk=")</f>
        <v>#VALUE!</v>
      </c>
      <c r="AA69" t="e">
        <f>AND('Planilla_General_07-12-2012_8_3'!I1026,"AAAAAF1z/Ro=")</f>
        <v>#VALUE!</v>
      </c>
      <c r="AB69" t="e">
        <f>AND('Planilla_General_07-12-2012_8_3'!J1026,"AAAAAF1z/Rs=")</f>
        <v>#VALUE!</v>
      </c>
      <c r="AC69" t="e">
        <f>AND('Planilla_General_07-12-2012_8_3'!K1026,"AAAAAF1z/Rw=")</f>
        <v>#VALUE!</v>
      </c>
      <c r="AD69" t="e">
        <f>AND('Planilla_General_07-12-2012_8_3'!L1026,"AAAAAF1z/R0=")</f>
        <v>#VALUE!</v>
      </c>
      <c r="AE69" t="e">
        <f>AND('Planilla_General_07-12-2012_8_3'!M1026,"AAAAAF1z/R4=")</f>
        <v>#VALUE!</v>
      </c>
      <c r="AF69" t="e">
        <f>AND('Planilla_General_07-12-2012_8_3'!N1026,"AAAAAF1z/R8=")</f>
        <v>#VALUE!</v>
      </c>
      <c r="AG69" t="e">
        <f>AND('Planilla_General_07-12-2012_8_3'!O1026,"AAAAAF1z/SA=")</f>
        <v>#VALUE!</v>
      </c>
      <c r="AH69" t="e">
        <f>AND('Planilla_General_07-12-2012_8_3'!P1026,"AAAAAF1z/SE=")</f>
        <v>#VALUE!</v>
      </c>
      <c r="AI69">
        <f>IF('Planilla_General_07-12-2012_8_3'!1027:1027,"AAAAAF1z/SI=",0)</f>
        <v>0</v>
      </c>
      <c r="AJ69" t="e">
        <f>AND('Planilla_General_07-12-2012_8_3'!A1027,"AAAAAF1z/SM=")</f>
        <v>#VALUE!</v>
      </c>
      <c r="AK69" t="e">
        <f>AND('Planilla_General_07-12-2012_8_3'!B1027,"AAAAAF1z/SQ=")</f>
        <v>#VALUE!</v>
      </c>
      <c r="AL69" t="e">
        <f>AND('Planilla_General_07-12-2012_8_3'!C1027,"AAAAAF1z/SU=")</f>
        <v>#VALUE!</v>
      </c>
      <c r="AM69" t="e">
        <f>AND('Planilla_General_07-12-2012_8_3'!D1027,"AAAAAF1z/SY=")</f>
        <v>#VALUE!</v>
      </c>
      <c r="AN69" t="e">
        <f>AND('Planilla_General_07-12-2012_8_3'!E1027,"AAAAAF1z/Sc=")</f>
        <v>#VALUE!</v>
      </c>
      <c r="AO69" t="e">
        <f>AND('Planilla_General_07-12-2012_8_3'!F1027,"AAAAAF1z/Sg=")</f>
        <v>#VALUE!</v>
      </c>
      <c r="AP69" t="e">
        <f>AND('Planilla_General_07-12-2012_8_3'!G1027,"AAAAAF1z/Sk=")</f>
        <v>#VALUE!</v>
      </c>
      <c r="AQ69" t="e">
        <f>AND('Planilla_General_07-12-2012_8_3'!H1027,"AAAAAF1z/So=")</f>
        <v>#VALUE!</v>
      </c>
      <c r="AR69" t="e">
        <f>AND('Planilla_General_07-12-2012_8_3'!I1027,"AAAAAF1z/Ss=")</f>
        <v>#VALUE!</v>
      </c>
      <c r="AS69" t="e">
        <f>AND('Planilla_General_07-12-2012_8_3'!J1027,"AAAAAF1z/Sw=")</f>
        <v>#VALUE!</v>
      </c>
      <c r="AT69" t="e">
        <f>AND('Planilla_General_07-12-2012_8_3'!K1027,"AAAAAF1z/S0=")</f>
        <v>#VALUE!</v>
      </c>
      <c r="AU69" t="e">
        <f>AND('Planilla_General_07-12-2012_8_3'!L1027,"AAAAAF1z/S4=")</f>
        <v>#VALUE!</v>
      </c>
      <c r="AV69" t="e">
        <f>AND('Planilla_General_07-12-2012_8_3'!M1027,"AAAAAF1z/S8=")</f>
        <v>#VALUE!</v>
      </c>
      <c r="AW69" t="e">
        <f>AND('Planilla_General_07-12-2012_8_3'!N1027,"AAAAAF1z/TA=")</f>
        <v>#VALUE!</v>
      </c>
      <c r="AX69" t="e">
        <f>AND('Planilla_General_07-12-2012_8_3'!O1027,"AAAAAF1z/TE=")</f>
        <v>#VALUE!</v>
      </c>
      <c r="AY69" t="e">
        <f>AND('Planilla_General_07-12-2012_8_3'!P1027,"AAAAAF1z/TI=")</f>
        <v>#VALUE!</v>
      </c>
      <c r="AZ69">
        <f>IF('Planilla_General_07-12-2012_8_3'!1028:1028,"AAAAAF1z/TM=",0)</f>
        <v>0</v>
      </c>
      <c r="BA69" t="e">
        <f>AND('Planilla_General_07-12-2012_8_3'!A1028,"AAAAAF1z/TQ=")</f>
        <v>#VALUE!</v>
      </c>
      <c r="BB69" t="e">
        <f>AND('Planilla_General_07-12-2012_8_3'!B1028,"AAAAAF1z/TU=")</f>
        <v>#VALUE!</v>
      </c>
      <c r="BC69" t="e">
        <f>AND('Planilla_General_07-12-2012_8_3'!C1028,"AAAAAF1z/TY=")</f>
        <v>#VALUE!</v>
      </c>
      <c r="BD69" t="e">
        <f>AND('Planilla_General_07-12-2012_8_3'!D1028,"AAAAAF1z/Tc=")</f>
        <v>#VALUE!</v>
      </c>
      <c r="BE69" t="e">
        <f>AND('Planilla_General_07-12-2012_8_3'!E1028,"AAAAAF1z/Tg=")</f>
        <v>#VALUE!</v>
      </c>
      <c r="BF69" t="e">
        <f>AND('Planilla_General_07-12-2012_8_3'!F1028,"AAAAAF1z/Tk=")</f>
        <v>#VALUE!</v>
      </c>
      <c r="BG69" t="e">
        <f>AND('Planilla_General_07-12-2012_8_3'!G1028,"AAAAAF1z/To=")</f>
        <v>#VALUE!</v>
      </c>
      <c r="BH69" t="e">
        <f>AND('Planilla_General_07-12-2012_8_3'!H1028,"AAAAAF1z/Ts=")</f>
        <v>#VALUE!</v>
      </c>
      <c r="BI69" t="e">
        <f>AND('Planilla_General_07-12-2012_8_3'!I1028,"AAAAAF1z/Tw=")</f>
        <v>#VALUE!</v>
      </c>
      <c r="BJ69" t="e">
        <f>AND('Planilla_General_07-12-2012_8_3'!J1028,"AAAAAF1z/T0=")</f>
        <v>#VALUE!</v>
      </c>
      <c r="BK69" t="e">
        <f>AND('Planilla_General_07-12-2012_8_3'!K1028,"AAAAAF1z/T4=")</f>
        <v>#VALUE!</v>
      </c>
      <c r="BL69" t="e">
        <f>AND('Planilla_General_07-12-2012_8_3'!L1028,"AAAAAF1z/T8=")</f>
        <v>#VALUE!</v>
      </c>
      <c r="BM69" t="e">
        <f>AND('Planilla_General_07-12-2012_8_3'!M1028,"AAAAAF1z/UA=")</f>
        <v>#VALUE!</v>
      </c>
      <c r="BN69" t="e">
        <f>AND('Planilla_General_07-12-2012_8_3'!N1028,"AAAAAF1z/UE=")</f>
        <v>#VALUE!</v>
      </c>
      <c r="BO69" t="e">
        <f>AND('Planilla_General_07-12-2012_8_3'!O1028,"AAAAAF1z/UI=")</f>
        <v>#VALUE!</v>
      </c>
      <c r="BP69" t="e">
        <f>AND('Planilla_General_07-12-2012_8_3'!P1028,"AAAAAF1z/UM=")</f>
        <v>#VALUE!</v>
      </c>
      <c r="BQ69">
        <f>IF('Planilla_General_07-12-2012_8_3'!1029:1029,"AAAAAF1z/UQ=",0)</f>
        <v>0</v>
      </c>
      <c r="BR69" t="e">
        <f>AND('Planilla_General_07-12-2012_8_3'!A1029,"AAAAAF1z/UU=")</f>
        <v>#VALUE!</v>
      </c>
      <c r="BS69" t="e">
        <f>AND('Planilla_General_07-12-2012_8_3'!B1029,"AAAAAF1z/UY=")</f>
        <v>#VALUE!</v>
      </c>
      <c r="BT69" t="e">
        <f>AND('Planilla_General_07-12-2012_8_3'!C1029,"AAAAAF1z/Uc=")</f>
        <v>#VALUE!</v>
      </c>
      <c r="BU69" t="e">
        <f>AND('Planilla_General_07-12-2012_8_3'!D1029,"AAAAAF1z/Ug=")</f>
        <v>#VALUE!</v>
      </c>
      <c r="BV69" t="e">
        <f>AND('Planilla_General_07-12-2012_8_3'!E1029,"AAAAAF1z/Uk=")</f>
        <v>#VALUE!</v>
      </c>
      <c r="BW69" t="e">
        <f>AND('Planilla_General_07-12-2012_8_3'!F1029,"AAAAAF1z/Uo=")</f>
        <v>#VALUE!</v>
      </c>
      <c r="BX69" t="e">
        <f>AND('Planilla_General_07-12-2012_8_3'!G1029,"AAAAAF1z/Us=")</f>
        <v>#VALUE!</v>
      </c>
      <c r="BY69" t="e">
        <f>AND('Planilla_General_07-12-2012_8_3'!H1029,"AAAAAF1z/Uw=")</f>
        <v>#VALUE!</v>
      </c>
      <c r="BZ69" t="e">
        <f>AND('Planilla_General_07-12-2012_8_3'!I1029,"AAAAAF1z/U0=")</f>
        <v>#VALUE!</v>
      </c>
      <c r="CA69" t="e">
        <f>AND('Planilla_General_07-12-2012_8_3'!J1029,"AAAAAF1z/U4=")</f>
        <v>#VALUE!</v>
      </c>
      <c r="CB69" t="e">
        <f>AND('Planilla_General_07-12-2012_8_3'!K1029,"AAAAAF1z/U8=")</f>
        <v>#VALUE!</v>
      </c>
      <c r="CC69" t="e">
        <f>AND('Planilla_General_07-12-2012_8_3'!L1029,"AAAAAF1z/VA=")</f>
        <v>#VALUE!</v>
      </c>
      <c r="CD69" t="e">
        <f>AND('Planilla_General_07-12-2012_8_3'!M1029,"AAAAAF1z/VE=")</f>
        <v>#VALUE!</v>
      </c>
      <c r="CE69" t="e">
        <f>AND('Planilla_General_07-12-2012_8_3'!N1029,"AAAAAF1z/VI=")</f>
        <v>#VALUE!</v>
      </c>
      <c r="CF69" t="e">
        <f>AND('Planilla_General_07-12-2012_8_3'!O1029,"AAAAAF1z/VM=")</f>
        <v>#VALUE!</v>
      </c>
      <c r="CG69" t="e">
        <f>AND('Planilla_General_07-12-2012_8_3'!P1029,"AAAAAF1z/VQ=")</f>
        <v>#VALUE!</v>
      </c>
      <c r="CH69">
        <f>IF('Planilla_General_07-12-2012_8_3'!1030:1030,"AAAAAF1z/VU=",0)</f>
        <v>0</v>
      </c>
      <c r="CI69" t="e">
        <f>AND('Planilla_General_07-12-2012_8_3'!A1030,"AAAAAF1z/VY=")</f>
        <v>#VALUE!</v>
      </c>
      <c r="CJ69" t="e">
        <f>AND('Planilla_General_07-12-2012_8_3'!B1030,"AAAAAF1z/Vc=")</f>
        <v>#VALUE!</v>
      </c>
      <c r="CK69" t="e">
        <f>AND('Planilla_General_07-12-2012_8_3'!C1030,"AAAAAF1z/Vg=")</f>
        <v>#VALUE!</v>
      </c>
      <c r="CL69" t="e">
        <f>AND('Planilla_General_07-12-2012_8_3'!D1030,"AAAAAF1z/Vk=")</f>
        <v>#VALUE!</v>
      </c>
      <c r="CM69" t="e">
        <f>AND('Planilla_General_07-12-2012_8_3'!E1030,"AAAAAF1z/Vo=")</f>
        <v>#VALUE!</v>
      </c>
      <c r="CN69" t="e">
        <f>AND('Planilla_General_07-12-2012_8_3'!F1030,"AAAAAF1z/Vs=")</f>
        <v>#VALUE!</v>
      </c>
      <c r="CO69" t="e">
        <f>AND('Planilla_General_07-12-2012_8_3'!G1030,"AAAAAF1z/Vw=")</f>
        <v>#VALUE!</v>
      </c>
      <c r="CP69" t="e">
        <f>AND('Planilla_General_07-12-2012_8_3'!H1030,"AAAAAF1z/V0=")</f>
        <v>#VALUE!</v>
      </c>
      <c r="CQ69" t="e">
        <f>AND('Planilla_General_07-12-2012_8_3'!I1030,"AAAAAF1z/V4=")</f>
        <v>#VALUE!</v>
      </c>
      <c r="CR69" t="e">
        <f>AND('Planilla_General_07-12-2012_8_3'!J1030,"AAAAAF1z/V8=")</f>
        <v>#VALUE!</v>
      </c>
      <c r="CS69" t="e">
        <f>AND('Planilla_General_07-12-2012_8_3'!K1030,"AAAAAF1z/WA=")</f>
        <v>#VALUE!</v>
      </c>
      <c r="CT69" t="e">
        <f>AND('Planilla_General_07-12-2012_8_3'!L1030,"AAAAAF1z/WE=")</f>
        <v>#VALUE!</v>
      </c>
      <c r="CU69" t="e">
        <f>AND('Planilla_General_07-12-2012_8_3'!M1030,"AAAAAF1z/WI=")</f>
        <v>#VALUE!</v>
      </c>
      <c r="CV69" t="e">
        <f>AND('Planilla_General_07-12-2012_8_3'!N1030,"AAAAAF1z/WM=")</f>
        <v>#VALUE!</v>
      </c>
      <c r="CW69" t="e">
        <f>AND('Planilla_General_07-12-2012_8_3'!O1030,"AAAAAF1z/WQ=")</f>
        <v>#VALUE!</v>
      </c>
      <c r="CX69" t="e">
        <f>AND('Planilla_General_07-12-2012_8_3'!P1030,"AAAAAF1z/WU=")</f>
        <v>#VALUE!</v>
      </c>
      <c r="CY69">
        <f>IF('Planilla_General_07-12-2012_8_3'!1031:1031,"AAAAAF1z/WY=",0)</f>
        <v>0</v>
      </c>
      <c r="CZ69" t="e">
        <f>AND('Planilla_General_07-12-2012_8_3'!A1031,"AAAAAF1z/Wc=")</f>
        <v>#VALUE!</v>
      </c>
      <c r="DA69" t="e">
        <f>AND('Planilla_General_07-12-2012_8_3'!B1031,"AAAAAF1z/Wg=")</f>
        <v>#VALUE!</v>
      </c>
      <c r="DB69" t="e">
        <f>AND('Planilla_General_07-12-2012_8_3'!C1031,"AAAAAF1z/Wk=")</f>
        <v>#VALUE!</v>
      </c>
      <c r="DC69" t="e">
        <f>AND('Planilla_General_07-12-2012_8_3'!D1031,"AAAAAF1z/Wo=")</f>
        <v>#VALUE!</v>
      </c>
      <c r="DD69" t="e">
        <f>AND('Planilla_General_07-12-2012_8_3'!E1031,"AAAAAF1z/Ws=")</f>
        <v>#VALUE!</v>
      </c>
      <c r="DE69" t="e">
        <f>AND('Planilla_General_07-12-2012_8_3'!F1031,"AAAAAF1z/Ww=")</f>
        <v>#VALUE!</v>
      </c>
      <c r="DF69" t="e">
        <f>AND('Planilla_General_07-12-2012_8_3'!G1031,"AAAAAF1z/W0=")</f>
        <v>#VALUE!</v>
      </c>
      <c r="DG69" t="e">
        <f>AND('Planilla_General_07-12-2012_8_3'!H1031,"AAAAAF1z/W4=")</f>
        <v>#VALUE!</v>
      </c>
      <c r="DH69" t="e">
        <f>AND('Planilla_General_07-12-2012_8_3'!I1031,"AAAAAF1z/W8=")</f>
        <v>#VALUE!</v>
      </c>
      <c r="DI69" t="e">
        <f>AND('Planilla_General_07-12-2012_8_3'!J1031,"AAAAAF1z/XA=")</f>
        <v>#VALUE!</v>
      </c>
      <c r="DJ69" t="e">
        <f>AND('Planilla_General_07-12-2012_8_3'!K1031,"AAAAAF1z/XE=")</f>
        <v>#VALUE!</v>
      </c>
      <c r="DK69" t="e">
        <f>AND('Planilla_General_07-12-2012_8_3'!L1031,"AAAAAF1z/XI=")</f>
        <v>#VALUE!</v>
      </c>
      <c r="DL69" t="e">
        <f>AND('Planilla_General_07-12-2012_8_3'!M1031,"AAAAAF1z/XM=")</f>
        <v>#VALUE!</v>
      </c>
      <c r="DM69" t="e">
        <f>AND('Planilla_General_07-12-2012_8_3'!N1031,"AAAAAF1z/XQ=")</f>
        <v>#VALUE!</v>
      </c>
      <c r="DN69" t="e">
        <f>AND('Planilla_General_07-12-2012_8_3'!O1031,"AAAAAF1z/XU=")</f>
        <v>#VALUE!</v>
      </c>
      <c r="DO69" t="e">
        <f>AND('Planilla_General_07-12-2012_8_3'!P1031,"AAAAAF1z/XY=")</f>
        <v>#VALUE!</v>
      </c>
      <c r="DP69">
        <f>IF('Planilla_General_07-12-2012_8_3'!1032:1032,"AAAAAF1z/Xc=",0)</f>
        <v>0</v>
      </c>
      <c r="DQ69" t="e">
        <f>AND('Planilla_General_07-12-2012_8_3'!A1032,"AAAAAF1z/Xg=")</f>
        <v>#VALUE!</v>
      </c>
      <c r="DR69" t="e">
        <f>AND('Planilla_General_07-12-2012_8_3'!B1032,"AAAAAF1z/Xk=")</f>
        <v>#VALUE!</v>
      </c>
      <c r="DS69" t="e">
        <f>AND('Planilla_General_07-12-2012_8_3'!C1032,"AAAAAF1z/Xo=")</f>
        <v>#VALUE!</v>
      </c>
      <c r="DT69" t="e">
        <f>AND('Planilla_General_07-12-2012_8_3'!D1032,"AAAAAF1z/Xs=")</f>
        <v>#VALUE!</v>
      </c>
      <c r="DU69" t="e">
        <f>AND('Planilla_General_07-12-2012_8_3'!E1032,"AAAAAF1z/Xw=")</f>
        <v>#VALUE!</v>
      </c>
      <c r="DV69" t="e">
        <f>AND('Planilla_General_07-12-2012_8_3'!F1032,"AAAAAF1z/X0=")</f>
        <v>#VALUE!</v>
      </c>
      <c r="DW69" t="e">
        <f>AND('Planilla_General_07-12-2012_8_3'!G1032,"AAAAAF1z/X4=")</f>
        <v>#VALUE!</v>
      </c>
      <c r="DX69" t="e">
        <f>AND('Planilla_General_07-12-2012_8_3'!H1032,"AAAAAF1z/X8=")</f>
        <v>#VALUE!</v>
      </c>
      <c r="DY69" t="e">
        <f>AND('Planilla_General_07-12-2012_8_3'!I1032,"AAAAAF1z/YA=")</f>
        <v>#VALUE!</v>
      </c>
      <c r="DZ69" t="e">
        <f>AND('Planilla_General_07-12-2012_8_3'!J1032,"AAAAAF1z/YE=")</f>
        <v>#VALUE!</v>
      </c>
      <c r="EA69" t="e">
        <f>AND('Planilla_General_07-12-2012_8_3'!K1032,"AAAAAF1z/YI=")</f>
        <v>#VALUE!</v>
      </c>
      <c r="EB69" t="e">
        <f>AND('Planilla_General_07-12-2012_8_3'!L1032,"AAAAAF1z/YM=")</f>
        <v>#VALUE!</v>
      </c>
      <c r="EC69" t="e">
        <f>AND('Planilla_General_07-12-2012_8_3'!M1032,"AAAAAF1z/YQ=")</f>
        <v>#VALUE!</v>
      </c>
      <c r="ED69" t="e">
        <f>AND('Planilla_General_07-12-2012_8_3'!N1032,"AAAAAF1z/YU=")</f>
        <v>#VALUE!</v>
      </c>
      <c r="EE69" t="e">
        <f>AND('Planilla_General_07-12-2012_8_3'!O1032,"AAAAAF1z/YY=")</f>
        <v>#VALUE!</v>
      </c>
      <c r="EF69" t="e">
        <f>AND('Planilla_General_07-12-2012_8_3'!P1032,"AAAAAF1z/Yc=")</f>
        <v>#VALUE!</v>
      </c>
      <c r="EG69">
        <f>IF('Planilla_General_07-12-2012_8_3'!1033:1033,"AAAAAF1z/Yg=",0)</f>
        <v>0</v>
      </c>
      <c r="EH69" t="e">
        <f>AND('Planilla_General_07-12-2012_8_3'!A1033,"AAAAAF1z/Yk=")</f>
        <v>#VALUE!</v>
      </c>
      <c r="EI69" t="e">
        <f>AND('Planilla_General_07-12-2012_8_3'!B1033,"AAAAAF1z/Yo=")</f>
        <v>#VALUE!</v>
      </c>
      <c r="EJ69" t="e">
        <f>AND('Planilla_General_07-12-2012_8_3'!C1033,"AAAAAF1z/Ys=")</f>
        <v>#VALUE!</v>
      </c>
      <c r="EK69" t="e">
        <f>AND('Planilla_General_07-12-2012_8_3'!D1033,"AAAAAF1z/Yw=")</f>
        <v>#VALUE!</v>
      </c>
      <c r="EL69" t="e">
        <f>AND('Planilla_General_07-12-2012_8_3'!E1033,"AAAAAF1z/Y0=")</f>
        <v>#VALUE!</v>
      </c>
      <c r="EM69" t="e">
        <f>AND('Planilla_General_07-12-2012_8_3'!F1033,"AAAAAF1z/Y4=")</f>
        <v>#VALUE!</v>
      </c>
      <c r="EN69" t="e">
        <f>AND('Planilla_General_07-12-2012_8_3'!G1033,"AAAAAF1z/Y8=")</f>
        <v>#VALUE!</v>
      </c>
      <c r="EO69" t="e">
        <f>AND('Planilla_General_07-12-2012_8_3'!H1033,"AAAAAF1z/ZA=")</f>
        <v>#VALUE!</v>
      </c>
      <c r="EP69" t="e">
        <f>AND('Planilla_General_07-12-2012_8_3'!I1033,"AAAAAF1z/ZE=")</f>
        <v>#VALUE!</v>
      </c>
      <c r="EQ69" t="e">
        <f>AND('Planilla_General_07-12-2012_8_3'!J1033,"AAAAAF1z/ZI=")</f>
        <v>#VALUE!</v>
      </c>
      <c r="ER69" t="e">
        <f>AND('Planilla_General_07-12-2012_8_3'!K1033,"AAAAAF1z/ZM=")</f>
        <v>#VALUE!</v>
      </c>
      <c r="ES69" t="e">
        <f>AND('Planilla_General_07-12-2012_8_3'!L1033,"AAAAAF1z/ZQ=")</f>
        <v>#VALUE!</v>
      </c>
      <c r="ET69" t="e">
        <f>AND('Planilla_General_07-12-2012_8_3'!M1033,"AAAAAF1z/ZU=")</f>
        <v>#VALUE!</v>
      </c>
      <c r="EU69" t="e">
        <f>AND('Planilla_General_07-12-2012_8_3'!N1033,"AAAAAF1z/ZY=")</f>
        <v>#VALUE!</v>
      </c>
      <c r="EV69" t="e">
        <f>AND('Planilla_General_07-12-2012_8_3'!O1033,"AAAAAF1z/Zc=")</f>
        <v>#VALUE!</v>
      </c>
      <c r="EW69" t="e">
        <f>AND('Planilla_General_07-12-2012_8_3'!P1033,"AAAAAF1z/Zg=")</f>
        <v>#VALUE!</v>
      </c>
      <c r="EX69">
        <f>IF('Planilla_General_07-12-2012_8_3'!1034:1034,"AAAAAF1z/Zk=",0)</f>
        <v>0</v>
      </c>
      <c r="EY69" t="e">
        <f>AND('Planilla_General_07-12-2012_8_3'!A1034,"AAAAAF1z/Zo=")</f>
        <v>#VALUE!</v>
      </c>
      <c r="EZ69" t="e">
        <f>AND('Planilla_General_07-12-2012_8_3'!B1034,"AAAAAF1z/Zs=")</f>
        <v>#VALUE!</v>
      </c>
      <c r="FA69" t="e">
        <f>AND('Planilla_General_07-12-2012_8_3'!C1034,"AAAAAF1z/Zw=")</f>
        <v>#VALUE!</v>
      </c>
      <c r="FB69" t="e">
        <f>AND('Planilla_General_07-12-2012_8_3'!D1034,"AAAAAF1z/Z0=")</f>
        <v>#VALUE!</v>
      </c>
      <c r="FC69" t="e">
        <f>AND('Planilla_General_07-12-2012_8_3'!E1034,"AAAAAF1z/Z4=")</f>
        <v>#VALUE!</v>
      </c>
      <c r="FD69" t="e">
        <f>AND('Planilla_General_07-12-2012_8_3'!F1034,"AAAAAF1z/Z8=")</f>
        <v>#VALUE!</v>
      </c>
      <c r="FE69" t="e">
        <f>AND('Planilla_General_07-12-2012_8_3'!G1034,"AAAAAF1z/aA=")</f>
        <v>#VALUE!</v>
      </c>
      <c r="FF69" t="e">
        <f>AND('Planilla_General_07-12-2012_8_3'!H1034,"AAAAAF1z/aE=")</f>
        <v>#VALUE!</v>
      </c>
      <c r="FG69" t="e">
        <f>AND('Planilla_General_07-12-2012_8_3'!I1034,"AAAAAF1z/aI=")</f>
        <v>#VALUE!</v>
      </c>
      <c r="FH69" t="e">
        <f>AND('Planilla_General_07-12-2012_8_3'!J1034,"AAAAAF1z/aM=")</f>
        <v>#VALUE!</v>
      </c>
      <c r="FI69" t="e">
        <f>AND('Planilla_General_07-12-2012_8_3'!K1034,"AAAAAF1z/aQ=")</f>
        <v>#VALUE!</v>
      </c>
      <c r="FJ69" t="e">
        <f>AND('Planilla_General_07-12-2012_8_3'!L1034,"AAAAAF1z/aU=")</f>
        <v>#VALUE!</v>
      </c>
      <c r="FK69" t="e">
        <f>AND('Planilla_General_07-12-2012_8_3'!M1034,"AAAAAF1z/aY=")</f>
        <v>#VALUE!</v>
      </c>
      <c r="FL69" t="e">
        <f>AND('Planilla_General_07-12-2012_8_3'!N1034,"AAAAAF1z/ac=")</f>
        <v>#VALUE!</v>
      </c>
      <c r="FM69" t="e">
        <f>AND('Planilla_General_07-12-2012_8_3'!O1034,"AAAAAF1z/ag=")</f>
        <v>#VALUE!</v>
      </c>
      <c r="FN69" t="e">
        <f>AND('Planilla_General_07-12-2012_8_3'!P1034,"AAAAAF1z/ak=")</f>
        <v>#VALUE!</v>
      </c>
      <c r="FO69">
        <f>IF('Planilla_General_07-12-2012_8_3'!1035:1035,"AAAAAF1z/ao=",0)</f>
        <v>0</v>
      </c>
      <c r="FP69" t="e">
        <f>AND('Planilla_General_07-12-2012_8_3'!A1035,"AAAAAF1z/as=")</f>
        <v>#VALUE!</v>
      </c>
      <c r="FQ69" t="e">
        <f>AND('Planilla_General_07-12-2012_8_3'!B1035,"AAAAAF1z/aw=")</f>
        <v>#VALUE!</v>
      </c>
      <c r="FR69" t="e">
        <f>AND('Planilla_General_07-12-2012_8_3'!C1035,"AAAAAF1z/a0=")</f>
        <v>#VALUE!</v>
      </c>
      <c r="FS69" t="e">
        <f>AND('Planilla_General_07-12-2012_8_3'!D1035,"AAAAAF1z/a4=")</f>
        <v>#VALUE!</v>
      </c>
      <c r="FT69" t="e">
        <f>AND('Planilla_General_07-12-2012_8_3'!E1035,"AAAAAF1z/a8=")</f>
        <v>#VALUE!</v>
      </c>
      <c r="FU69" t="e">
        <f>AND('Planilla_General_07-12-2012_8_3'!F1035,"AAAAAF1z/bA=")</f>
        <v>#VALUE!</v>
      </c>
      <c r="FV69" t="e">
        <f>AND('Planilla_General_07-12-2012_8_3'!G1035,"AAAAAF1z/bE=")</f>
        <v>#VALUE!</v>
      </c>
      <c r="FW69" t="e">
        <f>AND('Planilla_General_07-12-2012_8_3'!H1035,"AAAAAF1z/bI=")</f>
        <v>#VALUE!</v>
      </c>
      <c r="FX69" t="e">
        <f>AND('Planilla_General_07-12-2012_8_3'!I1035,"AAAAAF1z/bM=")</f>
        <v>#VALUE!</v>
      </c>
      <c r="FY69" t="e">
        <f>AND('Planilla_General_07-12-2012_8_3'!J1035,"AAAAAF1z/bQ=")</f>
        <v>#VALUE!</v>
      </c>
      <c r="FZ69" t="e">
        <f>AND('Planilla_General_07-12-2012_8_3'!K1035,"AAAAAF1z/bU=")</f>
        <v>#VALUE!</v>
      </c>
      <c r="GA69" t="e">
        <f>AND('Planilla_General_07-12-2012_8_3'!L1035,"AAAAAF1z/bY=")</f>
        <v>#VALUE!</v>
      </c>
      <c r="GB69" t="e">
        <f>AND('Planilla_General_07-12-2012_8_3'!M1035,"AAAAAF1z/bc=")</f>
        <v>#VALUE!</v>
      </c>
      <c r="GC69" t="e">
        <f>AND('Planilla_General_07-12-2012_8_3'!N1035,"AAAAAF1z/bg=")</f>
        <v>#VALUE!</v>
      </c>
      <c r="GD69" t="e">
        <f>AND('Planilla_General_07-12-2012_8_3'!O1035,"AAAAAF1z/bk=")</f>
        <v>#VALUE!</v>
      </c>
      <c r="GE69" t="e">
        <f>AND('Planilla_General_07-12-2012_8_3'!P1035,"AAAAAF1z/bo=")</f>
        <v>#VALUE!</v>
      </c>
      <c r="GF69">
        <f>IF('Planilla_General_07-12-2012_8_3'!1036:1036,"AAAAAF1z/bs=",0)</f>
        <v>0</v>
      </c>
      <c r="GG69" t="e">
        <f>AND('Planilla_General_07-12-2012_8_3'!A1036,"AAAAAF1z/bw=")</f>
        <v>#VALUE!</v>
      </c>
      <c r="GH69" t="e">
        <f>AND('Planilla_General_07-12-2012_8_3'!B1036,"AAAAAF1z/b0=")</f>
        <v>#VALUE!</v>
      </c>
      <c r="GI69" t="e">
        <f>AND('Planilla_General_07-12-2012_8_3'!C1036,"AAAAAF1z/b4=")</f>
        <v>#VALUE!</v>
      </c>
      <c r="GJ69" t="e">
        <f>AND('Planilla_General_07-12-2012_8_3'!D1036,"AAAAAF1z/b8=")</f>
        <v>#VALUE!</v>
      </c>
      <c r="GK69" t="e">
        <f>AND('Planilla_General_07-12-2012_8_3'!E1036,"AAAAAF1z/cA=")</f>
        <v>#VALUE!</v>
      </c>
      <c r="GL69" t="e">
        <f>AND('Planilla_General_07-12-2012_8_3'!F1036,"AAAAAF1z/cE=")</f>
        <v>#VALUE!</v>
      </c>
      <c r="GM69" t="e">
        <f>AND('Planilla_General_07-12-2012_8_3'!G1036,"AAAAAF1z/cI=")</f>
        <v>#VALUE!</v>
      </c>
      <c r="GN69" t="e">
        <f>AND('Planilla_General_07-12-2012_8_3'!H1036,"AAAAAF1z/cM=")</f>
        <v>#VALUE!</v>
      </c>
      <c r="GO69" t="e">
        <f>AND('Planilla_General_07-12-2012_8_3'!I1036,"AAAAAF1z/cQ=")</f>
        <v>#VALUE!</v>
      </c>
      <c r="GP69" t="e">
        <f>AND('Planilla_General_07-12-2012_8_3'!J1036,"AAAAAF1z/cU=")</f>
        <v>#VALUE!</v>
      </c>
      <c r="GQ69" t="e">
        <f>AND('Planilla_General_07-12-2012_8_3'!K1036,"AAAAAF1z/cY=")</f>
        <v>#VALUE!</v>
      </c>
      <c r="GR69" t="e">
        <f>AND('Planilla_General_07-12-2012_8_3'!L1036,"AAAAAF1z/cc=")</f>
        <v>#VALUE!</v>
      </c>
      <c r="GS69" t="e">
        <f>AND('Planilla_General_07-12-2012_8_3'!M1036,"AAAAAF1z/cg=")</f>
        <v>#VALUE!</v>
      </c>
      <c r="GT69" t="e">
        <f>AND('Planilla_General_07-12-2012_8_3'!N1036,"AAAAAF1z/ck=")</f>
        <v>#VALUE!</v>
      </c>
      <c r="GU69" t="e">
        <f>AND('Planilla_General_07-12-2012_8_3'!O1036,"AAAAAF1z/co=")</f>
        <v>#VALUE!</v>
      </c>
      <c r="GV69" t="e">
        <f>AND('Planilla_General_07-12-2012_8_3'!P1036,"AAAAAF1z/cs=")</f>
        <v>#VALUE!</v>
      </c>
      <c r="GW69">
        <f>IF('Planilla_General_07-12-2012_8_3'!1037:1037,"AAAAAF1z/cw=",0)</f>
        <v>0</v>
      </c>
      <c r="GX69" t="e">
        <f>AND('Planilla_General_07-12-2012_8_3'!A1037,"AAAAAF1z/c0=")</f>
        <v>#VALUE!</v>
      </c>
      <c r="GY69" t="e">
        <f>AND('Planilla_General_07-12-2012_8_3'!B1037,"AAAAAF1z/c4=")</f>
        <v>#VALUE!</v>
      </c>
      <c r="GZ69" t="e">
        <f>AND('Planilla_General_07-12-2012_8_3'!C1037,"AAAAAF1z/c8=")</f>
        <v>#VALUE!</v>
      </c>
      <c r="HA69" t="e">
        <f>AND('Planilla_General_07-12-2012_8_3'!D1037,"AAAAAF1z/dA=")</f>
        <v>#VALUE!</v>
      </c>
      <c r="HB69" t="e">
        <f>AND('Planilla_General_07-12-2012_8_3'!E1037,"AAAAAF1z/dE=")</f>
        <v>#VALUE!</v>
      </c>
      <c r="HC69" t="e">
        <f>AND('Planilla_General_07-12-2012_8_3'!F1037,"AAAAAF1z/dI=")</f>
        <v>#VALUE!</v>
      </c>
      <c r="HD69" t="e">
        <f>AND('Planilla_General_07-12-2012_8_3'!G1037,"AAAAAF1z/dM=")</f>
        <v>#VALUE!</v>
      </c>
      <c r="HE69" t="e">
        <f>AND('Planilla_General_07-12-2012_8_3'!H1037,"AAAAAF1z/dQ=")</f>
        <v>#VALUE!</v>
      </c>
      <c r="HF69" t="e">
        <f>AND('Planilla_General_07-12-2012_8_3'!I1037,"AAAAAF1z/dU=")</f>
        <v>#VALUE!</v>
      </c>
      <c r="HG69" t="e">
        <f>AND('Planilla_General_07-12-2012_8_3'!J1037,"AAAAAF1z/dY=")</f>
        <v>#VALUE!</v>
      </c>
      <c r="HH69" t="e">
        <f>AND('Planilla_General_07-12-2012_8_3'!K1037,"AAAAAF1z/dc=")</f>
        <v>#VALUE!</v>
      </c>
      <c r="HI69" t="e">
        <f>AND('Planilla_General_07-12-2012_8_3'!L1037,"AAAAAF1z/dg=")</f>
        <v>#VALUE!</v>
      </c>
      <c r="HJ69" t="e">
        <f>AND('Planilla_General_07-12-2012_8_3'!M1037,"AAAAAF1z/dk=")</f>
        <v>#VALUE!</v>
      </c>
      <c r="HK69" t="e">
        <f>AND('Planilla_General_07-12-2012_8_3'!N1037,"AAAAAF1z/do=")</f>
        <v>#VALUE!</v>
      </c>
      <c r="HL69" t="e">
        <f>AND('Planilla_General_07-12-2012_8_3'!O1037,"AAAAAF1z/ds=")</f>
        <v>#VALUE!</v>
      </c>
      <c r="HM69" t="e">
        <f>AND('Planilla_General_07-12-2012_8_3'!P1037,"AAAAAF1z/dw=")</f>
        <v>#VALUE!</v>
      </c>
      <c r="HN69">
        <f>IF('Planilla_General_07-12-2012_8_3'!1038:1038,"AAAAAF1z/d0=",0)</f>
        <v>0</v>
      </c>
      <c r="HO69" t="e">
        <f>AND('Planilla_General_07-12-2012_8_3'!A1038,"AAAAAF1z/d4=")</f>
        <v>#VALUE!</v>
      </c>
      <c r="HP69" t="e">
        <f>AND('Planilla_General_07-12-2012_8_3'!B1038,"AAAAAF1z/d8=")</f>
        <v>#VALUE!</v>
      </c>
      <c r="HQ69" t="e">
        <f>AND('Planilla_General_07-12-2012_8_3'!C1038,"AAAAAF1z/eA=")</f>
        <v>#VALUE!</v>
      </c>
      <c r="HR69" t="e">
        <f>AND('Planilla_General_07-12-2012_8_3'!D1038,"AAAAAF1z/eE=")</f>
        <v>#VALUE!</v>
      </c>
      <c r="HS69" t="e">
        <f>AND('Planilla_General_07-12-2012_8_3'!E1038,"AAAAAF1z/eI=")</f>
        <v>#VALUE!</v>
      </c>
      <c r="HT69" t="e">
        <f>AND('Planilla_General_07-12-2012_8_3'!F1038,"AAAAAF1z/eM=")</f>
        <v>#VALUE!</v>
      </c>
      <c r="HU69" t="e">
        <f>AND('Planilla_General_07-12-2012_8_3'!G1038,"AAAAAF1z/eQ=")</f>
        <v>#VALUE!</v>
      </c>
      <c r="HV69" t="e">
        <f>AND('Planilla_General_07-12-2012_8_3'!H1038,"AAAAAF1z/eU=")</f>
        <v>#VALUE!</v>
      </c>
      <c r="HW69" t="e">
        <f>AND('Planilla_General_07-12-2012_8_3'!I1038,"AAAAAF1z/eY=")</f>
        <v>#VALUE!</v>
      </c>
      <c r="HX69" t="e">
        <f>AND('Planilla_General_07-12-2012_8_3'!J1038,"AAAAAF1z/ec=")</f>
        <v>#VALUE!</v>
      </c>
      <c r="HY69" t="e">
        <f>AND('Planilla_General_07-12-2012_8_3'!K1038,"AAAAAF1z/eg=")</f>
        <v>#VALUE!</v>
      </c>
      <c r="HZ69" t="e">
        <f>AND('Planilla_General_07-12-2012_8_3'!L1038,"AAAAAF1z/ek=")</f>
        <v>#VALUE!</v>
      </c>
      <c r="IA69" t="e">
        <f>AND('Planilla_General_07-12-2012_8_3'!M1038,"AAAAAF1z/eo=")</f>
        <v>#VALUE!</v>
      </c>
      <c r="IB69" t="e">
        <f>AND('Planilla_General_07-12-2012_8_3'!N1038,"AAAAAF1z/es=")</f>
        <v>#VALUE!</v>
      </c>
      <c r="IC69" t="e">
        <f>AND('Planilla_General_07-12-2012_8_3'!O1038,"AAAAAF1z/ew=")</f>
        <v>#VALUE!</v>
      </c>
      <c r="ID69" t="e">
        <f>AND('Planilla_General_07-12-2012_8_3'!P1038,"AAAAAF1z/e0=")</f>
        <v>#VALUE!</v>
      </c>
      <c r="IE69">
        <f>IF('Planilla_General_07-12-2012_8_3'!1039:1039,"AAAAAF1z/e4=",0)</f>
        <v>0</v>
      </c>
      <c r="IF69" t="e">
        <f>AND('Planilla_General_07-12-2012_8_3'!A1039,"AAAAAF1z/e8=")</f>
        <v>#VALUE!</v>
      </c>
      <c r="IG69" t="e">
        <f>AND('Planilla_General_07-12-2012_8_3'!B1039,"AAAAAF1z/fA=")</f>
        <v>#VALUE!</v>
      </c>
      <c r="IH69" t="e">
        <f>AND('Planilla_General_07-12-2012_8_3'!C1039,"AAAAAF1z/fE=")</f>
        <v>#VALUE!</v>
      </c>
      <c r="II69" t="e">
        <f>AND('Planilla_General_07-12-2012_8_3'!D1039,"AAAAAF1z/fI=")</f>
        <v>#VALUE!</v>
      </c>
      <c r="IJ69" t="e">
        <f>AND('Planilla_General_07-12-2012_8_3'!E1039,"AAAAAF1z/fM=")</f>
        <v>#VALUE!</v>
      </c>
      <c r="IK69" t="e">
        <f>AND('Planilla_General_07-12-2012_8_3'!F1039,"AAAAAF1z/fQ=")</f>
        <v>#VALUE!</v>
      </c>
      <c r="IL69" t="e">
        <f>AND('Planilla_General_07-12-2012_8_3'!G1039,"AAAAAF1z/fU=")</f>
        <v>#VALUE!</v>
      </c>
      <c r="IM69" t="e">
        <f>AND('Planilla_General_07-12-2012_8_3'!H1039,"AAAAAF1z/fY=")</f>
        <v>#VALUE!</v>
      </c>
      <c r="IN69" t="e">
        <f>AND('Planilla_General_07-12-2012_8_3'!I1039,"AAAAAF1z/fc=")</f>
        <v>#VALUE!</v>
      </c>
      <c r="IO69" t="e">
        <f>AND('Planilla_General_07-12-2012_8_3'!J1039,"AAAAAF1z/fg=")</f>
        <v>#VALUE!</v>
      </c>
      <c r="IP69" t="e">
        <f>AND('Planilla_General_07-12-2012_8_3'!K1039,"AAAAAF1z/fk=")</f>
        <v>#VALUE!</v>
      </c>
      <c r="IQ69" t="e">
        <f>AND('Planilla_General_07-12-2012_8_3'!L1039,"AAAAAF1z/fo=")</f>
        <v>#VALUE!</v>
      </c>
      <c r="IR69" t="e">
        <f>AND('Planilla_General_07-12-2012_8_3'!M1039,"AAAAAF1z/fs=")</f>
        <v>#VALUE!</v>
      </c>
      <c r="IS69" t="e">
        <f>AND('Planilla_General_07-12-2012_8_3'!N1039,"AAAAAF1z/fw=")</f>
        <v>#VALUE!</v>
      </c>
      <c r="IT69" t="e">
        <f>AND('Planilla_General_07-12-2012_8_3'!O1039,"AAAAAF1z/f0=")</f>
        <v>#VALUE!</v>
      </c>
      <c r="IU69" t="e">
        <f>AND('Planilla_General_07-12-2012_8_3'!P1039,"AAAAAF1z/f4=")</f>
        <v>#VALUE!</v>
      </c>
      <c r="IV69">
        <f>IF('Planilla_General_07-12-2012_8_3'!1040:1040,"AAAAAF1z/f8=",0)</f>
        <v>0</v>
      </c>
    </row>
    <row r="70" spans="1:256" x14ac:dyDescent="0.25">
      <c r="A70" t="e">
        <f>AND('Planilla_General_07-12-2012_8_3'!A1040,"AAAAAB/d7QA=")</f>
        <v>#VALUE!</v>
      </c>
      <c r="B70" t="e">
        <f>AND('Planilla_General_07-12-2012_8_3'!B1040,"AAAAAB/d7QE=")</f>
        <v>#VALUE!</v>
      </c>
      <c r="C70" t="e">
        <f>AND('Planilla_General_07-12-2012_8_3'!C1040,"AAAAAB/d7QI=")</f>
        <v>#VALUE!</v>
      </c>
      <c r="D70" t="e">
        <f>AND('Planilla_General_07-12-2012_8_3'!D1040,"AAAAAB/d7QM=")</f>
        <v>#VALUE!</v>
      </c>
      <c r="E70" t="e">
        <f>AND('Planilla_General_07-12-2012_8_3'!E1040,"AAAAAB/d7QQ=")</f>
        <v>#VALUE!</v>
      </c>
      <c r="F70" t="e">
        <f>AND('Planilla_General_07-12-2012_8_3'!F1040,"AAAAAB/d7QU=")</f>
        <v>#VALUE!</v>
      </c>
      <c r="G70" t="e">
        <f>AND('Planilla_General_07-12-2012_8_3'!G1040,"AAAAAB/d7QY=")</f>
        <v>#VALUE!</v>
      </c>
      <c r="H70" t="e">
        <f>AND('Planilla_General_07-12-2012_8_3'!H1040,"AAAAAB/d7Qc=")</f>
        <v>#VALUE!</v>
      </c>
      <c r="I70" t="e">
        <f>AND('Planilla_General_07-12-2012_8_3'!I1040,"AAAAAB/d7Qg=")</f>
        <v>#VALUE!</v>
      </c>
      <c r="J70" t="e">
        <f>AND('Planilla_General_07-12-2012_8_3'!J1040,"AAAAAB/d7Qk=")</f>
        <v>#VALUE!</v>
      </c>
      <c r="K70" t="e">
        <f>AND('Planilla_General_07-12-2012_8_3'!K1040,"AAAAAB/d7Qo=")</f>
        <v>#VALUE!</v>
      </c>
      <c r="L70" t="e">
        <f>AND('Planilla_General_07-12-2012_8_3'!L1040,"AAAAAB/d7Qs=")</f>
        <v>#VALUE!</v>
      </c>
      <c r="M70" t="e">
        <f>AND('Planilla_General_07-12-2012_8_3'!M1040,"AAAAAB/d7Qw=")</f>
        <v>#VALUE!</v>
      </c>
      <c r="N70" t="e">
        <f>AND('Planilla_General_07-12-2012_8_3'!N1040,"AAAAAB/d7Q0=")</f>
        <v>#VALUE!</v>
      </c>
      <c r="O70" t="e">
        <f>AND('Planilla_General_07-12-2012_8_3'!O1040,"AAAAAB/d7Q4=")</f>
        <v>#VALUE!</v>
      </c>
      <c r="P70" t="e">
        <f>AND('Planilla_General_07-12-2012_8_3'!P1040,"AAAAAB/d7Q8=")</f>
        <v>#VALUE!</v>
      </c>
      <c r="Q70">
        <f>IF('Planilla_General_07-12-2012_8_3'!1041:1041,"AAAAAB/d7RA=",0)</f>
        <v>0</v>
      </c>
      <c r="R70" t="e">
        <f>AND('Planilla_General_07-12-2012_8_3'!A1041,"AAAAAB/d7RE=")</f>
        <v>#VALUE!</v>
      </c>
      <c r="S70" t="e">
        <f>AND('Planilla_General_07-12-2012_8_3'!B1041,"AAAAAB/d7RI=")</f>
        <v>#VALUE!</v>
      </c>
      <c r="T70" t="e">
        <f>AND('Planilla_General_07-12-2012_8_3'!C1041,"AAAAAB/d7RM=")</f>
        <v>#VALUE!</v>
      </c>
      <c r="U70" t="e">
        <f>AND('Planilla_General_07-12-2012_8_3'!D1041,"AAAAAB/d7RQ=")</f>
        <v>#VALUE!</v>
      </c>
      <c r="V70" t="e">
        <f>AND('Planilla_General_07-12-2012_8_3'!E1041,"AAAAAB/d7RU=")</f>
        <v>#VALUE!</v>
      </c>
      <c r="W70" t="e">
        <f>AND('Planilla_General_07-12-2012_8_3'!F1041,"AAAAAB/d7RY=")</f>
        <v>#VALUE!</v>
      </c>
      <c r="X70" t="e">
        <f>AND('Planilla_General_07-12-2012_8_3'!G1041,"AAAAAB/d7Rc=")</f>
        <v>#VALUE!</v>
      </c>
      <c r="Y70" t="e">
        <f>AND('Planilla_General_07-12-2012_8_3'!H1041,"AAAAAB/d7Rg=")</f>
        <v>#VALUE!</v>
      </c>
      <c r="Z70" t="e">
        <f>AND('Planilla_General_07-12-2012_8_3'!I1041,"AAAAAB/d7Rk=")</f>
        <v>#VALUE!</v>
      </c>
      <c r="AA70" t="e">
        <f>AND('Planilla_General_07-12-2012_8_3'!J1041,"AAAAAB/d7Ro=")</f>
        <v>#VALUE!</v>
      </c>
      <c r="AB70" t="e">
        <f>AND('Planilla_General_07-12-2012_8_3'!K1041,"AAAAAB/d7Rs=")</f>
        <v>#VALUE!</v>
      </c>
      <c r="AC70" t="e">
        <f>AND('Planilla_General_07-12-2012_8_3'!L1041,"AAAAAB/d7Rw=")</f>
        <v>#VALUE!</v>
      </c>
      <c r="AD70" t="e">
        <f>AND('Planilla_General_07-12-2012_8_3'!M1041,"AAAAAB/d7R0=")</f>
        <v>#VALUE!</v>
      </c>
      <c r="AE70" t="e">
        <f>AND('Planilla_General_07-12-2012_8_3'!N1041,"AAAAAB/d7R4=")</f>
        <v>#VALUE!</v>
      </c>
      <c r="AF70" t="e">
        <f>AND('Planilla_General_07-12-2012_8_3'!O1041,"AAAAAB/d7R8=")</f>
        <v>#VALUE!</v>
      </c>
      <c r="AG70" t="e">
        <f>AND('Planilla_General_07-12-2012_8_3'!P1041,"AAAAAB/d7SA=")</f>
        <v>#VALUE!</v>
      </c>
      <c r="AH70">
        <f>IF('Planilla_General_07-12-2012_8_3'!1042:1042,"AAAAAB/d7SE=",0)</f>
        <v>0</v>
      </c>
      <c r="AI70" t="e">
        <f>AND('Planilla_General_07-12-2012_8_3'!A1042,"AAAAAB/d7SI=")</f>
        <v>#VALUE!</v>
      </c>
      <c r="AJ70" t="e">
        <f>AND('Planilla_General_07-12-2012_8_3'!B1042,"AAAAAB/d7SM=")</f>
        <v>#VALUE!</v>
      </c>
      <c r="AK70" t="e">
        <f>AND('Planilla_General_07-12-2012_8_3'!C1042,"AAAAAB/d7SQ=")</f>
        <v>#VALUE!</v>
      </c>
      <c r="AL70" t="e">
        <f>AND('Planilla_General_07-12-2012_8_3'!D1042,"AAAAAB/d7SU=")</f>
        <v>#VALUE!</v>
      </c>
      <c r="AM70" t="e">
        <f>AND('Planilla_General_07-12-2012_8_3'!E1042,"AAAAAB/d7SY=")</f>
        <v>#VALUE!</v>
      </c>
      <c r="AN70" t="e">
        <f>AND('Planilla_General_07-12-2012_8_3'!F1042,"AAAAAB/d7Sc=")</f>
        <v>#VALUE!</v>
      </c>
      <c r="AO70" t="e">
        <f>AND('Planilla_General_07-12-2012_8_3'!G1042,"AAAAAB/d7Sg=")</f>
        <v>#VALUE!</v>
      </c>
      <c r="AP70" t="e">
        <f>AND('Planilla_General_07-12-2012_8_3'!H1042,"AAAAAB/d7Sk=")</f>
        <v>#VALUE!</v>
      </c>
      <c r="AQ70" t="e">
        <f>AND('Planilla_General_07-12-2012_8_3'!I1042,"AAAAAB/d7So=")</f>
        <v>#VALUE!</v>
      </c>
      <c r="AR70" t="e">
        <f>AND('Planilla_General_07-12-2012_8_3'!J1042,"AAAAAB/d7Ss=")</f>
        <v>#VALUE!</v>
      </c>
      <c r="AS70" t="e">
        <f>AND('Planilla_General_07-12-2012_8_3'!K1042,"AAAAAB/d7Sw=")</f>
        <v>#VALUE!</v>
      </c>
      <c r="AT70" t="e">
        <f>AND('Planilla_General_07-12-2012_8_3'!L1042,"AAAAAB/d7S0=")</f>
        <v>#VALUE!</v>
      </c>
      <c r="AU70" t="e">
        <f>AND('Planilla_General_07-12-2012_8_3'!M1042,"AAAAAB/d7S4=")</f>
        <v>#VALUE!</v>
      </c>
      <c r="AV70" t="e">
        <f>AND('Planilla_General_07-12-2012_8_3'!N1042,"AAAAAB/d7S8=")</f>
        <v>#VALUE!</v>
      </c>
      <c r="AW70" t="e">
        <f>AND('Planilla_General_07-12-2012_8_3'!O1042,"AAAAAB/d7TA=")</f>
        <v>#VALUE!</v>
      </c>
      <c r="AX70" t="e">
        <f>AND('Planilla_General_07-12-2012_8_3'!P1042,"AAAAAB/d7TE=")</f>
        <v>#VALUE!</v>
      </c>
      <c r="AY70">
        <f>IF('Planilla_General_07-12-2012_8_3'!1043:1043,"AAAAAB/d7TI=",0)</f>
        <v>0</v>
      </c>
      <c r="AZ70" t="e">
        <f>AND('Planilla_General_07-12-2012_8_3'!A1043,"AAAAAB/d7TM=")</f>
        <v>#VALUE!</v>
      </c>
      <c r="BA70" t="e">
        <f>AND('Planilla_General_07-12-2012_8_3'!B1043,"AAAAAB/d7TQ=")</f>
        <v>#VALUE!</v>
      </c>
      <c r="BB70" t="e">
        <f>AND('Planilla_General_07-12-2012_8_3'!C1043,"AAAAAB/d7TU=")</f>
        <v>#VALUE!</v>
      </c>
      <c r="BC70" t="e">
        <f>AND('Planilla_General_07-12-2012_8_3'!D1043,"AAAAAB/d7TY=")</f>
        <v>#VALUE!</v>
      </c>
      <c r="BD70" t="e">
        <f>AND('Planilla_General_07-12-2012_8_3'!E1043,"AAAAAB/d7Tc=")</f>
        <v>#VALUE!</v>
      </c>
      <c r="BE70" t="e">
        <f>AND('Planilla_General_07-12-2012_8_3'!F1043,"AAAAAB/d7Tg=")</f>
        <v>#VALUE!</v>
      </c>
      <c r="BF70" t="e">
        <f>AND('Planilla_General_07-12-2012_8_3'!G1043,"AAAAAB/d7Tk=")</f>
        <v>#VALUE!</v>
      </c>
      <c r="BG70" t="e">
        <f>AND('Planilla_General_07-12-2012_8_3'!H1043,"AAAAAB/d7To=")</f>
        <v>#VALUE!</v>
      </c>
      <c r="BH70" t="e">
        <f>AND('Planilla_General_07-12-2012_8_3'!I1043,"AAAAAB/d7Ts=")</f>
        <v>#VALUE!</v>
      </c>
      <c r="BI70" t="e">
        <f>AND('Planilla_General_07-12-2012_8_3'!J1043,"AAAAAB/d7Tw=")</f>
        <v>#VALUE!</v>
      </c>
      <c r="BJ70" t="e">
        <f>AND('Planilla_General_07-12-2012_8_3'!K1043,"AAAAAB/d7T0=")</f>
        <v>#VALUE!</v>
      </c>
      <c r="BK70" t="e">
        <f>AND('Planilla_General_07-12-2012_8_3'!L1043,"AAAAAB/d7T4=")</f>
        <v>#VALUE!</v>
      </c>
      <c r="BL70" t="e">
        <f>AND('Planilla_General_07-12-2012_8_3'!M1043,"AAAAAB/d7T8=")</f>
        <v>#VALUE!</v>
      </c>
      <c r="BM70" t="e">
        <f>AND('Planilla_General_07-12-2012_8_3'!N1043,"AAAAAB/d7UA=")</f>
        <v>#VALUE!</v>
      </c>
      <c r="BN70" t="e">
        <f>AND('Planilla_General_07-12-2012_8_3'!O1043,"AAAAAB/d7UE=")</f>
        <v>#VALUE!</v>
      </c>
      <c r="BO70" t="e">
        <f>AND('Planilla_General_07-12-2012_8_3'!P1043,"AAAAAB/d7UI=")</f>
        <v>#VALUE!</v>
      </c>
      <c r="BP70">
        <f>IF('Planilla_General_07-12-2012_8_3'!1044:1044,"AAAAAB/d7UM=",0)</f>
        <v>0</v>
      </c>
      <c r="BQ70" t="e">
        <f>AND('Planilla_General_07-12-2012_8_3'!A1044,"AAAAAB/d7UQ=")</f>
        <v>#VALUE!</v>
      </c>
      <c r="BR70" t="e">
        <f>AND('Planilla_General_07-12-2012_8_3'!B1044,"AAAAAB/d7UU=")</f>
        <v>#VALUE!</v>
      </c>
      <c r="BS70" t="e">
        <f>AND('Planilla_General_07-12-2012_8_3'!C1044,"AAAAAB/d7UY=")</f>
        <v>#VALUE!</v>
      </c>
      <c r="BT70" t="e">
        <f>AND('Planilla_General_07-12-2012_8_3'!D1044,"AAAAAB/d7Uc=")</f>
        <v>#VALUE!</v>
      </c>
      <c r="BU70" t="e">
        <f>AND('Planilla_General_07-12-2012_8_3'!E1044,"AAAAAB/d7Ug=")</f>
        <v>#VALUE!</v>
      </c>
      <c r="BV70" t="e">
        <f>AND('Planilla_General_07-12-2012_8_3'!F1044,"AAAAAB/d7Uk=")</f>
        <v>#VALUE!</v>
      </c>
      <c r="BW70" t="e">
        <f>AND('Planilla_General_07-12-2012_8_3'!G1044,"AAAAAB/d7Uo=")</f>
        <v>#VALUE!</v>
      </c>
      <c r="BX70" t="e">
        <f>AND('Planilla_General_07-12-2012_8_3'!H1044,"AAAAAB/d7Us=")</f>
        <v>#VALUE!</v>
      </c>
      <c r="BY70" t="e">
        <f>AND('Planilla_General_07-12-2012_8_3'!I1044,"AAAAAB/d7Uw=")</f>
        <v>#VALUE!</v>
      </c>
      <c r="BZ70" t="e">
        <f>AND('Planilla_General_07-12-2012_8_3'!J1044,"AAAAAB/d7U0=")</f>
        <v>#VALUE!</v>
      </c>
      <c r="CA70" t="e">
        <f>AND('Planilla_General_07-12-2012_8_3'!K1044,"AAAAAB/d7U4=")</f>
        <v>#VALUE!</v>
      </c>
      <c r="CB70" t="e">
        <f>AND('Planilla_General_07-12-2012_8_3'!L1044,"AAAAAB/d7U8=")</f>
        <v>#VALUE!</v>
      </c>
      <c r="CC70" t="e">
        <f>AND('Planilla_General_07-12-2012_8_3'!M1044,"AAAAAB/d7VA=")</f>
        <v>#VALUE!</v>
      </c>
      <c r="CD70" t="e">
        <f>AND('Planilla_General_07-12-2012_8_3'!N1044,"AAAAAB/d7VE=")</f>
        <v>#VALUE!</v>
      </c>
      <c r="CE70" t="e">
        <f>AND('Planilla_General_07-12-2012_8_3'!O1044,"AAAAAB/d7VI=")</f>
        <v>#VALUE!</v>
      </c>
      <c r="CF70" t="e">
        <f>AND('Planilla_General_07-12-2012_8_3'!P1044,"AAAAAB/d7VM=")</f>
        <v>#VALUE!</v>
      </c>
      <c r="CG70">
        <f>IF('Planilla_General_07-12-2012_8_3'!1045:1045,"AAAAAB/d7VQ=",0)</f>
        <v>0</v>
      </c>
      <c r="CH70" t="e">
        <f>AND('Planilla_General_07-12-2012_8_3'!A1045,"AAAAAB/d7VU=")</f>
        <v>#VALUE!</v>
      </c>
      <c r="CI70" t="e">
        <f>AND('Planilla_General_07-12-2012_8_3'!B1045,"AAAAAB/d7VY=")</f>
        <v>#VALUE!</v>
      </c>
      <c r="CJ70" t="e">
        <f>AND('Planilla_General_07-12-2012_8_3'!C1045,"AAAAAB/d7Vc=")</f>
        <v>#VALUE!</v>
      </c>
      <c r="CK70" t="e">
        <f>AND('Planilla_General_07-12-2012_8_3'!D1045,"AAAAAB/d7Vg=")</f>
        <v>#VALUE!</v>
      </c>
      <c r="CL70" t="e">
        <f>AND('Planilla_General_07-12-2012_8_3'!E1045,"AAAAAB/d7Vk=")</f>
        <v>#VALUE!</v>
      </c>
      <c r="CM70" t="e">
        <f>AND('Planilla_General_07-12-2012_8_3'!F1045,"AAAAAB/d7Vo=")</f>
        <v>#VALUE!</v>
      </c>
      <c r="CN70" t="e">
        <f>AND('Planilla_General_07-12-2012_8_3'!G1045,"AAAAAB/d7Vs=")</f>
        <v>#VALUE!</v>
      </c>
      <c r="CO70" t="e">
        <f>AND('Planilla_General_07-12-2012_8_3'!H1045,"AAAAAB/d7Vw=")</f>
        <v>#VALUE!</v>
      </c>
      <c r="CP70" t="e">
        <f>AND('Planilla_General_07-12-2012_8_3'!I1045,"AAAAAB/d7V0=")</f>
        <v>#VALUE!</v>
      </c>
      <c r="CQ70" t="e">
        <f>AND('Planilla_General_07-12-2012_8_3'!J1045,"AAAAAB/d7V4=")</f>
        <v>#VALUE!</v>
      </c>
      <c r="CR70" t="e">
        <f>AND('Planilla_General_07-12-2012_8_3'!K1045,"AAAAAB/d7V8=")</f>
        <v>#VALUE!</v>
      </c>
      <c r="CS70" t="e">
        <f>AND('Planilla_General_07-12-2012_8_3'!L1045,"AAAAAB/d7WA=")</f>
        <v>#VALUE!</v>
      </c>
      <c r="CT70" t="e">
        <f>AND('Planilla_General_07-12-2012_8_3'!M1045,"AAAAAB/d7WE=")</f>
        <v>#VALUE!</v>
      </c>
      <c r="CU70" t="e">
        <f>AND('Planilla_General_07-12-2012_8_3'!N1045,"AAAAAB/d7WI=")</f>
        <v>#VALUE!</v>
      </c>
      <c r="CV70" t="e">
        <f>AND('Planilla_General_07-12-2012_8_3'!O1045,"AAAAAB/d7WM=")</f>
        <v>#VALUE!</v>
      </c>
      <c r="CW70" t="e">
        <f>AND('Planilla_General_07-12-2012_8_3'!P1045,"AAAAAB/d7WQ=")</f>
        <v>#VALUE!</v>
      </c>
      <c r="CX70">
        <f>IF('Planilla_General_07-12-2012_8_3'!1046:1046,"AAAAAB/d7WU=",0)</f>
        <v>0</v>
      </c>
      <c r="CY70" t="e">
        <f>AND('Planilla_General_07-12-2012_8_3'!A1046,"AAAAAB/d7WY=")</f>
        <v>#VALUE!</v>
      </c>
      <c r="CZ70" t="e">
        <f>AND('Planilla_General_07-12-2012_8_3'!B1046,"AAAAAB/d7Wc=")</f>
        <v>#VALUE!</v>
      </c>
      <c r="DA70" t="e">
        <f>AND('Planilla_General_07-12-2012_8_3'!C1046,"AAAAAB/d7Wg=")</f>
        <v>#VALUE!</v>
      </c>
      <c r="DB70" t="e">
        <f>AND('Planilla_General_07-12-2012_8_3'!D1046,"AAAAAB/d7Wk=")</f>
        <v>#VALUE!</v>
      </c>
      <c r="DC70" t="e">
        <f>AND('Planilla_General_07-12-2012_8_3'!E1046,"AAAAAB/d7Wo=")</f>
        <v>#VALUE!</v>
      </c>
      <c r="DD70" t="e">
        <f>AND('Planilla_General_07-12-2012_8_3'!F1046,"AAAAAB/d7Ws=")</f>
        <v>#VALUE!</v>
      </c>
      <c r="DE70" t="e">
        <f>AND('Planilla_General_07-12-2012_8_3'!G1046,"AAAAAB/d7Ww=")</f>
        <v>#VALUE!</v>
      </c>
      <c r="DF70" t="e">
        <f>AND('Planilla_General_07-12-2012_8_3'!H1046,"AAAAAB/d7W0=")</f>
        <v>#VALUE!</v>
      </c>
      <c r="DG70" t="e">
        <f>AND('Planilla_General_07-12-2012_8_3'!I1046,"AAAAAB/d7W4=")</f>
        <v>#VALUE!</v>
      </c>
      <c r="DH70" t="e">
        <f>AND('Planilla_General_07-12-2012_8_3'!J1046,"AAAAAB/d7W8=")</f>
        <v>#VALUE!</v>
      </c>
      <c r="DI70" t="e">
        <f>AND('Planilla_General_07-12-2012_8_3'!K1046,"AAAAAB/d7XA=")</f>
        <v>#VALUE!</v>
      </c>
      <c r="DJ70" t="e">
        <f>AND('Planilla_General_07-12-2012_8_3'!L1046,"AAAAAB/d7XE=")</f>
        <v>#VALUE!</v>
      </c>
      <c r="DK70" t="e">
        <f>AND('Planilla_General_07-12-2012_8_3'!M1046,"AAAAAB/d7XI=")</f>
        <v>#VALUE!</v>
      </c>
      <c r="DL70" t="e">
        <f>AND('Planilla_General_07-12-2012_8_3'!N1046,"AAAAAB/d7XM=")</f>
        <v>#VALUE!</v>
      </c>
      <c r="DM70" t="e">
        <f>AND('Planilla_General_07-12-2012_8_3'!O1046,"AAAAAB/d7XQ=")</f>
        <v>#VALUE!</v>
      </c>
      <c r="DN70" t="e">
        <f>AND('Planilla_General_07-12-2012_8_3'!P1046,"AAAAAB/d7XU=")</f>
        <v>#VALUE!</v>
      </c>
      <c r="DO70">
        <f>IF('Planilla_General_07-12-2012_8_3'!1047:1047,"AAAAAB/d7XY=",0)</f>
        <v>0</v>
      </c>
      <c r="DP70" t="e">
        <f>AND('Planilla_General_07-12-2012_8_3'!A1047,"AAAAAB/d7Xc=")</f>
        <v>#VALUE!</v>
      </c>
      <c r="DQ70" t="e">
        <f>AND('Planilla_General_07-12-2012_8_3'!B1047,"AAAAAB/d7Xg=")</f>
        <v>#VALUE!</v>
      </c>
      <c r="DR70" t="e">
        <f>AND('Planilla_General_07-12-2012_8_3'!C1047,"AAAAAB/d7Xk=")</f>
        <v>#VALUE!</v>
      </c>
      <c r="DS70" t="e">
        <f>AND('Planilla_General_07-12-2012_8_3'!D1047,"AAAAAB/d7Xo=")</f>
        <v>#VALUE!</v>
      </c>
      <c r="DT70" t="e">
        <f>AND('Planilla_General_07-12-2012_8_3'!E1047,"AAAAAB/d7Xs=")</f>
        <v>#VALUE!</v>
      </c>
      <c r="DU70" t="e">
        <f>AND('Planilla_General_07-12-2012_8_3'!F1047,"AAAAAB/d7Xw=")</f>
        <v>#VALUE!</v>
      </c>
      <c r="DV70" t="e">
        <f>AND('Planilla_General_07-12-2012_8_3'!G1047,"AAAAAB/d7X0=")</f>
        <v>#VALUE!</v>
      </c>
      <c r="DW70" t="e">
        <f>AND('Planilla_General_07-12-2012_8_3'!H1047,"AAAAAB/d7X4=")</f>
        <v>#VALUE!</v>
      </c>
      <c r="DX70" t="e">
        <f>AND('Planilla_General_07-12-2012_8_3'!I1047,"AAAAAB/d7X8=")</f>
        <v>#VALUE!</v>
      </c>
      <c r="DY70" t="e">
        <f>AND('Planilla_General_07-12-2012_8_3'!J1047,"AAAAAB/d7YA=")</f>
        <v>#VALUE!</v>
      </c>
      <c r="DZ70" t="e">
        <f>AND('Planilla_General_07-12-2012_8_3'!K1047,"AAAAAB/d7YE=")</f>
        <v>#VALUE!</v>
      </c>
      <c r="EA70" t="e">
        <f>AND('Planilla_General_07-12-2012_8_3'!L1047,"AAAAAB/d7YI=")</f>
        <v>#VALUE!</v>
      </c>
      <c r="EB70" t="e">
        <f>AND('Planilla_General_07-12-2012_8_3'!M1047,"AAAAAB/d7YM=")</f>
        <v>#VALUE!</v>
      </c>
      <c r="EC70" t="e">
        <f>AND('Planilla_General_07-12-2012_8_3'!N1047,"AAAAAB/d7YQ=")</f>
        <v>#VALUE!</v>
      </c>
      <c r="ED70" t="e">
        <f>AND('Planilla_General_07-12-2012_8_3'!O1047,"AAAAAB/d7YU=")</f>
        <v>#VALUE!</v>
      </c>
      <c r="EE70" t="e">
        <f>AND('Planilla_General_07-12-2012_8_3'!P1047,"AAAAAB/d7YY=")</f>
        <v>#VALUE!</v>
      </c>
      <c r="EF70">
        <f>IF('Planilla_General_07-12-2012_8_3'!1048:1048,"AAAAAB/d7Yc=",0)</f>
        <v>0</v>
      </c>
      <c r="EG70" t="e">
        <f>AND('Planilla_General_07-12-2012_8_3'!A1048,"AAAAAB/d7Yg=")</f>
        <v>#VALUE!</v>
      </c>
      <c r="EH70" t="e">
        <f>AND('Planilla_General_07-12-2012_8_3'!B1048,"AAAAAB/d7Yk=")</f>
        <v>#VALUE!</v>
      </c>
      <c r="EI70" t="e">
        <f>AND('Planilla_General_07-12-2012_8_3'!C1048,"AAAAAB/d7Yo=")</f>
        <v>#VALUE!</v>
      </c>
      <c r="EJ70" t="e">
        <f>AND('Planilla_General_07-12-2012_8_3'!D1048,"AAAAAB/d7Ys=")</f>
        <v>#VALUE!</v>
      </c>
      <c r="EK70" t="e">
        <f>AND('Planilla_General_07-12-2012_8_3'!E1048,"AAAAAB/d7Yw=")</f>
        <v>#VALUE!</v>
      </c>
      <c r="EL70" t="e">
        <f>AND('Planilla_General_07-12-2012_8_3'!F1048,"AAAAAB/d7Y0=")</f>
        <v>#VALUE!</v>
      </c>
      <c r="EM70" t="e">
        <f>AND('Planilla_General_07-12-2012_8_3'!G1048,"AAAAAB/d7Y4=")</f>
        <v>#VALUE!</v>
      </c>
      <c r="EN70" t="e">
        <f>AND('Planilla_General_07-12-2012_8_3'!H1048,"AAAAAB/d7Y8=")</f>
        <v>#VALUE!</v>
      </c>
      <c r="EO70" t="e">
        <f>AND('Planilla_General_07-12-2012_8_3'!I1048,"AAAAAB/d7ZA=")</f>
        <v>#VALUE!</v>
      </c>
      <c r="EP70" t="e">
        <f>AND('Planilla_General_07-12-2012_8_3'!J1048,"AAAAAB/d7ZE=")</f>
        <v>#VALUE!</v>
      </c>
      <c r="EQ70" t="e">
        <f>AND('Planilla_General_07-12-2012_8_3'!K1048,"AAAAAB/d7ZI=")</f>
        <v>#VALUE!</v>
      </c>
      <c r="ER70" t="e">
        <f>AND('Planilla_General_07-12-2012_8_3'!L1048,"AAAAAB/d7ZM=")</f>
        <v>#VALUE!</v>
      </c>
      <c r="ES70" t="e">
        <f>AND('Planilla_General_07-12-2012_8_3'!M1048,"AAAAAB/d7ZQ=")</f>
        <v>#VALUE!</v>
      </c>
      <c r="ET70" t="e">
        <f>AND('Planilla_General_07-12-2012_8_3'!N1048,"AAAAAB/d7ZU=")</f>
        <v>#VALUE!</v>
      </c>
      <c r="EU70" t="e">
        <f>AND('Planilla_General_07-12-2012_8_3'!O1048,"AAAAAB/d7ZY=")</f>
        <v>#VALUE!</v>
      </c>
      <c r="EV70" t="e">
        <f>AND('Planilla_General_07-12-2012_8_3'!P1048,"AAAAAB/d7Zc=")</f>
        <v>#VALUE!</v>
      </c>
      <c r="EW70">
        <f>IF('Planilla_General_07-12-2012_8_3'!1049:1049,"AAAAAB/d7Zg=",0)</f>
        <v>0</v>
      </c>
      <c r="EX70" t="e">
        <f>AND('Planilla_General_07-12-2012_8_3'!A1049,"AAAAAB/d7Zk=")</f>
        <v>#VALUE!</v>
      </c>
      <c r="EY70" t="e">
        <f>AND('Planilla_General_07-12-2012_8_3'!B1049,"AAAAAB/d7Zo=")</f>
        <v>#VALUE!</v>
      </c>
      <c r="EZ70" t="e">
        <f>AND('Planilla_General_07-12-2012_8_3'!C1049,"AAAAAB/d7Zs=")</f>
        <v>#VALUE!</v>
      </c>
      <c r="FA70" t="e">
        <f>AND('Planilla_General_07-12-2012_8_3'!D1049,"AAAAAB/d7Zw=")</f>
        <v>#VALUE!</v>
      </c>
      <c r="FB70" t="e">
        <f>AND('Planilla_General_07-12-2012_8_3'!E1049,"AAAAAB/d7Z0=")</f>
        <v>#VALUE!</v>
      </c>
      <c r="FC70" t="e">
        <f>AND('Planilla_General_07-12-2012_8_3'!F1049,"AAAAAB/d7Z4=")</f>
        <v>#VALUE!</v>
      </c>
      <c r="FD70" t="e">
        <f>AND('Planilla_General_07-12-2012_8_3'!G1049,"AAAAAB/d7Z8=")</f>
        <v>#VALUE!</v>
      </c>
      <c r="FE70" t="e">
        <f>AND('Planilla_General_07-12-2012_8_3'!H1049,"AAAAAB/d7aA=")</f>
        <v>#VALUE!</v>
      </c>
      <c r="FF70" t="e">
        <f>AND('Planilla_General_07-12-2012_8_3'!I1049,"AAAAAB/d7aE=")</f>
        <v>#VALUE!</v>
      </c>
      <c r="FG70" t="e">
        <f>AND('Planilla_General_07-12-2012_8_3'!J1049,"AAAAAB/d7aI=")</f>
        <v>#VALUE!</v>
      </c>
      <c r="FH70" t="e">
        <f>AND('Planilla_General_07-12-2012_8_3'!K1049,"AAAAAB/d7aM=")</f>
        <v>#VALUE!</v>
      </c>
      <c r="FI70" t="e">
        <f>AND('Planilla_General_07-12-2012_8_3'!L1049,"AAAAAB/d7aQ=")</f>
        <v>#VALUE!</v>
      </c>
      <c r="FJ70" t="e">
        <f>AND('Planilla_General_07-12-2012_8_3'!M1049,"AAAAAB/d7aU=")</f>
        <v>#VALUE!</v>
      </c>
      <c r="FK70" t="e">
        <f>AND('Planilla_General_07-12-2012_8_3'!N1049,"AAAAAB/d7aY=")</f>
        <v>#VALUE!</v>
      </c>
      <c r="FL70" t="e">
        <f>AND('Planilla_General_07-12-2012_8_3'!O1049,"AAAAAB/d7ac=")</f>
        <v>#VALUE!</v>
      </c>
      <c r="FM70" t="e">
        <f>AND('Planilla_General_07-12-2012_8_3'!P1049,"AAAAAB/d7ag=")</f>
        <v>#VALUE!</v>
      </c>
      <c r="FN70">
        <f>IF('Planilla_General_07-12-2012_8_3'!1050:1050,"AAAAAB/d7ak=",0)</f>
        <v>0</v>
      </c>
      <c r="FO70" t="e">
        <f>AND('Planilla_General_07-12-2012_8_3'!A1050,"AAAAAB/d7ao=")</f>
        <v>#VALUE!</v>
      </c>
      <c r="FP70" t="e">
        <f>AND('Planilla_General_07-12-2012_8_3'!B1050,"AAAAAB/d7as=")</f>
        <v>#VALUE!</v>
      </c>
      <c r="FQ70" t="e">
        <f>AND('Planilla_General_07-12-2012_8_3'!C1050,"AAAAAB/d7aw=")</f>
        <v>#VALUE!</v>
      </c>
      <c r="FR70" t="e">
        <f>AND('Planilla_General_07-12-2012_8_3'!D1050,"AAAAAB/d7a0=")</f>
        <v>#VALUE!</v>
      </c>
      <c r="FS70" t="e">
        <f>AND('Planilla_General_07-12-2012_8_3'!E1050,"AAAAAB/d7a4=")</f>
        <v>#VALUE!</v>
      </c>
      <c r="FT70" t="e">
        <f>AND('Planilla_General_07-12-2012_8_3'!F1050,"AAAAAB/d7a8=")</f>
        <v>#VALUE!</v>
      </c>
      <c r="FU70" t="e">
        <f>AND('Planilla_General_07-12-2012_8_3'!G1050,"AAAAAB/d7bA=")</f>
        <v>#VALUE!</v>
      </c>
      <c r="FV70" t="e">
        <f>AND('Planilla_General_07-12-2012_8_3'!H1050,"AAAAAB/d7bE=")</f>
        <v>#VALUE!</v>
      </c>
      <c r="FW70" t="e">
        <f>AND('Planilla_General_07-12-2012_8_3'!I1050,"AAAAAB/d7bI=")</f>
        <v>#VALUE!</v>
      </c>
      <c r="FX70" t="e">
        <f>AND('Planilla_General_07-12-2012_8_3'!J1050,"AAAAAB/d7bM=")</f>
        <v>#VALUE!</v>
      </c>
      <c r="FY70" t="e">
        <f>AND('Planilla_General_07-12-2012_8_3'!K1050,"AAAAAB/d7bQ=")</f>
        <v>#VALUE!</v>
      </c>
      <c r="FZ70" t="e">
        <f>AND('Planilla_General_07-12-2012_8_3'!L1050,"AAAAAB/d7bU=")</f>
        <v>#VALUE!</v>
      </c>
      <c r="GA70" t="e">
        <f>AND('Planilla_General_07-12-2012_8_3'!M1050,"AAAAAB/d7bY=")</f>
        <v>#VALUE!</v>
      </c>
      <c r="GB70" t="e">
        <f>AND('Planilla_General_07-12-2012_8_3'!N1050,"AAAAAB/d7bc=")</f>
        <v>#VALUE!</v>
      </c>
      <c r="GC70" t="e">
        <f>AND('Planilla_General_07-12-2012_8_3'!O1050,"AAAAAB/d7bg=")</f>
        <v>#VALUE!</v>
      </c>
      <c r="GD70" t="e">
        <f>AND('Planilla_General_07-12-2012_8_3'!P1050,"AAAAAB/d7bk=")</f>
        <v>#VALUE!</v>
      </c>
      <c r="GE70">
        <f>IF('Planilla_General_07-12-2012_8_3'!1051:1051,"AAAAAB/d7bo=",0)</f>
        <v>0</v>
      </c>
      <c r="GF70" t="e">
        <f>AND('Planilla_General_07-12-2012_8_3'!A1051,"AAAAAB/d7bs=")</f>
        <v>#VALUE!</v>
      </c>
      <c r="GG70" t="e">
        <f>AND('Planilla_General_07-12-2012_8_3'!B1051,"AAAAAB/d7bw=")</f>
        <v>#VALUE!</v>
      </c>
      <c r="GH70" t="e">
        <f>AND('Planilla_General_07-12-2012_8_3'!C1051,"AAAAAB/d7b0=")</f>
        <v>#VALUE!</v>
      </c>
      <c r="GI70" t="e">
        <f>AND('Planilla_General_07-12-2012_8_3'!D1051,"AAAAAB/d7b4=")</f>
        <v>#VALUE!</v>
      </c>
      <c r="GJ70" t="e">
        <f>AND('Planilla_General_07-12-2012_8_3'!E1051,"AAAAAB/d7b8=")</f>
        <v>#VALUE!</v>
      </c>
      <c r="GK70" t="e">
        <f>AND('Planilla_General_07-12-2012_8_3'!F1051,"AAAAAB/d7cA=")</f>
        <v>#VALUE!</v>
      </c>
      <c r="GL70" t="e">
        <f>AND('Planilla_General_07-12-2012_8_3'!G1051,"AAAAAB/d7cE=")</f>
        <v>#VALUE!</v>
      </c>
      <c r="GM70" t="e">
        <f>AND('Planilla_General_07-12-2012_8_3'!H1051,"AAAAAB/d7cI=")</f>
        <v>#VALUE!</v>
      </c>
      <c r="GN70" t="e">
        <f>AND('Planilla_General_07-12-2012_8_3'!I1051,"AAAAAB/d7cM=")</f>
        <v>#VALUE!</v>
      </c>
      <c r="GO70" t="e">
        <f>AND('Planilla_General_07-12-2012_8_3'!J1051,"AAAAAB/d7cQ=")</f>
        <v>#VALUE!</v>
      </c>
      <c r="GP70" t="e">
        <f>AND('Planilla_General_07-12-2012_8_3'!K1051,"AAAAAB/d7cU=")</f>
        <v>#VALUE!</v>
      </c>
      <c r="GQ70" t="e">
        <f>AND('Planilla_General_07-12-2012_8_3'!L1051,"AAAAAB/d7cY=")</f>
        <v>#VALUE!</v>
      </c>
      <c r="GR70" t="e">
        <f>AND('Planilla_General_07-12-2012_8_3'!M1051,"AAAAAB/d7cc=")</f>
        <v>#VALUE!</v>
      </c>
      <c r="GS70" t="e">
        <f>AND('Planilla_General_07-12-2012_8_3'!N1051,"AAAAAB/d7cg=")</f>
        <v>#VALUE!</v>
      </c>
      <c r="GT70" t="e">
        <f>AND('Planilla_General_07-12-2012_8_3'!O1051,"AAAAAB/d7ck=")</f>
        <v>#VALUE!</v>
      </c>
      <c r="GU70" t="e">
        <f>AND('Planilla_General_07-12-2012_8_3'!P1051,"AAAAAB/d7co=")</f>
        <v>#VALUE!</v>
      </c>
      <c r="GV70">
        <f>IF('Planilla_General_07-12-2012_8_3'!1052:1052,"AAAAAB/d7cs=",0)</f>
        <v>0</v>
      </c>
      <c r="GW70" t="e">
        <f>AND('Planilla_General_07-12-2012_8_3'!A1052,"AAAAAB/d7cw=")</f>
        <v>#VALUE!</v>
      </c>
      <c r="GX70" t="e">
        <f>AND('Planilla_General_07-12-2012_8_3'!B1052,"AAAAAB/d7c0=")</f>
        <v>#VALUE!</v>
      </c>
      <c r="GY70" t="e">
        <f>AND('Planilla_General_07-12-2012_8_3'!C1052,"AAAAAB/d7c4=")</f>
        <v>#VALUE!</v>
      </c>
      <c r="GZ70" t="e">
        <f>AND('Planilla_General_07-12-2012_8_3'!D1052,"AAAAAB/d7c8=")</f>
        <v>#VALUE!</v>
      </c>
      <c r="HA70" t="e">
        <f>AND('Planilla_General_07-12-2012_8_3'!E1052,"AAAAAB/d7dA=")</f>
        <v>#VALUE!</v>
      </c>
      <c r="HB70" t="e">
        <f>AND('Planilla_General_07-12-2012_8_3'!F1052,"AAAAAB/d7dE=")</f>
        <v>#VALUE!</v>
      </c>
      <c r="HC70" t="e">
        <f>AND('Planilla_General_07-12-2012_8_3'!G1052,"AAAAAB/d7dI=")</f>
        <v>#VALUE!</v>
      </c>
      <c r="HD70" t="e">
        <f>AND('Planilla_General_07-12-2012_8_3'!H1052,"AAAAAB/d7dM=")</f>
        <v>#VALUE!</v>
      </c>
      <c r="HE70" t="e">
        <f>AND('Planilla_General_07-12-2012_8_3'!I1052,"AAAAAB/d7dQ=")</f>
        <v>#VALUE!</v>
      </c>
      <c r="HF70" t="e">
        <f>AND('Planilla_General_07-12-2012_8_3'!J1052,"AAAAAB/d7dU=")</f>
        <v>#VALUE!</v>
      </c>
      <c r="HG70" t="e">
        <f>AND('Planilla_General_07-12-2012_8_3'!K1052,"AAAAAB/d7dY=")</f>
        <v>#VALUE!</v>
      </c>
      <c r="HH70" t="e">
        <f>AND('Planilla_General_07-12-2012_8_3'!L1052,"AAAAAB/d7dc=")</f>
        <v>#VALUE!</v>
      </c>
      <c r="HI70" t="e">
        <f>AND('Planilla_General_07-12-2012_8_3'!M1052,"AAAAAB/d7dg=")</f>
        <v>#VALUE!</v>
      </c>
      <c r="HJ70" t="e">
        <f>AND('Planilla_General_07-12-2012_8_3'!N1052,"AAAAAB/d7dk=")</f>
        <v>#VALUE!</v>
      </c>
      <c r="HK70" t="e">
        <f>AND('Planilla_General_07-12-2012_8_3'!O1052,"AAAAAB/d7do=")</f>
        <v>#VALUE!</v>
      </c>
      <c r="HL70" t="e">
        <f>AND('Planilla_General_07-12-2012_8_3'!P1052,"AAAAAB/d7ds=")</f>
        <v>#VALUE!</v>
      </c>
      <c r="HM70">
        <f>IF('Planilla_General_07-12-2012_8_3'!1053:1053,"AAAAAB/d7dw=",0)</f>
        <v>0</v>
      </c>
      <c r="HN70" t="e">
        <f>AND('Planilla_General_07-12-2012_8_3'!A1053,"AAAAAB/d7d0=")</f>
        <v>#VALUE!</v>
      </c>
      <c r="HO70" t="e">
        <f>AND('Planilla_General_07-12-2012_8_3'!B1053,"AAAAAB/d7d4=")</f>
        <v>#VALUE!</v>
      </c>
      <c r="HP70" t="e">
        <f>AND('Planilla_General_07-12-2012_8_3'!C1053,"AAAAAB/d7d8=")</f>
        <v>#VALUE!</v>
      </c>
      <c r="HQ70" t="e">
        <f>AND('Planilla_General_07-12-2012_8_3'!D1053,"AAAAAB/d7eA=")</f>
        <v>#VALUE!</v>
      </c>
      <c r="HR70" t="e">
        <f>AND('Planilla_General_07-12-2012_8_3'!E1053,"AAAAAB/d7eE=")</f>
        <v>#VALUE!</v>
      </c>
      <c r="HS70" t="e">
        <f>AND('Planilla_General_07-12-2012_8_3'!F1053,"AAAAAB/d7eI=")</f>
        <v>#VALUE!</v>
      </c>
      <c r="HT70" t="e">
        <f>AND('Planilla_General_07-12-2012_8_3'!G1053,"AAAAAB/d7eM=")</f>
        <v>#VALUE!</v>
      </c>
      <c r="HU70" t="e">
        <f>AND('Planilla_General_07-12-2012_8_3'!H1053,"AAAAAB/d7eQ=")</f>
        <v>#VALUE!</v>
      </c>
      <c r="HV70" t="e">
        <f>AND('Planilla_General_07-12-2012_8_3'!I1053,"AAAAAB/d7eU=")</f>
        <v>#VALUE!</v>
      </c>
      <c r="HW70" t="e">
        <f>AND('Planilla_General_07-12-2012_8_3'!J1053,"AAAAAB/d7eY=")</f>
        <v>#VALUE!</v>
      </c>
      <c r="HX70" t="e">
        <f>AND('Planilla_General_07-12-2012_8_3'!K1053,"AAAAAB/d7ec=")</f>
        <v>#VALUE!</v>
      </c>
      <c r="HY70" t="e">
        <f>AND('Planilla_General_07-12-2012_8_3'!L1053,"AAAAAB/d7eg=")</f>
        <v>#VALUE!</v>
      </c>
      <c r="HZ70" t="e">
        <f>AND('Planilla_General_07-12-2012_8_3'!M1053,"AAAAAB/d7ek=")</f>
        <v>#VALUE!</v>
      </c>
      <c r="IA70" t="e">
        <f>AND('Planilla_General_07-12-2012_8_3'!N1053,"AAAAAB/d7eo=")</f>
        <v>#VALUE!</v>
      </c>
      <c r="IB70" t="e">
        <f>AND('Planilla_General_07-12-2012_8_3'!O1053,"AAAAAB/d7es=")</f>
        <v>#VALUE!</v>
      </c>
      <c r="IC70" t="e">
        <f>AND('Planilla_General_07-12-2012_8_3'!P1053,"AAAAAB/d7ew=")</f>
        <v>#VALUE!</v>
      </c>
      <c r="ID70">
        <f>IF('Planilla_General_07-12-2012_8_3'!1054:1054,"AAAAAB/d7e0=",0)</f>
        <v>0</v>
      </c>
      <c r="IE70" t="e">
        <f>AND('Planilla_General_07-12-2012_8_3'!A1054,"AAAAAB/d7e4=")</f>
        <v>#VALUE!</v>
      </c>
      <c r="IF70" t="e">
        <f>AND('Planilla_General_07-12-2012_8_3'!B1054,"AAAAAB/d7e8=")</f>
        <v>#VALUE!</v>
      </c>
      <c r="IG70" t="e">
        <f>AND('Planilla_General_07-12-2012_8_3'!C1054,"AAAAAB/d7fA=")</f>
        <v>#VALUE!</v>
      </c>
      <c r="IH70" t="e">
        <f>AND('Planilla_General_07-12-2012_8_3'!D1054,"AAAAAB/d7fE=")</f>
        <v>#VALUE!</v>
      </c>
      <c r="II70" t="e">
        <f>AND('Planilla_General_07-12-2012_8_3'!E1054,"AAAAAB/d7fI=")</f>
        <v>#VALUE!</v>
      </c>
      <c r="IJ70" t="e">
        <f>AND('Planilla_General_07-12-2012_8_3'!F1054,"AAAAAB/d7fM=")</f>
        <v>#VALUE!</v>
      </c>
      <c r="IK70" t="e">
        <f>AND('Planilla_General_07-12-2012_8_3'!G1054,"AAAAAB/d7fQ=")</f>
        <v>#VALUE!</v>
      </c>
      <c r="IL70" t="e">
        <f>AND('Planilla_General_07-12-2012_8_3'!H1054,"AAAAAB/d7fU=")</f>
        <v>#VALUE!</v>
      </c>
      <c r="IM70" t="e">
        <f>AND('Planilla_General_07-12-2012_8_3'!I1054,"AAAAAB/d7fY=")</f>
        <v>#VALUE!</v>
      </c>
      <c r="IN70" t="e">
        <f>AND('Planilla_General_07-12-2012_8_3'!J1054,"AAAAAB/d7fc=")</f>
        <v>#VALUE!</v>
      </c>
      <c r="IO70" t="e">
        <f>AND('Planilla_General_07-12-2012_8_3'!K1054,"AAAAAB/d7fg=")</f>
        <v>#VALUE!</v>
      </c>
      <c r="IP70" t="e">
        <f>AND('Planilla_General_07-12-2012_8_3'!L1054,"AAAAAB/d7fk=")</f>
        <v>#VALUE!</v>
      </c>
      <c r="IQ70" t="e">
        <f>AND('Planilla_General_07-12-2012_8_3'!M1054,"AAAAAB/d7fo=")</f>
        <v>#VALUE!</v>
      </c>
      <c r="IR70" t="e">
        <f>AND('Planilla_General_07-12-2012_8_3'!N1054,"AAAAAB/d7fs=")</f>
        <v>#VALUE!</v>
      </c>
      <c r="IS70" t="e">
        <f>AND('Planilla_General_07-12-2012_8_3'!O1054,"AAAAAB/d7fw=")</f>
        <v>#VALUE!</v>
      </c>
      <c r="IT70" t="e">
        <f>AND('Planilla_General_07-12-2012_8_3'!P1054,"AAAAAB/d7f0=")</f>
        <v>#VALUE!</v>
      </c>
      <c r="IU70">
        <f>IF('Planilla_General_07-12-2012_8_3'!1055:1055,"AAAAAB/d7f4=",0)</f>
        <v>0</v>
      </c>
      <c r="IV70" t="e">
        <f>AND('Planilla_General_07-12-2012_8_3'!A1055,"AAAAAB/d7f8=")</f>
        <v>#VALUE!</v>
      </c>
    </row>
    <row r="71" spans="1:256" x14ac:dyDescent="0.25">
      <c r="A71" t="e">
        <f>AND('Planilla_General_07-12-2012_8_3'!B1055,"AAAAAGjvtQA=")</f>
        <v>#VALUE!</v>
      </c>
      <c r="B71" t="e">
        <f>AND('Planilla_General_07-12-2012_8_3'!C1055,"AAAAAGjvtQE=")</f>
        <v>#VALUE!</v>
      </c>
      <c r="C71" t="e">
        <f>AND('Planilla_General_07-12-2012_8_3'!D1055,"AAAAAGjvtQI=")</f>
        <v>#VALUE!</v>
      </c>
      <c r="D71" t="e">
        <f>AND('Planilla_General_07-12-2012_8_3'!E1055,"AAAAAGjvtQM=")</f>
        <v>#VALUE!</v>
      </c>
      <c r="E71" t="e">
        <f>AND('Planilla_General_07-12-2012_8_3'!F1055,"AAAAAGjvtQQ=")</f>
        <v>#VALUE!</v>
      </c>
      <c r="F71" t="e">
        <f>AND('Planilla_General_07-12-2012_8_3'!G1055,"AAAAAGjvtQU=")</f>
        <v>#VALUE!</v>
      </c>
      <c r="G71" t="e">
        <f>AND('Planilla_General_07-12-2012_8_3'!H1055,"AAAAAGjvtQY=")</f>
        <v>#VALUE!</v>
      </c>
      <c r="H71" t="e">
        <f>AND('Planilla_General_07-12-2012_8_3'!I1055,"AAAAAGjvtQc=")</f>
        <v>#VALUE!</v>
      </c>
      <c r="I71" t="e">
        <f>AND('Planilla_General_07-12-2012_8_3'!J1055,"AAAAAGjvtQg=")</f>
        <v>#VALUE!</v>
      </c>
      <c r="J71" t="e">
        <f>AND('Planilla_General_07-12-2012_8_3'!K1055,"AAAAAGjvtQk=")</f>
        <v>#VALUE!</v>
      </c>
      <c r="K71" t="e">
        <f>AND('Planilla_General_07-12-2012_8_3'!L1055,"AAAAAGjvtQo=")</f>
        <v>#VALUE!</v>
      </c>
      <c r="L71" t="e">
        <f>AND('Planilla_General_07-12-2012_8_3'!M1055,"AAAAAGjvtQs=")</f>
        <v>#VALUE!</v>
      </c>
      <c r="M71" t="e">
        <f>AND('Planilla_General_07-12-2012_8_3'!N1055,"AAAAAGjvtQw=")</f>
        <v>#VALUE!</v>
      </c>
      <c r="N71" t="e">
        <f>AND('Planilla_General_07-12-2012_8_3'!O1055,"AAAAAGjvtQ0=")</f>
        <v>#VALUE!</v>
      </c>
      <c r="O71" t="e">
        <f>AND('Planilla_General_07-12-2012_8_3'!P1055,"AAAAAGjvtQ4=")</f>
        <v>#VALUE!</v>
      </c>
      <c r="P71">
        <f>IF('Planilla_General_07-12-2012_8_3'!1056:1056,"AAAAAGjvtQ8=",0)</f>
        <v>0</v>
      </c>
      <c r="Q71" t="e">
        <f>AND('Planilla_General_07-12-2012_8_3'!A1056,"AAAAAGjvtRA=")</f>
        <v>#VALUE!</v>
      </c>
      <c r="R71" t="e">
        <f>AND('Planilla_General_07-12-2012_8_3'!B1056,"AAAAAGjvtRE=")</f>
        <v>#VALUE!</v>
      </c>
      <c r="S71" t="e">
        <f>AND('Planilla_General_07-12-2012_8_3'!C1056,"AAAAAGjvtRI=")</f>
        <v>#VALUE!</v>
      </c>
      <c r="T71" t="e">
        <f>AND('Planilla_General_07-12-2012_8_3'!D1056,"AAAAAGjvtRM=")</f>
        <v>#VALUE!</v>
      </c>
      <c r="U71" t="e">
        <f>AND('Planilla_General_07-12-2012_8_3'!E1056,"AAAAAGjvtRQ=")</f>
        <v>#VALUE!</v>
      </c>
      <c r="V71" t="e">
        <f>AND('Planilla_General_07-12-2012_8_3'!F1056,"AAAAAGjvtRU=")</f>
        <v>#VALUE!</v>
      </c>
      <c r="W71" t="e">
        <f>AND('Planilla_General_07-12-2012_8_3'!G1056,"AAAAAGjvtRY=")</f>
        <v>#VALUE!</v>
      </c>
      <c r="X71" t="e">
        <f>AND('Planilla_General_07-12-2012_8_3'!H1056,"AAAAAGjvtRc=")</f>
        <v>#VALUE!</v>
      </c>
      <c r="Y71" t="e">
        <f>AND('Planilla_General_07-12-2012_8_3'!I1056,"AAAAAGjvtRg=")</f>
        <v>#VALUE!</v>
      </c>
      <c r="Z71" t="e">
        <f>AND('Planilla_General_07-12-2012_8_3'!J1056,"AAAAAGjvtRk=")</f>
        <v>#VALUE!</v>
      </c>
      <c r="AA71" t="e">
        <f>AND('Planilla_General_07-12-2012_8_3'!K1056,"AAAAAGjvtRo=")</f>
        <v>#VALUE!</v>
      </c>
      <c r="AB71" t="e">
        <f>AND('Planilla_General_07-12-2012_8_3'!L1056,"AAAAAGjvtRs=")</f>
        <v>#VALUE!</v>
      </c>
      <c r="AC71" t="e">
        <f>AND('Planilla_General_07-12-2012_8_3'!M1056,"AAAAAGjvtRw=")</f>
        <v>#VALUE!</v>
      </c>
      <c r="AD71" t="e">
        <f>AND('Planilla_General_07-12-2012_8_3'!N1056,"AAAAAGjvtR0=")</f>
        <v>#VALUE!</v>
      </c>
      <c r="AE71" t="e">
        <f>AND('Planilla_General_07-12-2012_8_3'!O1056,"AAAAAGjvtR4=")</f>
        <v>#VALUE!</v>
      </c>
      <c r="AF71" t="e">
        <f>AND('Planilla_General_07-12-2012_8_3'!P1056,"AAAAAGjvtR8=")</f>
        <v>#VALUE!</v>
      </c>
      <c r="AG71">
        <f>IF('Planilla_General_07-12-2012_8_3'!1057:1057,"AAAAAGjvtSA=",0)</f>
        <v>0</v>
      </c>
      <c r="AH71" t="e">
        <f>AND('Planilla_General_07-12-2012_8_3'!A1057,"AAAAAGjvtSE=")</f>
        <v>#VALUE!</v>
      </c>
      <c r="AI71" t="e">
        <f>AND('Planilla_General_07-12-2012_8_3'!B1057,"AAAAAGjvtSI=")</f>
        <v>#VALUE!</v>
      </c>
      <c r="AJ71" t="e">
        <f>AND('Planilla_General_07-12-2012_8_3'!C1057,"AAAAAGjvtSM=")</f>
        <v>#VALUE!</v>
      </c>
      <c r="AK71" t="e">
        <f>AND('Planilla_General_07-12-2012_8_3'!D1057,"AAAAAGjvtSQ=")</f>
        <v>#VALUE!</v>
      </c>
      <c r="AL71" t="e">
        <f>AND('Planilla_General_07-12-2012_8_3'!E1057,"AAAAAGjvtSU=")</f>
        <v>#VALUE!</v>
      </c>
      <c r="AM71" t="e">
        <f>AND('Planilla_General_07-12-2012_8_3'!F1057,"AAAAAGjvtSY=")</f>
        <v>#VALUE!</v>
      </c>
      <c r="AN71" t="e">
        <f>AND('Planilla_General_07-12-2012_8_3'!G1057,"AAAAAGjvtSc=")</f>
        <v>#VALUE!</v>
      </c>
      <c r="AO71" t="e">
        <f>AND('Planilla_General_07-12-2012_8_3'!H1057,"AAAAAGjvtSg=")</f>
        <v>#VALUE!</v>
      </c>
      <c r="AP71" t="e">
        <f>AND('Planilla_General_07-12-2012_8_3'!I1057,"AAAAAGjvtSk=")</f>
        <v>#VALUE!</v>
      </c>
      <c r="AQ71" t="e">
        <f>AND('Planilla_General_07-12-2012_8_3'!J1057,"AAAAAGjvtSo=")</f>
        <v>#VALUE!</v>
      </c>
      <c r="AR71" t="e">
        <f>AND('Planilla_General_07-12-2012_8_3'!K1057,"AAAAAGjvtSs=")</f>
        <v>#VALUE!</v>
      </c>
      <c r="AS71" t="e">
        <f>AND('Planilla_General_07-12-2012_8_3'!L1057,"AAAAAGjvtSw=")</f>
        <v>#VALUE!</v>
      </c>
      <c r="AT71" t="e">
        <f>AND('Planilla_General_07-12-2012_8_3'!M1057,"AAAAAGjvtS0=")</f>
        <v>#VALUE!</v>
      </c>
      <c r="AU71" t="e">
        <f>AND('Planilla_General_07-12-2012_8_3'!N1057,"AAAAAGjvtS4=")</f>
        <v>#VALUE!</v>
      </c>
      <c r="AV71" t="e">
        <f>AND('Planilla_General_07-12-2012_8_3'!O1057,"AAAAAGjvtS8=")</f>
        <v>#VALUE!</v>
      </c>
      <c r="AW71" t="e">
        <f>AND('Planilla_General_07-12-2012_8_3'!P1057,"AAAAAGjvtTA=")</f>
        <v>#VALUE!</v>
      </c>
      <c r="AX71">
        <f>IF('Planilla_General_07-12-2012_8_3'!1058:1058,"AAAAAGjvtTE=",0)</f>
        <v>0</v>
      </c>
      <c r="AY71" t="e">
        <f>AND('Planilla_General_07-12-2012_8_3'!A1058,"AAAAAGjvtTI=")</f>
        <v>#VALUE!</v>
      </c>
      <c r="AZ71" t="e">
        <f>AND('Planilla_General_07-12-2012_8_3'!B1058,"AAAAAGjvtTM=")</f>
        <v>#VALUE!</v>
      </c>
      <c r="BA71" t="e">
        <f>AND('Planilla_General_07-12-2012_8_3'!C1058,"AAAAAGjvtTQ=")</f>
        <v>#VALUE!</v>
      </c>
      <c r="BB71" t="e">
        <f>AND('Planilla_General_07-12-2012_8_3'!D1058,"AAAAAGjvtTU=")</f>
        <v>#VALUE!</v>
      </c>
      <c r="BC71" t="e">
        <f>AND('Planilla_General_07-12-2012_8_3'!E1058,"AAAAAGjvtTY=")</f>
        <v>#VALUE!</v>
      </c>
      <c r="BD71" t="e">
        <f>AND('Planilla_General_07-12-2012_8_3'!F1058,"AAAAAGjvtTc=")</f>
        <v>#VALUE!</v>
      </c>
      <c r="BE71" t="e">
        <f>AND('Planilla_General_07-12-2012_8_3'!G1058,"AAAAAGjvtTg=")</f>
        <v>#VALUE!</v>
      </c>
      <c r="BF71" t="e">
        <f>AND('Planilla_General_07-12-2012_8_3'!H1058,"AAAAAGjvtTk=")</f>
        <v>#VALUE!</v>
      </c>
      <c r="BG71" t="e">
        <f>AND('Planilla_General_07-12-2012_8_3'!I1058,"AAAAAGjvtTo=")</f>
        <v>#VALUE!</v>
      </c>
      <c r="BH71" t="e">
        <f>AND('Planilla_General_07-12-2012_8_3'!J1058,"AAAAAGjvtTs=")</f>
        <v>#VALUE!</v>
      </c>
      <c r="BI71" t="e">
        <f>AND('Planilla_General_07-12-2012_8_3'!K1058,"AAAAAGjvtTw=")</f>
        <v>#VALUE!</v>
      </c>
      <c r="BJ71" t="e">
        <f>AND('Planilla_General_07-12-2012_8_3'!L1058,"AAAAAGjvtT0=")</f>
        <v>#VALUE!</v>
      </c>
      <c r="BK71" t="e">
        <f>AND('Planilla_General_07-12-2012_8_3'!M1058,"AAAAAGjvtT4=")</f>
        <v>#VALUE!</v>
      </c>
      <c r="BL71" t="e">
        <f>AND('Planilla_General_07-12-2012_8_3'!N1058,"AAAAAGjvtT8=")</f>
        <v>#VALUE!</v>
      </c>
      <c r="BM71" t="e">
        <f>AND('Planilla_General_07-12-2012_8_3'!O1058,"AAAAAGjvtUA=")</f>
        <v>#VALUE!</v>
      </c>
      <c r="BN71" t="e">
        <f>AND('Planilla_General_07-12-2012_8_3'!P1058,"AAAAAGjvtUE=")</f>
        <v>#VALUE!</v>
      </c>
      <c r="BO71">
        <f>IF('Planilla_General_07-12-2012_8_3'!1059:1059,"AAAAAGjvtUI=",0)</f>
        <v>0</v>
      </c>
      <c r="BP71" t="e">
        <f>AND('Planilla_General_07-12-2012_8_3'!A1059,"AAAAAGjvtUM=")</f>
        <v>#VALUE!</v>
      </c>
      <c r="BQ71" t="e">
        <f>AND('Planilla_General_07-12-2012_8_3'!B1059,"AAAAAGjvtUQ=")</f>
        <v>#VALUE!</v>
      </c>
      <c r="BR71" t="e">
        <f>AND('Planilla_General_07-12-2012_8_3'!C1059,"AAAAAGjvtUU=")</f>
        <v>#VALUE!</v>
      </c>
      <c r="BS71" t="e">
        <f>AND('Planilla_General_07-12-2012_8_3'!D1059,"AAAAAGjvtUY=")</f>
        <v>#VALUE!</v>
      </c>
      <c r="BT71" t="e">
        <f>AND('Planilla_General_07-12-2012_8_3'!E1059,"AAAAAGjvtUc=")</f>
        <v>#VALUE!</v>
      </c>
      <c r="BU71" t="e">
        <f>AND('Planilla_General_07-12-2012_8_3'!F1059,"AAAAAGjvtUg=")</f>
        <v>#VALUE!</v>
      </c>
      <c r="BV71" t="e">
        <f>AND('Planilla_General_07-12-2012_8_3'!G1059,"AAAAAGjvtUk=")</f>
        <v>#VALUE!</v>
      </c>
      <c r="BW71" t="e">
        <f>AND('Planilla_General_07-12-2012_8_3'!H1059,"AAAAAGjvtUo=")</f>
        <v>#VALUE!</v>
      </c>
      <c r="BX71" t="e">
        <f>AND('Planilla_General_07-12-2012_8_3'!I1059,"AAAAAGjvtUs=")</f>
        <v>#VALUE!</v>
      </c>
      <c r="BY71" t="e">
        <f>AND('Planilla_General_07-12-2012_8_3'!J1059,"AAAAAGjvtUw=")</f>
        <v>#VALUE!</v>
      </c>
      <c r="BZ71" t="e">
        <f>AND('Planilla_General_07-12-2012_8_3'!K1059,"AAAAAGjvtU0=")</f>
        <v>#VALUE!</v>
      </c>
      <c r="CA71" t="e">
        <f>AND('Planilla_General_07-12-2012_8_3'!L1059,"AAAAAGjvtU4=")</f>
        <v>#VALUE!</v>
      </c>
      <c r="CB71" t="e">
        <f>AND('Planilla_General_07-12-2012_8_3'!M1059,"AAAAAGjvtU8=")</f>
        <v>#VALUE!</v>
      </c>
      <c r="CC71" t="e">
        <f>AND('Planilla_General_07-12-2012_8_3'!N1059,"AAAAAGjvtVA=")</f>
        <v>#VALUE!</v>
      </c>
      <c r="CD71" t="e">
        <f>AND('Planilla_General_07-12-2012_8_3'!O1059,"AAAAAGjvtVE=")</f>
        <v>#VALUE!</v>
      </c>
      <c r="CE71" t="e">
        <f>AND('Planilla_General_07-12-2012_8_3'!P1059,"AAAAAGjvtVI=")</f>
        <v>#VALUE!</v>
      </c>
      <c r="CF71">
        <f>IF('Planilla_General_07-12-2012_8_3'!1060:1060,"AAAAAGjvtVM=",0)</f>
        <v>0</v>
      </c>
      <c r="CG71" t="e">
        <f>AND('Planilla_General_07-12-2012_8_3'!A1060,"AAAAAGjvtVQ=")</f>
        <v>#VALUE!</v>
      </c>
      <c r="CH71" t="e">
        <f>AND('Planilla_General_07-12-2012_8_3'!B1060,"AAAAAGjvtVU=")</f>
        <v>#VALUE!</v>
      </c>
      <c r="CI71" t="e">
        <f>AND('Planilla_General_07-12-2012_8_3'!C1060,"AAAAAGjvtVY=")</f>
        <v>#VALUE!</v>
      </c>
      <c r="CJ71" t="e">
        <f>AND('Planilla_General_07-12-2012_8_3'!D1060,"AAAAAGjvtVc=")</f>
        <v>#VALUE!</v>
      </c>
      <c r="CK71" t="e">
        <f>AND('Planilla_General_07-12-2012_8_3'!E1060,"AAAAAGjvtVg=")</f>
        <v>#VALUE!</v>
      </c>
      <c r="CL71" t="e">
        <f>AND('Planilla_General_07-12-2012_8_3'!F1060,"AAAAAGjvtVk=")</f>
        <v>#VALUE!</v>
      </c>
      <c r="CM71" t="e">
        <f>AND('Planilla_General_07-12-2012_8_3'!G1060,"AAAAAGjvtVo=")</f>
        <v>#VALUE!</v>
      </c>
      <c r="CN71" t="e">
        <f>AND('Planilla_General_07-12-2012_8_3'!H1060,"AAAAAGjvtVs=")</f>
        <v>#VALUE!</v>
      </c>
      <c r="CO71" t="e">
        <f>AND('Planilla_General_07-12-2012_8_3'!I1060,"AAAAAGjvtVw=")</f>
        <v>#VALUE!</v>
      </c>
      <c r="CP71" t="e">
        <f>AND('Planilla_General_07-12-2012_8_3'!J1060,"AAAAAGjvtV0=")</f>
        <v>#VALUE!</v>
      </c>
      <c r="CQ71" t="e">
        <f>AND('Planilla_General_07-12-2012_8_3'!K1060,"AAAAAGjvtV4=")</f>
        <v>#VALUE!</v>
      </c>
      <c r="CR71" t="e">
        <f>AND('Planilla_General_07-12-2012_8_3'!L1060,"AAAAAGjvtV8=")</f>
        <v>#VALUE!</v>
      </c>
      <c r="CS71" t="e">
        <f>AND('Planilla_General_07-12-2012_8_3'!M1060,"AAAAAGjvtWA=")</f>
        <v>#VALUE!</v>
      </c>
      <c r="CT71" t="e">
        <f>AND('Planilla_General_07-12-2012_8_3'!N1060,"AAAAAGjvtWE=")</f>
        <v>#VALUE!</v>
      </c>
      <c r="CU71" t="e">
        <f>AND('Planilla_General_07-12-2012_8_3'!O1060,"AAAAAGjvtWI=")</f>
        <v>#VALUE!</v>
      </c>
      <c r="CV71" t="e">
        <f>AND('Planilla_General_07-12-2012_8_3'!P1060,"AAAAAGjvtWM=")</f>
        <v>#VALUE!</v>
      </c>
      <c r="CW71">
        <f>IF('Planilla_General_07-12-2012_8_3'!1061:1061,"AAAAAGjvtWQ=",0)</f>
        <v>0</v>
      </c>
      <c r="CX71" t="e">
        <f>AND('Planilla_General_07-12-2012_8_3'!A1061,"AAAAAGjvtWU=")</f>
        <v>#VALUE!</v>
      </c>
      <c r="CY71" t="e">
        <f>AND('Planilla_General_07-12-2012_8_3'!B1061,"AAAAAGjvtWY=")</f>
        <v>#VALUE!</v>
      </c>
      <c r="CZ71" t="e">
        <f>AND('Planilla_General_07-12-2012_8_3'!C1061,"AAAAAGjvtWc=")</f>
        <v>#VALUE!</v>
      </c>
      <c r="DA71" t="e">
        <f>AND('Planilla_General_07-12-2012_8_3'!D1061,"AAAAAGjvtWg=")</f>
        <v>#VALUE!</v>
      </c>
      <c r="DB71" t="e">
        <f>AND('Planilla_General_07-12-2012_8_3'!E1061,"AAAAAGjvtWk=")</f>
        <v>#VALUE!</v>
      </c>
      <c r="DC71" t="e">
        <f>AND('Planilla_General_07-12-2012_8_3'!F1061,"AAAAAGjvtWo=")</f>
        <v>#VALUE!</v>
      </c>
      <c r="DD71" t="e">
        <f>AND('Planilla_General_07-12-2012_8_3'!G1061,"AAAAAGjvtWs=")</f>
        <v>#VALUE!</v>
      </c>
      <c r="DE71" t="e">
        <f>AND('Planilla_General_07-12-2012_8_3'!H1061,"AAAAAGjvtWw=")</f>
        <v>#VALUE!</v>
      </c>
      <c r="DF71" t="e">
        <f>AND('Planilla_General_07-12-2012_8_3'!I1061,"AAAAAGjvtW0=")</f>
        <v>#VALUE!</v>
      </c>
      <c r="DG71" t="e">
        <f>AND('Planilla_General_07-12-2012_8_3'!J1061,"AAAAAGjvtW4=")</f>
        <v>#VALUE!</v>
      </c>
      <c r="DH71" t="e">
        <f>AND('Planilla_General_07-12-2012_8_3'!K1061,"AAAAAGjvtW8=")</f>
        <v>#VALUE!</v>
      </c>
      <c r="DI71" t="e">
        <f>AND('Planilla_General_07-12-2012_8_3'!L1061,"AAAAAGjvtXA=")</f>
        <v>#VALUE!</v>
      </c>
      <c r="DJ71" t="e">
        <f>AND('Planilla_General_07-12-2012_8_3'!M1061,"AAAAAGjvtXE=")</f>
        <v>#VALUE!</v>
      </c>
      <c r="DK71" t="e">
        <f>AND('Planilla_General_07-12-2012_8_3'!N1061,"AAAAAGjvtXI=")</f>
        <v>#VALUE!</v>
      </c>
      <c r="DL71" t="e">
        <f>AND('Planilla_General_07-12-2012_8_3'!O1061,"AAAAAGjvtXM=")</f>
        <v>#VALUE!</v>
      </c>
      <c r="DM71" t="e">
        <f>AND('Planilla_General_07-12-2012_8_3'!P1061,"AAAAAGjvtXQ=")</f>
        <v>#VALUE!</v>
      </c>
      <c r="DN71">
        <f>IF('Planilla_General_07-12-2012_8_3'!1062:1062,"AAAAAGjvtXU=",0)</f>
        <v>0</v>
      </c>
      <c r="DO71" t="e">
        <f>AND('Planilla_General_07-12-2012_8_3'!A1062,"AAAAAGjvtXY=")</f>
        <v>#VALUE!</v>
      </c>
      <c r="DP71" t="e">
        <f>AND('Planilla_General_07-12-2012_8_3'!B1062,"AAAAAGjvtXc=")</f>
        <v>#VALUE!</v>
      </c>
      <c r="DQ71" t="e">
        <f>AND('Planilla_General_07-12-2012_8_3'!C1062,"AAAAAGjvtXg=")</f>
        <v>#VALUE!</v>
      </c>
      <c r="DR71" t="e">
        <f>AND('Planilla_General_07-12-2012_8_3'!D1062,"AAAAAGjvtXk=")</f>
        <v>#VALUE!</v>
      </c>
      <c r="DS71" t="e">
        <f>AND('Planilla_General_07-12-2012_8_3'!E1062,"AAAAAGjvtXo=")</f>
        <v>#VALUE!</v>
      </c>
      <c r="DT71" t="e">
        <f>AND('Planilla_General_07-12-2012_8_3'!F1062,"AAAAAGjvtXs=")</f>
        <v>#VALUE!</v>
      </c>
      <c r="DU71" t="e">
        <f>AND('Planilla_General_07-12-2012_8_3'!G1062,"AAAAAGjvtXw=")</f>
        <v>#VALUE!</v>
      </c>
      <c r="DV71" t="e">
        <f>AND('Planilla_General_07-12-2012_8_3'!H1062,"AAAAAGjvtX0=")</f>
        <v>#VALUE!</v>
      </c>
      <c r="DW71" t="e">
        <f>AND('Planilla_General_07-12-2012_8_3'!I1062,"AAAAAGjvtX4=")</f>
        <v>#VALUE!</v>
      </c>
      <c r="DX71" t="e">
        <f>AND('Planilla_General_07-12-2012_8_3'!J1062,"AAAAAGjvtX8=")</f>
        <v>#VALUE!</v>
      </c>
      <c r="DY71" t="e">
        <f>AND('Planilla_General_07-12-2012_8_3'!K1062,"AAAAAGjvtYA=")</f>
        <v>#VALUE!</v>
      </c>
      <c r="DZ71" t="e">
        <f>AND('Planilla_General_07-12-2012_8_3'!L1062,"AAAAAGjvtYE=")</f>
        <v>#VALUE!</v>
      </c>
      <c r="EA71" t="e">
        <f>AND('Planilla_General_07-12-2012_8_3'!M1062,"AAAAAGjvtYI=")</f>
        <v>#VALUE!</v>
      </c>
      <c r="EB71" t="e">
        <f>AND('Planilla_General_07-12-2012_8_3'!N1062,"AAAAAGjvtYM=")</f>
        <v>#VALUE!</v>
      </c>
      <c r="EC71" t="e">
        <f>AND('Planilla_General_07-12-2012_8_3'!O1062,"AAAAAGjvtYQ=")</f>
        <v>#VALUE!</v>
      </c>
      <c r="ED71" t="e">
        <f>AND('Planilla_General_07-12-2012_8_3'!P1062,"AAAAAGjvtYU=")</f>
        <v>#VALUE!</v>
      </c>
      <c r="EE71">
        <f>IF('Planilla_General_07-12-2012_8_3'!1063:1063,"AAAAAGjvtYY=",0)</f>
        <v>0</v>
      </c>
      <c r="EF71" t="e">
        <f>AND('Planilla_General_07-12-2012_8_3'!A1063,"AAAAAGjvtYc=")</f>
        <v>#VALUE!</v>
      </c>
      <c r="EG71" t="e">
        <f>AND('Planilla_General_07-12-2012_8_3'!B1063,"AAAAAGjvtYg=")</f>
        <v>#VALUE!</v>
      </c>
      <c r="EH71" t="e">
        <f>AND('Planilla_General_07-12-2012_8_3'!C1063,"AAAAAGjvtYk=")</f>
        <v>#VALUE!</v>
      </c>
      <c r="EI71" t="e">
        <f>AND('Planilla_General_07-12-2012_8_3'!D1063,"AAAAAGjvtYo=")</f>
        <v>#VALUE!</v>
      </c>
      <c r="EJ71" t="e">
        <f>AND('Planilla_General_07-12-2012_8_3'!E1063,"AAAAAGjvtYs=")</f>
        <v>#VALUE!</v>
      </c>
      <c r="EK71" t="e">
        <f>AND('Planilla_General_07-12-2012_8_3'!F1063,"AAAAAGjvtYw=")</f>
        <v>#VALUE!</v>
      </c>
      <c r="EL71" t="e">
        <f>AND('Planilla_General_07-12-2012_8_3'!G1063,"AAAAAGjvtY0=")</f>
        <v>#VALUE!</v>
      </c>
      <c r="EM71" t="e">
        <f>AND('Planilla_General_07-12-2012_8_3'!H1063,"AAAAAGjvtY4=")</f>
        <v>#VALUE!</v>
      </c>
      <c r="EN71" t="e">
        <f>AND('Planilla_General_07-12-2012_8_3'!I1063,"AAAAAGjvtY8=")</f>
        <v>#VALUE!</v>
      </c>
      <c r="EO71" t="e">
        <f>AND('Planilla_General_07-12-2012_8_3'!J1063,"AAAAAGjvtZA=")</f>
        <v>#VALUE!</v>
      </c>
      <c r="EP71" t="e">
        <f>AND('Planilla_General_07-12-2012_8_3'!K1063,"AAAAAGjvtZE=")</f>
        <v>#VALUE!</v>
      </c>
      <c r="EQ71" t="e">
        <f>AND('Planilla_General_07-12-2012_8_3'!L1063,"AAAAAGjvtZI=")</f>
        <v>#VALUE!</v>
      </c>
      <c r="ER71" t="e">
        <f>AND('Planilla_General_07-12-2012_8_3'!M1063,"AAAAAGjvtZM=")</f>
        <v>#VALUE!</v>
      </c>
      <c r="ES71" t="e">
        <f>AND('Planilla_General_07-12-2012_8_3'!N1063,"AAAAAGjvtZQ=")</f>
        <v>#VALUE!</v>
      </c>
      <c r="ET71" t="e">
        <f>AND('Planilla_General_07-12-2012_8_3'!O1063,"AAAAAGjvtZU=")</f>
        <v>#VALUE!</v>
      </c>
      <c r="EU71" t="e">
        <f>AND('Planilla_General_07-12-2012_8_3'!P1063,"AAAAAGjvtZY=")</f>
        <v>#VALUE!</v>
      </c>
      <c r="EV71">
        <f>IF('Planilla_General_07-12-2012_8_3'!1064:1064,"AAAAAGjvtZc=",0)</f>
        <v>0</v>
      </c>
      <c r="EW71" t="e">
        <f>AND('Planilla_General_07-12-2012_8_3'!A1064,"AAAAAGjvtZg=")</f>
        <v>#VALUE!</v>
      </c>
      <c r="EX71" t="e">
        <f>AND('Planilla_General_07-12-2012_8_3'!B1064,"AAAAAGjvtZk=")</f>
        <v>#VALUE!</v>
      </c>
      <c r="EY71" t="e">
        <f>AND('Planilla_General_07-12-2012_8_3'!C1064,"AAAAAGjvtZo=")</f>
        <v>#VALUE!</v>
      </c>
      <c r="EZ71" t="e">
        <f>AND('Planilla_General_07-12-2012_8_3'!D1064,"AAAAAGjvtZs=")</f>
        <v>#VALUE!</v>
      </c>
      <c r="FA71" t="e">
        <f>AND('Planilla_General_07-12-2012_8_3'!E1064,"AAAAAGjvtZw=")</f>
        <v>#VALUE!</v>
      </c>
      <c r="FB71" t="e">
        <f>AND('Planilla_General_07-12-2012_8_3'!F1064,"AAAAAGjvtZ0=")</f>
        <v>#VALUE!</v>
      </c>
      <c r="FC71" t="e">
        <f>AND('Planilla_General_07-12-2012_8_3'!G1064,"AAAAAGjvtZ4=")</f>
        <v>#VALUE!</v>
      </c>
      <c r="FD71" t="e">
        <f>AND('Planilla_General_07-12-2012_8_3'!H1064,"AAAAAGjvtZ8=")</f>
        <v>#VALUE!</v>
      </c>
      <c r="FE71" t="e">
        <f>AND('Planilla_General_07-12-2012_8_3'!I1064,"AAAAAGjvtaA=")</f>
        <v>#VALUE!</v>
      </c>
      <c r="FF71" t="e">
        <f>AND('Planilla_General_07-12-2012_8_3'!J1064,"AAAAAGjvtaE=")</f>
        <v>#VALUE!</v>
      </c>
      <c r="FG71" t="e">
        <f>AND('Planilla_General_07-12-2012_8_3'!K1064,"AAAAAGjvtaI=")</f>
        <v>#VALUE!</v>
      </c>
      <c r="FH71" t="e">
        <f>AND('Planilla_General_07-12-2012_8_3'!L1064,"AAAAAGjvtaM=")</f>
        <v>#VALUE!</v>
      </c>
      <c r="FI71" t="e">
        <f>AND('Planilla_General_07-12-2012_8_3'!M1064,"AAAAAGjvtaQ=")</f>
        <v>#VALUE!</v>
      </c>
      <c r="FJ71" t="e">
        <f>AND('Planilla_General_07-12-2012_8_3'!N1064,"AAAAAGjvtaU=")</f>
        <v>#VALUE!</v>
      </c>
      <c r="FK71" t="e">
        <f>AND('Planilla_General_07-12-2012_8_3'!O1064,"AAAAAGjvtaY=")</f>
        <v>#VALUE!</v>
      </c>
      <c r="FL71" t="e">
        <f>AND('Planilla_General_07-12-2012_8_3'!P1064,"AAAAAGjvtac=")</f>
        <v>#VALUE!</v>
      </c>
      <c r="FM71">
        <f>IF('Planilla_General_07-12-2012_8_3'!1065:1065,"AAAAAGjvtag=",0)</f>
        <v>0</v>
      </c>
      <c r="FN71" t="e">
        <f>AND('Planilla_General_07-12-2012_8_3'!A1065,"AAAAAGjvtak=")</f>
        <v>#VALUE!</v>
      </c>
      <c r="FO71" t="e">
        <f>AND('Planilla_General_07-12-2012_8_3'!B1065,"AAAAAGjvtao=")</f>
        <v>#VALUE!</v>
      </c>
      <c r="FP71" t="e">
        <f>AND('Planilla_General_07-12-2012_8_3'!C1065,"AAAAAGjvtas=")</f>
        <v>#VALUE!</v>
      </c>
      <c r="FQ71" t="e">
        <f>AND('Planilla_General_07-12-2012_8_3'!D1065,"AAAAAGjvtaw=")</f>
        <v>#VALUE!</v>
      </c>
      <c r="FR71" t="e">
        <f>AND('Planilla_General_07-12-2012_8_3'!E1065,"AAAAAGjvta0=")</f>
        <v>#VALUE!</v>
      </c>
      <c r="FS71" t="e">
        <f>AND('Planilla_General_07-12-2012_8_3'!F1065,"AAAAAGjvta4=")</f>
        <v>#VALUE!</v>
      </c>
      <c r="FT71" t="e">
        <f>AND('Planilla_General_07-12-2012_8_3'!G1065,"AAAAAGjvta8=")</f>
        <v>#VALUE!</v>
      </c>
      <c r="FU71" t="e">
        <f>AND('Planilla_General_07-12-2012_8_3'!H1065,"AAAAAGjvtbA=")</f>
        <v>#VALUE!</v>
      </c>
      <c r="FV71" t="e">
        <f>AND('Planilla_General_07-12-2012_8_3'!I1065,"AAAAAGjvtbE=")</f>
        <v>#VALUE!</v>
      </c>
      <c r="FW71" t="e">
        <f>AND('Planilla_General_07-12-2012_8_3'!J1065,"AAAAAGjvtbI=")</f>
        <v>#VALUE!</v>
      </c>
      <c r="FX71" t="e">
        <f>AND('Planilla_General_07-12-2012_8_3'!K1065,"AAAAAGjvtbM=")</f>
        <v>#VALUE!</v>
      </c>
      <c r="FY71" t="e">
        <f>AND('Planilla_General_07-12-2012_8_3'!L1065,"AAAAAGjvtbQ=")</f>
        <v>#VALUE!</v>
      </c>
      <c r="FZ71" t="e">
        <f>AND('Planilla_General_07-12-2012_8_3'!M1065,"AAAAAGjvtbU=")</f>
        <v>#VALUE!</v>
      </c>
      <c r="GA71" t="e">
        <f>AND('Planilla_General_07-12-2012_8_3'!N1065,"AAAAAGjvtbY=")</f>
        <v>#VALUE!</v>
      </c>
      <c r="GB71" t="e">
        <f>AND('Planilla_General_07-12-2012_8_3'!O1065,"AAAAAGjvtbc=")</f>
        <v>#VALUE!</v>
      </c>
      <c r="GC71" t="e">
        <f>AND('Planilla_General_07-12-2012_8_3'!P1065,"AAAAAGjvtbg=")</f>
        <v>#VALUE!</v>
      </c>
      <c r="GD71">
        <f>IF('Planilla_General_07-12-2012_8_3'!1066:1066,"AAAAAGjvtbk=",0)</f>
        <v>0</v>
      </c>
      <c r="GE71" t="e">
        <f>AND('Planilla_General_07-12-2012_8_3'!A1066,"AAAAAGjvtbo=")</f>
        <v>#VALUE!</v>
      </c>
      <c r="GF71" t="e">
        <f>AND('Planilla_General_07-12-2012_8_3'!B1066,"AAAAAGjvtbs=")</f>
        <v>#VALUE!</v>
      </c>
      <c r="GG71" t="e">
        <f>AND('Planilla_General_07-12-2012_8_3'!C1066,"AAAAAGjvtbw=")</f>
        <v>#VALUE!</v>
      </c>
      <c r="GH71" t="e">
        <f>AND('Planilla_General_07-12-2012_8_3'!D1066,"AAAAAGjvtb0=")</f>
        <v>#VALUE!</v>
      </c>
      <c r="GI71" t="e">
        <f>AND('Planilla_General_07-12-2012_8_3'!E1066,"AAAAAGjvtb4=")</f>
        <v>#VALUE!</v>
      </c>
      <c r="GJ71" t="e">
        <f>AND('Planilla_General_07-12-2012_8_3'!F1066,"AAAAAGjvtb8=")</f>
        <v>#VALUE!</v>
      </c>
      <c r="GK71" t="e">
        <f>AND('Planilla_General_07-12-2012_8_3'!G1066,"AAAAAGjvtcA=")</f>
        <v>#VALUE!</v>
      </c>
      <c r="GL71" t="e">
        <f>AND('Planilla_General_07-12-2012_8_3'!H1066,"AAAAAGjvtcE=")</f>
        <v>#VALUE!</v>
      </c>
      <c r="GM71" t="e">
        <f>AND('Planilla_General_07-12-2012_8_3'!I1066,"AAAAAGjvtcI=")</f>
        <v>#VALUE!</v>
      </c>
      <c r="GN71" t="e">
        <f>AND('Planilla_General_07-12-2012_8_3'!J1066,"AAAAAGjvtcM=")</f>
        <v>#VALUE!</v>
      </c>
      <c r="GO71" t="e">
        <f>AND('Planilla_General_07-12-2012_8_3'!K1066,"AAAAAGjvtcQ=")</f>
        <v>#VALUE!</v>
      </c>
      <c r="GP71" t="e">
        <f>AND('Planilla_General_07-12-2012_8_3'!L1066,"AAAAAGjvtcU=")</f>
        <v>#VALUE!</v>
      </c>
      <c r="GQ71" t="e">
        <f>AND('Planilla_General_07-12-2012_8_3'!M1066,"AAAAAGjvtcY=")</f>
        <v>#VALUE!</v>
      </c>
      <c r="GR71" t="e">
        <f>AND('Planilla_General_07-12-2012_8_3'!N1066,"AAAAAGjvtcc=")</f>
        <v>#VALUE!</v>
      </c>
      <c r="GS71" t="e">
        <f>AND('Planilla_General_07-12-2012_8_3'!O1066,"AAAAAGjvtcg=")</f>
        <v>#VALUE!</v>
      </c>
      <c r="GT71" t="e">
        <f>AND('Planilla_General_07-12-2012_8_3'!P1066,"AAAAAGjvtck=")</f>
        <v>#VALUE!</v>
      </c>
      <c r="GU71">
        <f>IF('Planilla_General_07-12-2012_8_3'!1067:1067,"AAAAAGjvtco=",0)</f>
        <v>0</v>
      </c>
      <c r="GV71" t="e">
        <f>AND('Planilla_General_07-12-2012_8_3'!A1067,"AAAAAGjvtcs=")</f>
        <v>#VALUE!</v>
      </c>
      <c r="GW71" t="e">
        <f>AND('Planilla_General_07-12-2012_8_3'!B1067,"AAAAAGjvtcw=")</f>
        <v>#VALUE!</v>
      </c>
      <c r="GX71" t="e">
        <f>AND('Planilla_General_07-12-2012_8_3'!C1067,"AAAAAGjvtc0=")</f>
        <v>#VALUE!</v>
      </c>
      <c r="GY71" t="e">
        <f>AND('Planilla_General_07-12-2012_8_3'!D1067,"AAAAAGjvtc4=")</f>
        <v>#VALUE!</v>
      </c>
      <c r="GZ71" t="e">
        <f>AND('Planilla_General_07-12-2012_8_3'!E1067,"AAAAAGjvtc8=")</f>
        <v>#VALUE!</v>
      </c>
      <c r="HA71" t="e">
        <f>AND('Planilla_General_07-12-2012_8_3'!F1067,"AAAAAGjvtdA=")</f>
        <v>#VALUE!</v>
      </c>
      <c r="HB71" t="e">
        <f>AND('Planilla_General_07-12-2012_8_3'!G1067,"AAAAAGjvtdE=")</f>
        <v>#VALUE!</v>
      </c>
      <c r="HC71" t="e">
        <f>AND('Planilla_General_07-12-2012_8_3'!H1067,"AAAAAGjvtdI=")</f>
        <v>#VALUE!</v>
      </c>
      <c r="HD71" t="e">
        <f>AND('Planilla_General_07-12-2012_8_3'!I1067,"AAAAAGjvtdM=")</f>
        <v>#VALUE!</v>
      </c>
      <c r="HE71" t="e">
        <f>AND('Planilla_General_07-12-2012_8_3'!J1067,"AAAAAGjvtdQ=")</f>
        <v>#VALUE!</v>
      </c>
      <c r="HF71" t="e">
        <f>AND('Planilla_General_07-12-2012_8_3'!K1067,"AAAAAGjvtdU=")</f>
        <v>#VALUE!</v>
      </c>
      <c r="HG71" t="e">
        <f>AND('Planilla_General_07-12-2012_8_3'!L1067,"AAAAAGjvtdY=")</f>
        <v>#VALUE!</v>
      </c>
      <c r="HH71" t="e">
        <f>AND('Planilla_General_07-12-2012_8_3'!M1067,"AAAAAGjvtdc=")</f>
        <v>#VALUE!</v>
      </c>
      <c r="HI71" t="e">
        <f>AND('Planilla_General_07-12-2012_8_3'!N1067,"AAAAAGjvtdg=")</f>
        <v>#VALUE!</v>
      </c>
      <c r="HJ71" t="e">
        <f>AND('Planilla_General_07-12-2012_8_3'!O1067,"AAAAAGjvtdk=")</f>
        <v>#VALUE!</v>
      </c>
      <c r="HK71" t="e">
        <f>AND('Planilla_General_07-12-2012_8_3'!P1067,"AAAAAGjvtdo=")</f>
        <v>#VALUE!</v>
      </c>
      <c r="HL71">
        <f>IF('Planilla_General_07-12-2012_8_3'!1068:1068,"AAAAAGjvtds=",0)</f>
        <v>0</v>
      </c>
      <c r="HM71" t="e">
        <f>AND('Planilla_General_07-12-2012_8_3'!A1068,"AAAAAGjvtdw=")</f>
        <v>#VALUE!</v>
      </c>
      <c r="HN71" t="e">
        <f>AND('Planilla_General_07-12-2012_8_3'!B1068,"AAAAAGjvtd0=")</f>
        <v>#VALUE!</v>
      </c>
      <c r="HO71" t="e">
        <f>AND('Planilla_General_07-12-2012_8_3'!C1068,"AAAAAGjvtd4=")</f>
        <v>#VALUE!</v>
      </c>
      <c r="HP71" t="e">
        <f>AND('Planilla_General_07-12-2012_8_3'!D1068,"AAAAAGjvtd8=")</f>
        <v>#VALUE!</v>
      </c>
      <c r="HQ71" t="e">
        <f>AND('Planilla_General_07-12-2012_8_3'!E1068,"AAAAAGjvteA=")</f>
        <v>#VALUE!</v>
      </c>
      <c r="HR71" t="e">
        <f>AND('Planilla_General_07-12-2012_8_3'!F1068,"AAAAAGjvteE=")</f>
        <v>#VALUE!</v>
      </c>
      <c r="HS71" t="e">
        <f>AND('Planilla_General_07-12-2012_8_3'!G1068,"AAAAAGjvteI=")</f>
        <v>#VALUE!</v>
      </c>
      <c r="HT71" t="e">
        <f>AND('Planilla_General_07-12-2012_8_3'!H1068,"AAAAAGjvteM=")</f>
        <v>#VALUE!</v>
      </c>
      <c r="HU71" t="e">
        <f>AND('Planilla_General_07-12-2012_8_3'!I1068,"AAAAAGjvteQ=")</f>
        <v>#VALUE!</v>
      </c>
      <c r="HV71" t="e">
        <f>AND('Planilla_General_07-12-2012_8_3'!J1068,"AAAAAGjvteU=")</f>
        <v>#VALUE!</v>
      </c>
      <c r="HW71" t="e">
        <f>AND('Planilla_General_07-12-2012_8_3'!K1068,"AAAAAGjvteY=")</f>
        <v>#VALUE!</v>
      </c>
      <c r="HX71" t="e">
        <f>AND('Planilla_General_07-12-2012_8_3'!L1068,"AAAAAGjvtec=")</f>
        <v>#VALUE!</v>
      </c>
      <c r="HY71" t="e">
        <f>AND('Planilla_General_07-12-2012_8_3'!M1068,"AAAAAGjvteg=")</f>
        <v>#VALUE!</v>
      </c>
      <c r="HZ71" t="e">
        <f>AND('Planilla_General_07-12-2012_8_3'!N1068,"AAAAAGjvtek=")</f>
        <v>#VALUE!</v>
      </c>
      <c r="IA71" t="e">
        <f>AND('Planilla_General_07-12-2012_8_3'!O1068,"AAAAAGjvteo=")</f>
        <v>#VALUE!</v>
      </c>
      <c r="IB71" t="e">
        <f>AND('Planilla_General_07-12-2012_8_3'!P1068,"AAAAAGjvtes=")</f>
        <v>#VALUE!</v>
      </c>
      <c r="IC71">
        <f>IF('Planilla_General_07-12-2012_8_3'!1069:1069,"AAAAAGjvtew=",0)</f>
        <v>0</v>
      </c>
      <c r="ID71" t="e">
        <f>AND('Planilla_General_07-12-2012_8_3'!A1069,"AAAAAGjvte0=")</f>
        <v>#VALUE!</v>
      </c>
      <c r="IE71" t="e">
        <f>AND('Planilla_General_07-12-2012_8_3'!B1069,"AAAAAGjvte4=")</f>
        <v>#VALUE!</v>
      </c>
      <c r="IF71" t="e">
        <f>AND('Planilla_General_07-12-2012_8_3'!C1069,"AAAAAGjvte8=")</f>
        <v>#VALUE!</v>
      </c>
      <c r="IG71" t="e">
        <f>AND('Planilla_General_07-12-2012_8_3'!D1069,"AAAAAGjvtfA=")</f>
        <v>#VALUE!</v>
      </c>
      <c r="IH71" t="e">
        <f>AND('Planilla_General_07-12-2012_8_3'!E1069,"AAAAAGjvtfE=")</f>
        <v>#VALUE!</v>
      </c>
      <c r="II71" t="e">
        <f>AND('Planilla_General_07-12-2012_8_3'!F1069,"AAAAAGjvtfI=")</f>
        <v>#VALUE!</v>
      </c>
      <c r="IJ71" t="e">
        <f>AND('Planilla_General_07-12-2012_8_3'!G1069,"AAAAAGjvtfM=")</f>
        <v>#VALUE!</v>
      </c>
      <c r="IK71" t="e">
        <f>AND('Planilla_General_07-12-2012_8_3'!H1069,"AAAAAGjvtfQ=")</f>
        <v>#VALUE!</v>
      </c>
      <c r="IL71" t="e">
        <f>AND('Planilla_General_07-12-2012_8_3'!I1069,"AAAAAGjvtfU=")</f>
        <v>#VALUE!</v>
      </c>
      <c r="IM71" t="e">
        <f>AND('Planilla_General_07-12-2012_8_3'!J1069,"AAAAAGjvtfY=")</f>
        <v>#VALUE!</v>
      </c>
      <c r="IN71" t="e">
        <f>AND('Planilla_General_07-12-2012_8_3'!K1069,"AAAAAGjvtfc=")</f>
        <v>#VALUE!</v>
      </c>
      <c r="IO71" t="e">
        <f>AND('Planilla_General_07-12-2012_8_3'!L1069,"AAAAAGjvtfg=")</f>
        <v>#VALUE!</v>
      </c>
      <c r="IP71" t="e">
        <f>AND('Planilla_General_07-12-2012_8_3'!M1069,"AAAAAGjvtfk=")</f>
        <v>#VALUE!</v>
      </c>
      <c r="IQ71" t="e">
        <f>AND('Planilla_General_07-12-2012_8_3'!N1069,"AAAAAGjvtfo=")</f>
        <v>#VALUE!</v>
      </c>
      <c r="IR71" t="e">
        <f>AND('Planilla_General_07-12-2012_8_3'!O1069,"AAAAAGjvtfs=")</f>
        <v>#VALUE!</v>
      </c>
      <c r="IS71" t="e">
        <f>AND('Planilla_General_07-12-2012_8_3'!P1069,"AAAAAGjvtfw=")</f>
        <v>#VALUE!</v>
      </c>
      <c r="IT71">
        <f>IF('Planilla_General_07-12-2012_8_3'!1070:1070,"AAAAAGjvtf0=",0)</f>
        <v>0</v>
      </c>
      <c r="IU71" t="e">
        <f>AND('Planilla_General_07-12-2012_8_3'!A1070,"AAAAAGjvtf4=")</f>
        <v>#VALUE!</v>
      </c>
      <c r="IV71" t="e">
        <f>AND('Planilla_General_07-12-2012_8_3'!B1070,"AAAAAGjvtf8=")</f>
        <v>#VALUE!</v>
      </c>
    </row>
    <row r="72" spans="1:256" x14ac:dyDescent="0.25">
      <c r="A72" t="e">
        <f>AND('Planilla_General_07-12-2012_8_3'!C1070,"AAAAAF2/kwA=")</f>
        <v>#VALUE!</v>
      </c>
      <c r="B72" t="e">
        <f>AND('Planilla_General_07-12-2012_8_3'!D1070,"AAAAAF2/kwE=")</f>
        <v>#VALUE!</v>
      </c>
      <c r="C72" t="e">
        <f>AND('Planilla_General_07-12-2012_8_3'!E1070,"AAAAAF2/kwI=")</f>
        <v>#VALUE!</v>
      </c>
      <c r="D72" t="e">
        <f>AND('Planilla_General_07-12-2012_8_3'!F1070,"AAAAAF2/kwM=")</f>
        <v>#VALUE!</v>
      </c>
      <c r="E72" t="e">
        <f>AND('Planilla_General_07-12-2012_8_3'!G1070,"AAAAAF2/kwQ=")</f>
        <v>#VALUE!</v>
      </c>
      <c r="F72" t="e">
        <f>AND('Planilla_General_07-12-2012_8_3'!H1070,"AAAAAF2/kwU=")</f>
        <v>#VALUE!</v>
      </c>
      <c r="G72" t="e">
        <f>AND('Planilla_General_07-12-2012_8_3'!I1070,"AAAAAF2/kwY=")</f>
        <v>#VALUE!</v>
      </c>
      <c r="H72" t="e">
        <f>AND('Planilla_General_07-12-2012_8_3'!J1070,"AAAAAF2/kwc=")</f>
        <v>#VALUE!</v>
      </c>
      <c r="I72" t="e">
        <f>AND('Planilla_General_07-12-2012_8_3'!K1070,"AAAAAF2/kwg=")</f>
        <v>#VALUE!</v>
      </c>
      <c r="J72" t="e">
        <f>AND('Planilla_General_07-12-2012_8_3'!L1070,"AAAAAF2/kwk=")</f>
        <v>#VALUE!</v>
      </c>
      <c r="K72" t="e">
        <f>AND('Planilla_General_07-12-2012_8_3'!M1070,"AAAAAF2/kwo=")</f>
        <v>#VALUE!</v>
      </c>
      <c r="L72" t="e">
        <f>AND('Planilla_General_07-12-2012_8_3'!N1070,"AAAAAF2/kws=")</f>
        <v>#VALUE!</v>
      </c>
      <c r="M72" t="e">
        <f>AND('Planilla_General_07-12-2012_8_3'!O1070,"AAAAAF2/kww=")</f>
        <v>#VALUE!</v>
      </c>
      <c r="N72" t="e">
        <f>AND('Planilla_General_07-12-2012_8_3'!P1070,"AAAAAF2/kw0=")</f>
        <v>#VALUE!</v>
      </c>
      <c r="O72" t="str">
        <f>IF('Planilla_General_07-12-2012_8_3'!1071:1071,"AAAAAF2/kw4=",0)</f>
        <v>AAAAAF2/kw4=</v>
      </c>
      <c r="P72" t="e">
        <f>AND('Planilla_General_07-12-2012_8_3'!A1071,"AAAAAF2/kw8=")</f>
        <v>#VALUE!</v>
      </c>
      <c r="Q72" t="e">
        <f>AND('Planilla_General_07-12-2012_8_3'!B1071,"AAAAAF2/kxA=")</f>
        <v>#VALUE!</v>
      </c>
      <c r="R72" t="e">
        <f>AND('Planilla_General_07-12-2012_8_3'!C1071,"AAAAAF2/kxE=")</f>
        <v>#VALUE!</v>
      </c>
      <c r="S72" t="e">
        <f>AND('Planilla_General_07-12-2012_8_3'!D1071,"AAAAAF2/kxI=")</f>
        <v>#VALUE!</v>
      </c>
      <c r="T72" t="e">
        <f>AND('Planilla_General_07-12-2012_8_3'!E1071,"AAAAAF2/kxM=")</f>
        <v>#VALUE!</v>
      </c>
      <c r="U72" t="e">
        <f>AND('Planilla_General_07-12-2012_8_3'!F1071,"AAAAAF2/kxQ=")</f>
        <v>#VALUE!</v>
      </c>
      <c r="V72" t="e">
        <f>AND('Planilla_General_07-12-2012_8_3'!G1071,"AAAAAF2/kxU=")</f>
        <v>#VALUE!</v>
      </c>
      <c r="W72" t="e">
        <f>AND('Planilla_General_07-12-2012_8_3'!H1071,"AAAAAF2/kxY=")</f>
        <v>#VALUE!</v>
      </c>
      <c r="X72" t="e">
        <f>AND('Planilla_General_07-12-2012_8_3'!I1071,"AAAAAF2/kxc=")</f>
        <v>#VALUE!</v>
      </c>
      <c r="Y72" t="e">
        <f>AND('Planilla_General_07-12-2012_8_3'!J1071,"AAAAAF2/kxg=")</f>
        <v>#VALUE!</v>
      </c>
      <c r="Z72" t="e">
        <f>AND('Planilla_General_07-12-2012_8_3'!K1071,"AAAAAF2/kxk=")</f>
        <v>#VALUE!</v>
      </c>
      <c r="AA72" t="e">
        <f>AND('Planilla_General_07-12-2012_8_3'!L1071,"AAAAAF2/kxo=")</f>
        <v>#VALUE!</v>
      </c>
      <c r="AB72" t="e">
        <f>AND('Planilla_General_07-12-2012_8_3'!M1071,"AAAAAF2/kxs=")</f>
        <v>#VALUE!</v>
      </c>
      <c r="AC72" t="e">
        <f>AND('Planilla_General_07-12-2012_8_3'!N1071,"AAAAAF2/kxw=")</f>
        <v>#VALUE!</v>
      </c>
      <c r="AD72" t="e">
        <f>AND('Planilla_General_07-12-2012_8_3'!O1071,"AAAAAF2/kx0=")</f>
        <v>#VALUE!</v>
      </c>
      <c r="AE72" t="e">
        <f>AND('Planilla_General_07-12-2012_8_3'!P1071,"AAAAAF2/kx4=")</f>
        <v>#VALUE!</v>
      </c>
      <c r="AF72">
        <f>IF('Planilla_General_07-12-2012_8_3'!1072:1072,"AAAAAF2/kx8=",0)</f>
        <v>0</v>
      </c>
      <c r="AG72" t="e">
        <f>AND('Planilla_General_07-12-2012_8_3'!A1072,"AAAAAF2/kyA=")</f>
        <v>#VALUE!</v>
      </c>
      <c r="AH72" t="e">
        <f>AND('Planilla_General_07-12-2012_8_3'!B1072,"AAAAAF2/kyE=")</f>
        <v>#VALUE!</v>
      </c>
      <c r="AI72" t="e">
        <f>AND('Planilla_General_07-12-2012_8_3'!C1072,"AAAAAF2/kyI=")</f>
        <v>#VALUE!</v>
      </c>
      <c r="AJ72" t="e">
        <f>AND('Planilla_General_07-12-2012_8_3'!D1072,"AAAAAF2/kyM=")</f>
        <v>#VALUE!</v>
      </c>
      <c r="AK72" t="e">
        <f>AND('Planilla_General_07-12-2012_8_3'!E1072,"AAAAAF2/kyQ=")</f>
        <v>#VALUE!</v>
      </c>
      <c r="AL72" t="e">
        <f>AND('Planilla_General_07-12-2012_8_3'!F1072,"AAAAAF2/kyU=")</f>
        <v>#VALUE!</v>
      </c>
      <c r="AM72" t="e">
        <f>AND('Planilla_General_07-12-2012_8_3'!G1072,"AAAAAF2/kyY=")</f>
        <v>#VALUE!</v>
      </c>
      <c r="AN72" t="e">
        <f>AND('Planilla_General_07-12-2012_8_3'!H1072,"AAAAAF2/kyc=")</f>
        <v>#VALUE!</v>
      </c>
      <c r="AO72" t="e">
        <f>AND('Planilla_General_07-12-2012_8_3'!I1072,"AAAAAF2/kyg=")</f>
        <v>#VALUE!</v>
      </c>
      <c r="AP72" t="e">
        <f>AND('Planilla_General_07-12-2012_8_3'!J1072,"AAAAAF2/kyk=")</f>
        <v>#VALUE!</v>
      </c>
      <c r="AQ72" t="e">
        <f>AND('Planilla_General_07-12-2012_8_3'!K1072,"AAAAAF2/kyo=")</f>
        <v>#VALUE!</v>
      </c>
      <c r="AR72" t="e">
        <f>AND('Planilla_General_07-12-2012_8_3'!L1072,"AAAAAF2/kys=")</f>
        <v>#VALUE!</v>
      </c>
      <c r="AS72" t="e">
        <f>AND('Planilla_General_07-12-2012_8_3'!M1072,"AAAAAF2/kyw=")</f>
        <v>#VALUE!</v>
      </c>
      <c r="AT72" t="e">
        <f>AND('Planilla_General_07-12-2012_8_3'!N1072,"AAAAAF2/ky0=")</f>
        <v>#VALUE!</v>
      </c>
      <c r="AU72" t="e">
        <f>AND('Planilla_General_07-12-2012_8_3'!O1072,"AAAAAF2/ky4=")</f>
        <v>#VALUE!</v>
      </c>
      <c r="AV72" t="e">
        <f>AND('Planilla_General_07-12-2012_8_3'!P1072,"AAAAAF2/ky8=")</f>
        <v>#VALUE!</v>
      </c>
      <c r="AW72">
        <f>IF('Planilla_General_07-12-2012_8_3'!1073:1073,"AAAAAF2/kzA=",0)</f>
        <v>0</v>
      </c>
      <c r="AX72" t="e">
        <f>AND('Planilla_General_07-12-2012_8_3'!A1073,"AAAAAF2/kzE=")</f>
        <v>#VALUE!</v>
      </c>
      <c r="AY72" t="e">
        <f>AND('Planilla_General_07-12-2012_8_3'!B1073,"AAAAAF2/kzI=")</f>
        <v>#VALUE!</v>
      </c>
      <c r="AZ72" t="e">
        <f>AND('Planilla_General_07-12-2012_8_3'!C1073,"AAAAAF2/kzM=")</f>
        <v>#VALUE!</v>
      </c>
      <c r="BA72" t="e">
        <f>AND('Planilla_General_07-12-2012_8_3'!D1073,"AAAAAF2/kzQ=")</f>
        <v>#VALUE!</v>
      </c>
      <c r="BB72" t="e">
        <f>AND('Planilla_General_07-12-2012_8_3'!E1073,"AAAAAF2/kzU=")</f>
        <v>#VALUE!</v>
      </c>
      <c r="BC72" t="e">
        <f>AND('Planilla_General_07-12-2012_8_3'!F1073,"AAAAAF2/kzY=")</f>
        <v>#VALUE!</v>
      </c>
      <c r="BD72" t="e">
        <f>AND('Planilla_General_07-12-2012_8_3'!G1073,"AAAAAF2/kzc=")</f>
        <v>#VALUE!</v>
      </c>
      <c r="BE72" t="e">
        <f>AND('Planilla_General_07-12-2012_8_3'!H1073,"AAAAAF2/kzg=")</f>
        <v>#VALUE!</v>
      </c>
      <c r="BF72" t="e">
        <f>AND('Planilla_General_07-12-2012_8_3'!I1073,"AAAAAF2/kzk=")</f>
        <v>#VALUE!</v>
      </c>
      <c r="BG72" t="e">
        <f>AND('Planilla_General_07-12-2012_8_3'!J1073,"AAAAAF2/kzo=")</f>
        <v>#VALUE!</v>
      </c>
      <c r="BH72" t="e">
        <f>AND('Planilla_General_07-12-2012_8_3'!K1073,"AAAAAF2/kzs=")</f>
        <v>#VALUE!</v>
      </c>
      <c r="BI72" t="e">
        <f>AND('Planilla_General_07-12-2012_8_3'!L1073,"AAAAAF2/kzw=")</f>
        <v>#VALUE!</v>
      </c>
      <c r="BJ72" t="e">
        <f>AND('Planilla_General_07-12-2012_8_3'!M1073,"AAAAAF2/kz0=")</f>
        <v>#VALUE!</v>
      </c>
      <c r="BK72" t="e">
        <f>AND('Planilla_General_07-12-2012_8_3'!N1073,"AAAAAF2/kz4=")</f>
        <v>#VALUE!</v>
      </c>
      <c r="BL72" t="e">
        <f>AND('Planilla_General_07-12-2012_8_3'!O1073,"AAAAAF2/kz8=")</f>
        <v>#VALUE!</v>
      </c>
      <c r="BM72" t="e">
        <f>AND('Planilla_General_07-12-2012_8_3'!P1073,"AAAAAF2/k0A=")</f>
        <v>#VALUE!</v>
      </c>
      <c r="BN72">
        <f>IF('Planilla_General_07-12-2012_8_3'!1074:1074,"AAAAAF2/k0E=",0)</f>
        <v>0</v>
      </c>
      <c r="BO72" t="e">
        <f>AND('Planilla_General_07-12-2012_8_3'!A1074,"AAAAAF2/k0I=")</f>
        <v>#VALUE!</v>
      </c>
      <c r="BP72" t="e">
        <f>AND('Planilla_General_07-12-2012_8_3'!B1074,"AAAAAF2/k0M=")</f>
        <v>#VALUE!</v>
      </c>
      <c r="BQ72" t="e">
        <f>AND('Planilla_General_07-12-2012_8_3'!C1074,"AAAAAF2/k0Q=")</f>
        <v>#VALUE!</v>
      </c>
      <c r="BR72" t="e">
        <f>AND('Planilla_General_07-12-2012_8_3'!D1074,"AAAAAF2/k0U=")</f>
        <v>#VALUE!</v>
      </c>
      <c r="BS72" t="e">
        <f>AND('Planilla_General_07-12-2012_8_3'!E1074,"AAAAAF2/k0Y=")</f>
        <v>#VALUE!</v>
      </c>
      <c r="BT72" t="e">
        <f>AND('Planilla_General_07-12-2012_8_3'!F1074,"AAAAAF2/k0c=")</f>
        <v>#VALUE!</v>
      </c>
      <c r="BU72" t="e">
        <f>AND('Planilla_General_07-12-2012_8_3'!G1074,"AAAAAF2/k0g=")</f>
        <v>#VALUE!</v>
      </c>
      <c r="BV72" t="e">
        <f>AND('Planilla_General_07-12-2012_8_3'!H1074,"AAAAAF2/k0k=")</f>
        <v>#VALUE!</v>
      </c>
      <c r="BW72" t="e">
        <f>AND('Planilla_General_07-12-2012_8_3'!I1074,"AAAAAF2/k0o=")</f>
        <v>#VALUE!</v>
      </c>
      <c r="BX72" t="e">
        <f>AND('Planilla_General_07-12-2012_8_3'!J1074,"AAAAAF2/k0s=")</f>
        <v>#VALUE!</v>
      </c>
      <c r="BY72" t="e">
        <f>AND('Planilla_General_07-12-2012_8_3'!K1074,"AAAAAF2/k0w=")</f>
        <v>#VALUE!</v>
      </c>
      <c r="BZ72" t="e">
        <f>AND('Planilla_General_07-12-2012_8_3'!L1074,"AAAAAF2/k00=")</f>
        <v>#VALUE!</v>
      </c>
      <c r="CA72" t="e">
        <f>AND('Planilla_General_07-12-2012_8_3'!M1074,"AAAAAF2/k04=")</f>
        <v>#VALUE!</v>
      </c>
      <c r="CB72" t="e">
        <f>AND('Planilla_General_07-12-2012_8_3'!N1074,"AAAAAF2/k08=")</f>
        <v>#VALUE!</v>
      </c>
      <c r="CC72" t="e">
        <f>AND('Planilla_General_07-12-2012_8_3'!O1074,"AAAAAF2/k1A=")</f>
        <v>#VALUE!</v>
      </c>
      <c r="CD72" t="e">
        <f>AND('Planilla_General_07-12-2012_8_3'!P1074,"AAAAAF2/k1E=")</f>
        <v>#VALUE!</v>
      </c>
      <c r="CE72">
        <f>IF('Planilla_General_07-12-2012_8_3'!1075:1075,"AAAAAF2/k1I=",0)</f>
        <v>0</v>
      </c>
      <c r="CF72" t="e">
        <f>AND('Planilla_General_07-12-2012_8_3'!A1075,"AAAAAF2/k1M=")</f>
        <v>#VALUE!</v>
      </c>
      <c r="CG72" t="e">
        <f>AND('Planilla_General_07-12-2012_8_3'!B1075,"AAAAAF2/k1Q=")</f>
        <v>#VALUE!</v>
      </c>
      <c r="CH72" t="e">
        <f>AND('Planilla_General_07-12-2012_8_3'!C1075,"AAAAAF2/k1U=")</f>
        <v>#VALUE!</v>
      </c>
      <c r="CI72" t="e">
        <f>AND('Planilla_General_07-12-2012_8_3'!D1075,"AAAAAF2/k1Y=")</f>
        <v>#VALUE!</v>
      </c>
      <c r="CJ72" t="e">
        <f>AND('Planilla_General_07-12-2012_8_3'!E1075,"AAAAAF2/k1c=")</f>
        <v>#VALUE!</v>
      </c>
      <c r="CK72" t="e">
        <f>AND('Planilla_General_07-12-2012_8_3'!F1075,"AAAAAF2/k1g=")</f>
        <v>#VALUE!</v>
      </c>
      <c r="CL72" t="e">
        <f>AND('Planilla_General_07-12-2012_8_3'!G1075,"AAAAAF2/k1k=")</f>
        <v>#VALUE!</v>
      </c>
      <c r="CM72" t="e">
        <f>AND('Planilla_General_07-12-2012_8_3'!H1075,"AAAAAF2/k1o=")</f>
        <v>#VALUE!</v>
      </c>
      <c r="CN72" t="e">
        <f>AND('Planilla_General_07-12-2012_8_3'!I1075,"AAAAAF2/k1s=")</f>
        <v>#VALUE!</v>
      </c>
      <c r="CO72" t="e">
        <f>AND('Planilla_General_07-12-2012_8_3'!J1075,"AAAAAF2/k1w=")</f>
        <v>#VALUE!</v>
      </c>
      <c r="CP72" t="e">
        <f>AND('Planilla_General_07-12-2012_8_3'!K1075,"AAAAAF2/k10=")</f>
        <v>#VALUE!</v>
      </c>
      <c r="CQ72" t="e">
        <f>AND('Planilla_General_07-12-2012_8_3'!L1075,"AAAAAF2/k14=")</f>
        <v>#VALUE!</v>
      </c>
      <c r="CR72" t="e">
        <f>AND('Planilla_General_07-12-2012_8_3'!M1075,"AAAAAF2/k18=")</f>
        <v>#VALUE!</v>
      </c>
      <c r="CS72" t="e">
        <f>AND('Planilla_General_07-12-2012_8_3'!N1075,"AAAAAF2/k2A=")</f>
        <v>#VALUE!</v>
      </c>
      <c r="CT72" t="e">
        <f>AND('Planilla_General_07-12-2012_8_3'!O1075,"AAAAAF2/k2E=")</f>
        <v>#VALUE!</v>
      </c>
      <c r="CU72" t="e">
        <f>AND('Planilla_General_07-12-2012_8_3'!P1075,"AAAAAF2/k2I=")</f>
        <v>#VALUE!</v>
      </c>
      <c r="CV72">
        <f>IF('Planilla_General_07-12-2012_8_3'!1076:1076,"AAAAAF2/k2M=",0)</f>
        <v>0</v>
      </c>
      <c r="CW72" t="e">
        <f>AND('Planilla_General_07-12-2012_8_3'!A1076,"AAAAAF2/k2Q=")</f>
        <v>#VALUE!</v>
      </c>
      <c r="CX72" t="e">
        <f>AND('Planilla_General_07-12-2012_8_3'!B1076,"AAAAAF2/k2U=")</f>
        <v>#VALUE!</v>
      </c>
      <c r="CY72" t="e">
        <f>AND('Planilla_General_07-12-2012_8_3'!C1076,"AAAAAF2/k2Y=")</f>
        <v>#VALUE!</v>
      </c>
      <c r="CZ72" t="e">
        <f>AND('Planilla_General_07-12-2012_8_3'!D1076,"AAAAAF2/k2c=")</f>
        <v>#VALUE!</v>
      </c>
      <c r="DA72" t="e">
        <f>AND('Planilla_General_07-12-2012_8_3'!E1076,"AAAAAF2/k2g=")</f>
        <v>#VALUE!</v>
      </c>
      <c r="DB72" t="e">
        <f>AND('Planilla_General_07-12-2012_8_3'!F1076,"AAAAAF2/k2k=")</f>
        <v>#VALUE!</v>
      </c>
      <c r="DC72" t="e">
        <f>AND('Planilla_General_07-12-2012_8_3'!G1076,"AAAAAF2/k2o=")</f>
        <v>#VALUE!</v>
      </c>
      <c r="DD72" t="e">
        <f>AND('Planilla_General_07-12-2012_8_3'!H1076,"AAAAAF2/k2s=")</f>
        <v>#VALUE!</v>
      </c>
      <c r="DE72" t="e">
        <f>AND('Planilla_General_07-12-2012_8_3'!I1076,"AAAAAF2/k2w=")</f>
        <v>#VALUE!</v>
      </c>
      <c r="DF72" t="e">
        <f>AND('Planilla_General_07-12-2012_8_3'!J1076,"AAAAAF2/k20=")</f>
        <v>#VALUE!</v>
      </c>
      <c r="DG72" t="e">
        <f>AND('Planilla_General_07-12-2012_8_3'!K1076,"AAAAAF2/k24=")</f>
        <v>#VALUE!</v>
      </c>
      <c r="DH72" t="e">
        <f>AND('Planilla_General_07-12-2012_8_3'!L1076,"AAAAAF2/k28=")</f>
        <v>#VALUE!</v>
      </c>
      <c r="DI72" t="e">
        <f>AND('Planilla_General_07-12-2012_8_3'!M1076,"AAAAAF2/k3A=")</f>
        <v>#VALUE!</v>
      </c>
      <c r="DJ72" t="e">
        <f>AND('Planilla_General_07-12-2012_8_3'!N1076,"AAAAAF2/k3E=")</f>
        <v>#VALUE!</v>
      </c>
      <c r="DK72" t="e">
        <f>AND('Planilla_General_07-12-2012_8_3'!O1076,"AAAAAF2/k3I=")</f>
        <v>#VALUE!</v>
      </c>
      <c r="DL72" t="e">
        <f>AND('Planilla_General_07-12-2012_8_3'!P1076,"AAAAAF2/k3M=")</f>
        <v>#VALUE!</v>
      </c>
      <c r="DM72">
        <f>IF('Planilla_General_07-12-2012_8_3'!1077:1077,"AAAAAF2/k3Q=",0)</f>
        <v>0</v>
      </c>
      <c r="DN72" t="e">
        <f>AND('Planilla_General_07-12-2012_8_3'!A1077,"AAAAAF2/k3U=")</f>
        <v>#VALUE!</v>
      </c>
      <c r="DO72" t="e">
        <f>AND('Planilla_General_07-12-2012_8_3'!B1077,"AAAAAF2/k3Y=")</f>
        <v>#VALUE!</v>
      </c>
      <c r="DP72" t="e">
        <f>AND('Planilla_General_07-12-2012_8_3'!C1077,"AAAAAF2/k3c=")</f>
        <v>#VALUE!</v>
      </c>
      <c r="DQ72" t="e">
        <f>AND('Planilla_General_07-12-2012_8_3'!D1077,"AAAAAF2/k3g=")</f>
        <v>#VALUE!</v>
      </c>
      <c r="DR72" t="e">
        <f>AND('Planilla_General_07-12-2012_8_3'!E1077,"AAAAAF2/k3k=")</f>
        <v>#VALUE!</v>
      </c>
      <c r="DS72" t="e">
        <f>AND('Planilla_General_07-12-2012_8_3'!F1077,"AAAAAF2/k3o=")</f>
        <v>#VALUE!</v>
      </c>
      <c r="DT72" t="e">
        <f>AND('Planilla_General_07-12-2012_8_3'!G1077,"AAAAAF2/k3s=")</f>
        <v>#VALUE!</v>
      </c>
      <c r="DU72" t="e">
        <f>AND('Planilla_General_07-12-2012_8_3'!H1077,"AAAAAF2/k3w=")</f>
        <v>#VALUE!</v>
      </c>
      <c r="DV72" t="e">
        <f>AND('Planilla_General_07-12-2012_8_3'!I1077,"AAAAAF2/k30=")</f>
        <v>#VALUE!</v>
      </c>
      <c r="DW72" t="e">
        <f>AND('Planilla_General_07-12-2012_8_3'!J1077,"AAAAAF2/k34=")</f>
        <v>#VALUE!</v>
      </c>
      <c r="DX72" t="e">
        <f>AND('Planilla_General_07-12-2012_8_3'!K1077,"AAAAAF2/k38=")</f>
        <v>#VALUE!</v>
      </c>
      <c r="DY72" t="e">
        <f>AND('Planilla_General_07-12-2012_8_3'!L1077,"AAAAAF2/k4A=")</f>
        <v>#VALUE!</v>
      </c>
      <c r="DZ72" t="e">
        <f>AND('Planilla_General_07-12-2012_8_3'!M1077,"AAAAAF2/k4E=")</f>
        <v>#VALUE!</v>
      </c>
      <c r="EA72" t="e">
        <f>AND('Planilla_General_07-12-2012_8_3'!N1077,"AAAAAF2/k4I=")</f>
        <v>#VALUE!</v>
      </c>
      <c r="EB72" t="e">
        <f>AND('Planilla_General_07-12-2012_8_3'!O1077,"AAAAAF2/k4M=")</f>
        <v>#VALUE!</v>
      </c>
      <c r="EC72" t="e">
        <f>AND('Planilla_General_07-12-2012_8_3'!P1077,"AAAAAF2/k4Q=")</f>
        <v>#VALUE!</v>
      </c>
      <c r="ED72">
        <f>IF('Planilla_General_07-12-2012_8_3'!1078:1078,"AAAAAF2/k4U=",0)</f>
        <v>0</v>
      </c>
      <c r="EE72" t="e">
        <f>AND('Planilla_General_07-12-2012_8_3'!A1078,"AAAAAF2/k4Y=")</f>
        <v>#VALUE!</v>
      </c>
      <c r="EF72" t="e">
        <f>AND('Planilla_General_07-12-2012_8_3'!B1078,"AAAAAF2/k4c=")</f>
        <v>#VALUE!</v>
      </c>
      <c r="EG72" t="e">
        <f>AND('Planilla_General_07-12-2012_8_3'!C1078,"AAAAAF2/k4g=")</f>
        <v>#VALUE!</v>
      </c>
      <c r="EH72" t="e">
        <f>AND('Planilla_General_07-12-2012_8_3'!D1078,"AAAAAF2/k4k=")</f>
        <v>#VALUE!</v>
      </c>
      <c r="EI72" t="e">
        <f>AND('Planilla_General_07-12-2012_8_3'!E1078,"AAAAAF2/k4o=")</f>
        <v>#VALUE!</v>
      </c>
      <c r="EJ72" t="e">
        <f>AND('Planilla_General_07-12-2012_8_3'!F1078,"AAAAAF2/k4s=")</f>
        <v>#VALUE!</v>
      </c>
      <c r="EK72" t="e">
        <f>AND('Planilla_General_07-12-2012_8_3'!G1078,"AAAAAF2/k4w=")</f>
        <v>#VALUE!</v>
      </c>
      <c r="EL72" t="e">
        <f>AND('Planilla_General_07-12-2012_8_3'!H1078,"AAAAAF2/k40=")</f>
        <v>#VALUE!</v>
      </c>
      <c r="EM72" t="e">
        <f>AND('Planilla_General_07-12-2012_8_3'!I1078,"AAAAAF2/k44=")</f>
        <v>#VALUE!</v>
      </c>
      <c r="EN72" t="e">
        <f>AND('Planilla_General_07-12-2012_8_3'!J1078,"AAAAAF2/k48=")</f>
        <v>#VALUE!</v>
      </c>
      <c r="EO72" t="e">
        <f>AND('Planilla_General_07-12-2012_8_3'!K1078,"AAAAAF2/k5A=")</f>
        <v>#VALUE!</v>
      </c>
      <c r="EP72" t="e">
        <f>AND('Planilla_General_07-12-2012_8_3'!L1078,"AAAAAF2/k5E=")</f>
        <v>#VALUE!</v>
      </c>
      <c r="EQ72" t="e">
        <f>AND('Planilla_General_07-12-2012_8_3'!M1078,"AAAAAF2/k5I=")</f>
        <v>#VALUE!</v>
      </c>
      <c r="ER72" t="e">
        <f>AND('Planilla_General_07-12-2012_8_3'!N1078,"AAAAAF2/k5M=")</f>
        <v>#VALUE!</v>
      </c>
      <c r="ES72" t="e">
        <f>AND('Planilla_General_07-12-2012_8_3'!O1078,"AAAAAF2/k5Q=")</f>
        <v>#VALUE!</v>
      </c>
      <c r="ET72" t="e">
        <f>AND('Planilla_General_07-12-2012_8_3'!P1078,"AAAAAF2/k5U=")</f>
        <v>#VALUE!</v>
      </c>
      <c r="EU72">
        <f>IF('Planilla_General_07-12-2012_8_3'!1079:1079,"AAAAAF2/k5Y=",0)</f>
        <v>0</v>
      </c>
      <c r="EV72" t="e">
        <f>AND('Planilla_General_07-12-2012_8_3'!A1079,"AAAAAF2/k5c=")</f>
        <v>#VALUE!</v>
      </c>
      <c r="EW72" t="e">
        <f>AND('Planilla_General_07-12-2012_8_3'!B1079,"AAAAAF2/k5g=")</f>
        <v>#VALUE!</v>
      </c>
      <c r="EX72" t="e">
        <f>AND('Planilla_General_07-12-2012_8_3'!C1079,"AAAAAF2/k5k=")</f>
        <v>#VALUE!</v>
      </c>
      <c r="EY72" t="e">
        <f>AND('Planilla_General_07-12-2012_8_3'!D1079,"AAAAAF2/k5o=")</f>
        <v>#VALUE!</v>
      </c>
      <c r="EZ72" t="e">
        <f>AND('Planilla_General_07-12-2012_8_3'!E1079,"AAAAAF2/k5s=")</f>
        <v>#VALUE!</v>
      </c>
      <c r="FA72" t="e">
        <f>AND('Planilla_General_07-12-2012_8_3'!F1079,"AAAAAF2/k5w=")</f>
        <v>#VALUE!</v>
      </c>
      <c r="FB72" t="e">
        <f>AND('Planilla_General_07-12-2012_8_3'!G1079,"AAAAAF2/k50=")</f>
        <v>#VALUE!</v>
      </c>
      <c r="FC72" t="e">
        <f>AND('Planilla_General_07-12-2012_8_3'!H1079,"AAAAAF2/k54=")</f>
        <v>#VALUE!</v>
      </c>
      <c r="FD72" t="e">
        <f>AND('Planilla_General_07-12-2012_8_3'!I1079,"AAAAAF2/k58=")</f>
        <v>#VALUE!</v>
      </c>
      <c r="FE72" t="e">
        <f>AND('Planilla_General_07-12-2012_8_3'!J1079,"AAAAAF2/k6A=")</f>
        <v>#VALUE!</v>
      </c>
      <c r="FF72" t="e">
        <f>AND('Planilla_General_07-12-2012_8_3'!K1079,"AAAAAF2/k6E=")</f>
        <v>#VALUE!</v>
      </c>
      <c r="FG72" t="e">
        <f>AND('Planilla_General_07-12-2012_8_3'!L1079,"AAAAAF2/k6I=")</f>
        <v>#VALUE!</v>
      </c>
      <c r="FH72" t="e">
        <f>AND('Planilla_General_07-12-2012_8_3'!M1079,"AAAAAF2/k6M=")</f>
        <v>#VALUE!</v>
      </c>
      <c r="FI72" t="e">
        <f>AND('Planilla_General_07-12-2012_8_3'!N1079,"AAAAAF2/k6Q=")</f>
        <v>#VALUE!</v>
      </c>
      <c r="FJ72" t="e">
        <f>AND('Planilla_General_07-12-2012_8_3'!O1079,"AAAAAF2/k6U=")</f>
        <v>#VALUE!</v>
      </c>
      <c r="FK72" t="e">
        <f>AND('Planilla_General_07-12-2012_8_3'!P1079,"AAAAAF2/k6Y=")</f>
        <v>#VALUE!</v>
      </c>
      <c r="FL72">
        <f>IF('Planilla_General_07-12-2012_8_3'!1080:1080,"AAAAAF2/k6c=",0)</f>
        <v>0</v>
      </c>
      <c r="FM72" t="e">
        <f>AND('Planilla_General_07-12-2012_8_3'!A1080,"AAAAAF2/k6g=")</f>
        <v>#VALUE!</v>
      </c>
      <c r="FN72" t="e">
        <f>AND('Planilla_General_07-12-2012_8_3'!B1080,"AAAAAF2/k6k=")</f>
        <v>#VALUE!</v>
      </c>
      <c r="FO72" t="e">
        <f>AND('Planilla_General_07-12-2012_8_3'!C1080,"AAAAAF2/k6o=")</f>
        <v>#VALUE!</v>
      </c>
      <c r="FP72" t="e">
        <f>AND('Planilla_General_07-12-2012_8_3'!D1080,"AAAAAF2/k6s=")</f>
        <v>#VALUE!</v>
      </c>
      <c r="FQ72" t="e">
        <f>AND('Planilla_General_07-12-2012_8_3'!E1080,"AAAAAF2/k6w=")</f>
        <v>#VALUE!</v>
      </c>
      <c r="FR72" t="e">
        <f>AND('Planilla_General_07-12-2012_8_3'!F1080,"AAAAAF2/k60=")</f>
        <v>#VALUE!</v>
      </c>
      <c r="FS72" t="e">
        <f>AND('Planilla_General_07-12-2012_8_3'!G1080,"AAAAAF2/k64=")</f>
        <v>#VALUE!</v>
      </c>
      <c r="FT72" t="e">
        <f>AND('Planilla_General_07-12-2012_8_3'!H1080,"AAAAAF2/k68=")</f>
        <v>#VALUE!</v>
      </c>
      <c r="FU72" t="e">
        <f>AND('Planilla_General_07-12-2012_8_3'!I1080,"AAAAAF2/k7A=")</f>
        <v>#VALUE!</v>
      </c>
      <c r="FV72" t="e">
        <f>AND('Planilla_General_07-12-2012_8_3'!J1080,"AAAAAF2/k7E=")</f>
        <v>#VALUE!</v>
      </c>
      <c r="FW72" t="e">
        <f>AND('Planilla_General_07-12-2012_8_3'!K1080,"AAAAAF2/k7I=")</f>
        <v>#VALUE!</v>
      </c>
      <c r="FX72" t="e">
        <f>AND('Planilla_General_07-12-2012_8_3'!L1080,"AAAAAF2/k7M=")</f>
        <v>#VALUE!</v>
      </c>
      <c r="FY72" t="e">
        <f>AND('Planilla_General_07-12-2012_8_3'!M1080,"AAAAAF2/k7Q=")</f>
        <v>#VALUE!</v>
      </c>
      <c r="FZ72" t="e">
        <f>AND('Planilla_General_07-12-2012_8_3'!N1080,"AAAAAF2/k7U=")</f>
        <v>#VALUE!</v>
      </c>
      <c r="GA72" t="e">
        <f>AND('Planilla_General_07-12-2012_8_3'!O1080,"AAAAAF2/k7Y=")</f>
        <v>#VALUE!</v>
      </c>
      <c r="GB72" t="e">
        <f>AND('Planilla_General_07-12-2012_8_3'!P1080,"AAAAAF2/k7c=")</f>
        <v>#VALUE!</v>
      </c>
      <c r="GC72">
        <f>IF('Planilla_General_07-12-2012_8_3'!1081:1081,"AAAAAF2/k7g=",0)</f>
        <v>0</v>
      </c>
      <c r="GD72" t="e">
        <f>AND('Planilla_General_07-12-2012_8_3'!A1081,"AAAAAF2/k7k=")</f>
        <v>#VALUE!</v>
      </c>
      <c r="GE72" t="e">
        <f>AND('Planilla_General_07-12-2012_8_3'!B1081,"AAAAAF2/k7o=")</f>
        <v>#VALUE!</v>
      </c>
      <c r="GF72" t="e">
        <f>AND('Planilla_General_07-12-2012_8_3'!C1081,"AAAAAF2/k7s=")</f>
        <v>#VALUE!</v>
      </c>
      <c r="GG72" t="e">
        <f>AND('Planilla_General_07-12-2012_8_3'!D1081,"AAAAAF2/k7w=")</f>
        <v>#VALUE!</v>
      </c>
      <c r="GH72" t="e">
        <f>AND('Planilla_General_07-12-2012_8_3'!E1081,"AAAAAF2/k70=")</f>
        <v>#VALUE!</v>
      </c>
      <c r="GI72" t="e">
        <f>AND('Planilla_General_07-12-2012_8_3'!F1081,"AAAAAF2/k74=")</f>
        <v>#VALUE!</v>
      </c>
      <c r="GJ72" t="e">
        <f>AND('Planilla_General_07-12-2012_8_3'!G1081,"AAAAAF2/k78=")</f>
        <v>#VALUE!</v>
      </c>
      <c r="GK72" t="e">
        <f>AND('Planilla_General_07-12-2012_8_3'!H1081,"AAAAAF2/k8A=")</f>
        <v>#VALUE!</v>
      </c>
      <c r="GL72" t="e">
        <f>AND('Planilla_General_07-12-2012_8_3'!I1081,"AAAAAF2/k8E=")</f>
        <v>#VALUE!</v>
      </c>
      <c r="GM72" t="e">
        <f>AND('Planilla_General_07-12-2012_8_3'!J1081,"AAAAAF2/k8I=")</f>
        <v>#VALUE!</v>
      </c>
      <c r="GN72" t="e">
        <f>AND('Planilla_General_07-12-2012_8_3'!K1081,"AAAAAF2/k8M=")</f>
        <v>#VALUE!</v>
      </c>
      <c r="GO72" t="e">
        <f>AND('Planilla_General_07-12-2012_8_3'!L1081,"AAAAAF2/k8Q=")</f>
        <v>#VALUE!</v>
      </c>
      <c r="GP72" t="e">
        <f>AND('Planilla_General_07-12-2012_8_3'!M1081,"AAAAAF2/k8U=")</f>
        <v>#VALUE!</v>
      </c>
      <c r="GQ72" t="e">
        <f>AND('Planilla_General_07-12-2012_8_3'!N1081,"AAAAAF2/k8Y=")</f>
        <v>#VALUE!</v>
      </c>
      <c r="GR72" t="e">
        <f>AND('Planilla_General_07-12-2012_8_3'!O1081,"AAAAAF2/k8c=")</f>
        <v>#VALUE!</v>
      </c>
      <c r="GS72" t="e">
        <f>AND('Planilla_General_07-12-2012_8_3'!P1081,"AAAAAF2/k8g=")</f>
        <v>#VALUE!</v>
      </c>
      <c r="GT72">
        <f>IF('Planilla_General_07-12-2012_8_3'!1082:1082,"AAAAAF2/k8k=",0)</f>
        <v>0</v>
      </c>
      <c r="GU72" t="e">
        <f>AND('Planilla_General_07-12-2012_8_3'!A1082,"AAAAAF2/k8o=")</f>
        <v>#VALUE!</v>
      </c>
      <c r="GV72" t="e">
        <f>AND('Planilla_General_07-12-2012_8_3'!B1082,"AAAAAF2/k8s=")</f>
        <v>#VALUE!</v>
      </c>
      <c r="GW72" t="e">
        <f>AND('Planilla_General_07-12-2012_8_3'!C1082,"AAAAAF2/k8w=")</f>
        <v>#VALUE!</v>
      </c>
      <c r="GX72" t="e">
        <f>AND('Planilla_General_07-12-2012_8_3'!D1082,"AAAAAF2/k80=")</f>
        <v>#VALUE!</v>
      </c>
      <c r="GY72" t="e">
        <f>AND('Planilla_General_07-12-2012_8_3'!E1082,"AAAAAF2/k84=")</f>
        <v>#VALUE!</v>
      </c>
      <c r="GZ72" t="e">
        <f>AND('Planilla_General_07-12-2012_8_3'!F1082,"AAAAAF2/k88=")</f>
        <v>#VALUE!</v>
      </c>
      <c r="HA72" t="e">
        <f>AND('Planilla_General_07-12-2012_8_3'!G1082,"AAAAAF2/k9A=")</f>
        <v>#VALUE!</v>
      </c>
      <c r="HB72" t="e">
        <f>AND('Planilla_General_07-12-2012_8_3'!H1082,"AAAAAF2/k9E=")</f>
        <v>#VALUE!</v>
      </c>
      <c r="HC72" t="e">
        <f>AND('Planilla_General_07-12-2012_8_3'!I1082,"AAAAAF2/k9I=")</f>
        <v>#VALUE!</v>
      </c>
      <c r="HD72" t="e">
        <f>AND('Planilla_General_07-12-2012_8_3'!J1082,"AAAAAF2/k9M=")</f>
        <v>#VALUE!</v>
      </c>
      <c r="HE72" t="e">
        <f>AND('Planilla_General_07-12-2012_8_3'!K1082,"AAAAAF2/k9Q=")</f>
        <v>#VALUE!</v>
      </c>
      <c r="HF72" t="e">
        <f>AND('Planilla_General_07-12-2012_8_3'!L1082,"AAAAAF2/k9U=")</f>
        <v>#VALUE!</v>
      </c>
      <c r="HG72" t="e">
        <f>AND('Planilla_General_07-12-2012_8_3'!M1082,"AAAAAF2/k9Y=")</f>
        <v>#VALUE!</v>
      </c>
      <c r="HH72" t="e">
        <f>AND('Planilla_General_07-12-2012_8_3'!N1082,"AAAAAF2/k9c=")</f>
        <v>#VALUE!</v>
      </c>
      <c r="HI72" t="e">
        <f>AND('Planilla_General_07-12-2012_8_3'!O1082,"AAAAAF2/k9g=")</f>
        <v>#VALUE!</v>
      </c>
      <c r="HJ72" t="e">
        <f>AND('Planilla_General_07-12-2012_8_3'!P1082,"AAAAAF2/k9k=")</f>
        <v>#VALUE!</v>
      </c>
      <c r="HK72">
        <f>IF('Planilla_General_07-12-2012_8_3'!1083:1083,"AAAAAF2/k9o=",0)</f>
        <v>0</v>
      </c>
      <c r="HL72" t="e">
        <f>AND('Planilla_General_07-12-2012_8_3'!A1083,"AAAAAF2/k9s=")</f>
        <v>#VALUE!</v>
      </c>
      <c r="HM72" t="e">
        <f>AND('Planilla_General_07-12-2012_8_3'!B1083,"AAAAAF2/k9w=")</f>
        <v>#VALUE!</v>
      </c>
      <c r="HN72" t="e">
        <f>AND('Planilla_General_07-12-2012_8_3'!C1083,"AAAAAF2/k90=")</f>
        <v>#VALUE!</v>
      </c>
      <c r="HO72" t="e">
        <f>AND('Planilla_General_07-12-2012_8_3'!D1083,"AAAAAF2/k94=")</f>
        <v>#VALUE!</v>
      </c>
      <c r="HP72" t="e">
        <f>AND('Planilla_General_07-12-2012_8_3'!E1083,"AAAAAF2/k98=")</f>
        <v>#VALUE!</v>
      </c>
      <c r="HQ72" t="e">
        <f>AND('Planilla_General_07-12-2012_8_3'!F1083,"AAAAAF2/k+A=")</f>
        <v>#VALUE!</v>
      </c>
      <c r="HR72" t="e">
        <f>AND('Planilla_General_07-12-2012_8_3'!G1083,"AAAAAF2/k+E=")</f>
        <v>#VALUE!</v>
      </c>
      <c r="HS72" t="e">
        <f>AND('Planilla_General_07-12-2012_8_3'!H1083,"AAAAAF2/k+I=")</f>
        <v>#VALUE!</v>
      </c>
      <c r="HT72" t="e">
        <f>AND('Planilla_General_07-12-2012_8_3'!I1083,"AAAAAF2/k+M=")</f>
        <v>#VALUE!</v>
      </c>
      <c r="HU72" t="e">
        <f>AND('Planilla_General_07-12-2012_8_3'!J1083,"AAAAAF2/k+Q=")</f>
        <v>#VALUE!</v>
      </c>
      <c r="HV72" t="e">
        <f>AND('Planilla_General_07-12-2012_8_3'!K1083,"AAAAAF2/k+U=")</f>
        <v>#VALUE!</v>
      </c>
      <c r="HW72" t="e">
        <f>AND('Planilla_General_07-12-2012_8_3'!L1083,"AAAAAF2/k+Y=")</f>
        <v>#VALUE!</v>
      </c>
      <c r="HX72" t="e">
        <f>AND('Planilla_General_07-12-2012_8_3'!M1083,"AAAAAF2/k+c=")</f>
        <v>#VALUE!</v>
      </c>
      <c r="HY72" t="e">
        <f>AND('Planilla_General_07-12-2012_8_3'!N1083,"AAAAAF2/k+g=")</f>
        <v>#VALUE!</v>
      </c>
      <c r="HZ72" t="e">
        <f>AND('Planilla_General_07-12-2012_8_3'!O1083,"AAAAAF2/k+k=")</f>
        <v>#VALUE!</v>
      </c>
      <c r="IA72" t="e">
        <f>AND('Planilla_General_07-12-2012_8_3'!P1083,"AAAAAF2/k+o=")</f>
        <v>#VALUE!</v>
      </c>
      <c r="IB72">
        <f>IF('Planilla_General_07-12-2012_8_3'!1084:1084,"AAAAAF2/k+s=",0)</f>
        <v>0</v>
      </c>
      <c r="IC72" t="e">
        <f>AND('Planilla_General_07-12-2012_8_3'!A1084,"AAAAAF2/k+w=")</f>
        <v>#VALUE!</v>
      </c>
      <c r="ID72" t="e">
        <f>AND('Planilla_General_07-12-2012_8_3'!B1084,"AAAAAF2/k+0=")</f>
        <v>#VALUE!</v>
      </c>
      <c r="IE72" t="e">
        <f>AND('Planilla_General_07-12-2012_8_3'!C1084,"AAAAAF2/k+4=")</f>
        <v>#VALUE!</v>
      </c>
      <c r="IF72" t="e">
        <f>AND('Planilla_General_07-12-2012_8_3'!D1084,"AAAAAF2/k+8=")</f>
        <v>#VALUE!</v>
      </c>
      <c r="IG72" t="e">
        <f>AND('Planilla_General_07-12-2012_8_3'!E1084,"AAAAAF2/k/A=")</f>
        <v>#VALUE!</v>
      </c>
      <c r="IH72" t="e">
        <f>AND('Planilla_General_07-12-2012_8_3'!F1084,"AAAAAF2/k/E=")</f>
        <v>#VALUE!</v>
      </c>
      <c r="II72" t="e">
        <f>AND('Planilla_General_07-12-2012_8_3'!G1084,"AAAAAF2/k/I=")</f>
        <v>#VALUE!</v>
      </c>
      <c r="IJ72" t="e">
        <f>AND('Planilla_General_07-12-2012_8_3'!H1084,"AAAAAF2/k/M=")</f>
        <v>#VALUE!</v>
      </c>
      <c r="IK72" t="e">
        <f>AND('Planilla_General_07-12-2012_8_3'!I1084,"AAAAAF2/k/Q=")</f>
        <v>#VALUE!</v>
      </c>
      <c r="IL72" t="e">
        <f>AND('Planilla_General_07-12-2012_8_3'!J1084,"AAAAAF2/k/U=")</f>
        <v>#VALUE!</v>
      </c>
      <c r="IM72" t="e">
        <f>AND('Planilla_General_07-12-2012_8_3'!K1084,"AAAAAF2/k/Y=")</f>
        <v>#VALUE!</v>
      </c>
      <c r="IN72" t="e">
        <f>AND('Planilla_General_07-12-2012_8_3'!L1084,"AAAAAF2/k/c=")</f>
        <v>#VALUE!</v>
      </c>
      <c r="IO72" t="e">
        <f>AND('Planilla_General_07-12-2012_8_3'!M1084,"AAAAAF2/k/g=")</f>
        <v>#VALUE!</v>
      </c>
      <c r="IP72" t="e">
        <f>AND('Planilla_General_07-12-2012_8_3'!N1084,"AAAAAF2/k/k=")</f>
        <v>#VALUE!</v>
      </c>
      <c r="IQ72" t="e">
        <f>AND('Planilla_General_07-12-2012_8_3'!O1084,"AAAAAF2/k/o=")</f>
        <v>#VALUE!</v>
      </c>
      <c r="IR72" t="e">
        <f>AND('Planilla_General_07-12-2012_8_3'!P1084,"AAAAAF2/k/s=")</f>
        <v>#VALUE!</v>
      </c>
      <c r="IS72">
        <f>IF('Planilla_General_07-12-2012_8_3'!1085:1085,"AAAAAF2/k/w=",0)</f>
        <v>0</v>
      </c>
      <c r="IT72" t="e">
        <f>AND('Planilla_General_07-12-2012_8_3'!A1085,"AAAAAF2/k/0=")</f>
        <v>#VALUE!</v>
      </c>
      <c r="IU72" t="e">
        <f>AND('Planilla_General_07-12-2012_8_3'!B1085,"AAAAAF2/k/4=")</f>
        <v>#VALUE!</v>
      </c>
      <c r="IV72" t="e">
        <f>AND('Planilla_General_07-12-2012_8_3'!C1085,"AAAAAF2/k/8=")</f>
        <v>#VALUE!</v>
      </c>
    </row>
    <row r="73" spans="1:256" x14ac:dyDescent="0.25">
      <c r="A73" t="e">
        <f>AND('Planilla_General_07-12-2012_8_3'!D1085,"AAAAAH67fwA=")</f>
        <v>#VALUE!</v>
      </c>
      <c r="B73" t="e">
        <f>AND('Planilla_General_07-12-2012_8_3'!E1085,"AAAAAH67fwE=")</f>
        <v>#VALUE!</v>
      </c>
      <c r="C73" t="e">
        <f>AND('Planilla_General_07-12-2012_8_3'!F1085,"AAAAAH67fwI=")</f>
        <v>#VALUE!</v>
      </c>
      <c r="D73" t="e">
        <f>AND('Planilla_General_07-12-2012_8_3'!G1085,"AAAAAH67fwM=")</f>
        <v>#VALUE!</v>
      </c>
      <c r="E73" t="e">
        <f>AND('Planilla_General_07-12-2012_8_3'!H1085,"AAAAAH67fwQ=")</f>
        <v>#VALUE!</v>
      </c>
      <c r="F73" t="e">
        <f>AND('Planilla_General_07-12-2012_8_3'!I1085,"AAAAAH67fwU=")</f>
        <v>#VALUE!</v>
      </c>
      <c r="G73" t="e">
        <f>AND('Planilla_General_07-12-2012_8_3'!J1085,"AAAAAH67fwY=")</f>
        <v>#VALUE!</v>
      </c>
      <c r="H73" t="e">
        <f>AND('Planilla_General_07-12-2012_8_3'!K1085,"AAAAAH67fwc=")</f>
        <v>#VALUE!</v>
      </c>
      <c r="I73" t="e">
        <f>AND('Planilla_General_07-12-2012_8_3'!L1085,"AAAAAH67fwg=")</f>
        <v>#VALUE!</v>
      </c>
      <c r="J73" t="e">
        <f>AND('Planilla_General_07-12-2012_8_3'!M1085,"AAAAAH67fwk=")</f>
        <v>#VALUE!</v>
      </c>
      <c r="K73" t="e">
        <f>AND('Planilla_General_07-12-2012_8_3'!N1085,"AAAAAH67fwo=")</f>
        <v>#VALUE!</v>
      </c>
      <c r="L73" t="e">
        <f>AND('Planilla_General_07-12-2012_8_3'!O1085,"AAAAAH67fws=")</f>
        <v>#VALUE!</v>
      </c>
      <c r="M73" t="e">
        <f>AND('Planilla_General_07-12-2012_8_3'!P1085,"AAAAAH67fww=")</f>
        <v>#VALUE!</v>
      </c>
      <c r="N73" t="str">
        <f>IF('Planilla_General_07-12-2012_8_3'!1086:1086,"AAAAAH67fw0=",0)</f>
        <v>AAAAAH67fw0=</v>
      </c>
      <c r="O73" t="e">
        <f>AND('Planilla_General_07-12-2012_8_3'!A1086,"AAAAAH67fw4=")</f>
        <v>#VALUE!</v>
      </c>
      <c r="P73" t="e">
        <f>AND('Planilla_General_07-12-2012_8_3'!B1086,"AAAAAH67fw8=")</f>
        <v>#VALUE!</v>
      </c>
      <c r="Q73" t="e">
        <f>AND('Planilla_General_07-12-2012_8_3'!C1086,"AAAAAH67fxA=")</f>
        <v>#VALUE!</v>
      </c>
      <c r="R73" t="e">
        <f>AND('Planilla_General_07-12-2012_8_3'!D1086,"AAAAAH67fxE=")</f>
        <v>#VALUE!</v>
      </c>
      <c r="S73" t="e">
        <f>AND('Planilla_General_07-12-2012_8_3'!E1086,"AAAAAH67fxI=")</f>
        <v>#VALUE!</v>
      </c>
      <c r="T73" t="e">
        <f>AND('Planilla_General_07-12-2012_8_3'!F1086,"AAAAAH67fxM=")</f>
        <v>#VALUE!</v>
      </c>
      <c r="U73" t="e">
        <f>AND('Planilla_General_07-12-2012_8_3'!G1086,"AAAAAH67fxQ=")</f>
        <v>#VALUE!</v>
      </c>
      <c r="V73" t="e">
        <f>AND('Planilla_General_07-12-2012_8_3'!H1086,"AAAAAH67fxU=")</f>
        <v>#VALUE!</v>
      </c>
      <c r="W73" t="e">
        <f>AND('Planilla_General_07-12-2012_8_3'!I1086,"AAAAAH67fxY=")</f>
        <v>#VALUE!</v>
      </c>
      <c r="X73" t="e">
        <f>AND('Planilla_General_07-12-2012_8_3'!J1086,"AAAAAH67fxc=")</f>
        <v>#VALUE!</v>
      </c>
      <c r="Y73" t="e">
        <f>AND('Planilla_General_07-12-2012_8_3'!K1086,"AAAAAH67fxg=")</f>
        <v>#VALUE!</v>
      </c>
      <c r="Z73" t="e">
        <f>AND('Planilla_General_07-12-2012_8_3'!L1086,"AAAAAH67fxk=")</f>
        <v>#VALUE!</v>
      </c>
      <c r="AA73" t="e">
        <f>AND('Planilla_General_07-12-2012_8_3'!M1086,"AAAAAH67fxo=")</f>
        <v>#VALUE!</v>
      </c>
      <c r="AB73" t="e">
        <f>AND('Planilla_General_07-12-2012_8_3'!N1086,"AAAAAH67fxs=")</f>
        <v>#VALUE!</v>
      </c>
      <c r="AC73" t="e">
        <f>AND('Planilla_General_07-12-2012_8_3'!O1086,"AAAAAH67fxw=")</f>
        <v>#VALUE!</v>
      </c>
      <c r="AD73" t="e">
        <f>AND('Planilla_General_07-12-2012_8_3'!P1086,"AAAAAH67fx0=")</f>
        <v>#VALUE!</v>
      </c>
      <c r="AE73">
        <f>IF('Planilla_General_07-12-2012_8_3'!1087:1087,"AAAAAH67fx4=",0)</f>
        <v>0</v>
      </c>
      <c r="AF73" t="e">
        <f>AND('Planilla_General_07-12-2012_8_3'!A1087,"AAAAAH67fx8=")</f>
        <v>#VALUE!</v>
      </c>
      <c r="AG73" t="e">
        <f>AND('Planilla_General_07-12-2012_8_3'!B1087,"AAAAAH67fyA=")</f>
        <v>#VALUE!</v>
      </c>
      <c r="AH73" t="e">
        <f>AND('Planilla_General_07-12-2012_8_3'!C1087,"AAAAAH67fyE=")</f>
        <v>#VALUE!</v>
      </c>
      <c r="AI73" t="e">
        <f>AND('Planilla_General_07-12-2012_8_3'!D1087,"AAAAAH67fyI=")</f>
        <v>#VALUE!</v>
      </c>
      <c r="AJ73" t="e">
        <f>AND('Planilla_General_07-12-2012_8_3'!E1087,"AAAAAH67fyM=")</f>
        <v>#VALUE!</v>
      </c>
      <c r="AK73" t="e">
        <f>AND('Planilla_General_07-12-2012_8_3'!F1087,"AAAAAH67fyQ=")</f>
        <v>#VALUE!</v>
      </c>
      <c r="AL73" t="e">
        <f>AND('Planilla_General_07-12-2012_8_3'!G1087,"AAAAAH67fyU=")</f>
        <v>#VALUE!</v>
      </c>
      <c r="AM73" t="e">
        <f>AND('Planilla_General_07-12-2012_8_3'!H1087,"AAAAAH67fyY=")</f>
        <v>#VALUE!</v>
      </c>
      <c r="AN73" t="e">
        <f>AND('Planilla_General_07-12-2012_8_3'!I1087,"AAAAAH67fyc=")</f>
        <v>#VALUE!</v>
      </c>
      <c r="AO73" t="e">
        <f>AND('Planilla_General_07-12-2012_8_3'!J1087,"AAAAAH67fyg=")</f>
        <v>#VALUE!</v>
      </c>
      <c r="AP73" t="e">
        <f>AND('Planilla_General_07-12-2012_8_3'!K1087,"AAAAAH67fyk=")</f>
        <v>#VALUE!</v>
      </c>
      <c r="AQ73" t="e">
        <f>AND('Planilla_General_07-12-2012_8_3'!L1087,"AAAAAH67fyo=")</f>
        <v>#VALUE!</v>
      </c>
      <c r="AR73" t="e">
        <f>AND('Planilla_General_07-12-2012_8_3'!M1087,"AAAAAH67fys=")</f>
        <v>#VALUE!</v>
      </c>
      <c r="AS73" t="e">
        <f>AND('Planilla_General_07-12-2012_8_3'!N1087,"AAAAAH67fyw=")</f>
        <v>#VALUE!</v>
      </c>
      <c r="AT73" t="e">
        <f>AND('Planilla_General_07-12-2012_8_3'!O1087,"AAAAAH67fy0=")</f>
        <v>#VALUE!</v>
      </c>
      <c r="AU73" t="e">
        <f>AND('Planilla_General_07-12-2012_8_3'!P1087,"AAAAAH67fy4=")</f>
        <v>#VALUE!</v>
      </c>
      <c r="AV73">
        <f>IF('Planilla_General_07-12-2012_8_3'!1088:1088,"AAAAAH67fy8=",0)</f>
        <v>0</v>
      </c>
      <c r="AW73" t="e">
        <f>AND('Planilla_General_07-12-2012_8_3'!A1088,"AAAAAH67fzA=")</f>
        <v>#VALUE!</v>
      </c>
      <c r="AX73" t="e">
        <f>AND('Planilla_General_07-12-2012_8_3'!B1088,"AAAAAH67fzE=")</f>
        <v>#VALUE!</v>
      </c>
      <c r="AY73" t="e">
        <f>AND('Planilla_General_07-12-2012_8_3'!C1088,"AAAAAH67fzI=")</f>
        <v>#VALUE!</v>
      </c>
      <c r="AZ73" t="e">
        <f>AND('Planilla_General_07-12-2012_8_3'!D1088,"AAAAAH67fzM=")</f>
        <v>#VALUE!</v>
      </c>
      <c r="BA73" t="e">
        <f>AND('Planilla_General_07-12-2012_8_3'!E1088,"AAAAAH67fzQ=")</f>
        <v>#VALUE!</v>
      </c>
      <c r="BB73" t="e">
        <f>AND('Planilla_General_07-12-2012_8_3'!F1088,"AAAAAH67fzU=")</f>
        <v>#VALUE!</v>
      </c>
      <c r="BC73" t="e">
        <f>AND('Planilla_General_07-12-2012_8_3'!G1088,"AAAAAH67fzY=")</f>
        <v>#VALUE!</v>
      </c>
      <c r="BD73" t="e">
        <f>AND('Planilla_General_07-12-2012_8_3'!H1088,"AAAAAH67fzc=")</f>
        <v>#VALUE!</v>
      </c>
      <c r="BE73" t="e">
        <f>AND('Planilla_General_07-12-2012_8_3'!I1088,"AAAAAH67fzg=")</f>
        <v>#VALUE!</v>
      </c>
      <c r="BF73" t="e">
        <f>AND('Planilla_General_07-12-2012_8_3'!J1088,"AAAAAH67fzk=")</f>
        <v>#VALUE!</v>
      </c>
      <c r="BG73" t="e">
        <f>AND('Planilla_General_07-12-2012_8_3'!K1088,"AAAAAH67fzo=")</f>
        <v>#VALUE!</v>
      </c>
      <c r="BH73" t="e">
        <f>AND('Planilla_General_07-12-2012_8_3'!L1088,"AAAAAH67fzs=")</f>
        <v>#VALUE!</v>
      </c>
      <c r="BI73" t="e">
        <f>AND('Planilla_General_07-12-2012_8_3'!M1088,"AAAAAH67fzw=")</f>
        <v>#VALUE!</v>
      </c>
      <c r="BJ73" t="e">
        <f>AND('Planilla_General_07-12-2012_8_3'!N1088,"AAAAAH67fz0=")</f>
        <v>#VALUE!</v>
      </c>
      <c r="BK73" t="e">
        <f>AND('Planilla_General_07-12-2012_8_3'!O1088,"AAAAAH67fz4=")</f>
        <v>#VALUE!</v>
      </c>
      <c r="BL73" t="e">
        <f>AND('Planilla_General_07-12-2012_8_3'!P1088,"AAAAAH67fz8=")</f>
        <v>#VALUE!</v>
      </c>
      <c r="BM73">
        <f>IF('Planilla_General_07-12-2012_8_3'!1089:1089,"AAAAAH67f0A=",0)</f>
        <v>0</v>
      </c>
      <c r="BN73" t="e">
        <f>AND('Planilla_General_07-12-2012_8_3'!A1089,"AAAAAH67f0E=")</f>
        <v>#VALUE!</v>
      </c>
      <c r="BO73" t="e">
        <f>AND('Planilla_General_07-12-2012_8_3'!B1089,"AAAAAH67f0I=")</f>
        <v>#VALUE!</v>
      </c>
      <c r="BP73" t="e">
        <f>AND('Planilla_General_07-12-2012_8_3'!C1089,"AAAAAH67f0M=")</f>
        <v>#VALUE!</v>
      </c>
      <c r="BQ73" t="e">
        <f>AND('Planilla_General_07-12-2012_8_3'!D1089,"AAAAAH67f0Q=")</f>
        <v>#VALUE!</v>
      </c>
      <c r="BR73" t="e">
        <f>AND('Planilla_General_07-12-2012_8_3'!E1089,"AAAAAH67f0U=")</f>
        <v>#VALUE!</v>
      </c>
      <c r="BS73" t="e">
        <f>AND('Planilla_General_07-12-2012_8_3'!F1089,"AAAAAH67f0Y=")</f>
        <v>#VALUE!</v>
      </c>
      <c r="BT73" t="e">
        <f>AND('Planilla_General_07-12-2012_8_3'!G1089,"AAAAAH67f0c=")</f>
        <v>#VALUE!</v>
      </c>
      <c r="BU73" t="e">
        <f>AND('Planilla_General_07-12-2012_8_3'!H1089,"AAAAAH67f0g=")</f>
        <v>#VALUE!</v>
      </c>
      <c r="BV73" t="e">
        <f>AND('Planilla_General_07-12-2012_8_3'!I1089,"AAAAAH67f0k=")</f>
        <v>#VALUE!</v>
      </c>
      <c r="BW73" t="e">
        <f>AND('Planilla_General_07-12-2012_8_3'!J1089,"AAAAAH67f0o=")</f>
        <v>#VALUE!</v>
      </c>
      <c r="BX73" t="e">
        <f>AND('Planilla_General_07-12-2012_8_3'!K1089,"AAAAAH67f0s=")</f>
        <v>#VALUE!</v>
      </c>
      <c r="BY73" t="e">
        <f>AND('Planilla_General_07-12-2012_8_3'!L1089,"AAAAAH67f0w=")</f>
        <v>#VALUE!</v>
      </c>
      <c r="BZ73" t="e">
        <f>AND('Planilla_General_07-12-2012_8_3'!M1089,"AAAAAH67f00=")</f>
        <v>#VALUE!</v>
      </c>
      <c r="CA73" t="e">
        <f>AND('Planilla_General_07-12-2012_8_3'!N1089,"AAAAAH67f04=")</f>
        <v>#VALUE!</v>
      </c>
      <c r="CB73" t="e">
        <f>AND('Planilla_General_07-12-2012_8_3'!O1089,"AAAAAH67f08=")</f>
        <v>#VALUE!</v>
      </c>
      <c r="CC73" t="e">
        <f>AND('Planilla_General_07-12-2012_8_3'!P1089,"AAAAAH67f1A=")</f>
        <v>#VALUE!</v>
      </c>
      <c r="CD73">
        <f>IF('Planilla_General_07-12-2012_8_3'!1090:1090,"AAAAAH67f1E=",0)</f>
        <v>0</v>
      </c>
      <c r="CE73" t="e">
        <f>AND('Planilla_General_07-12-2012_8_3'!A1090,"AAAAAH67f1I=")</f>
        <v>#VALUE!</v>
      </c>
      <c r="CF73" t="e">
        <f>AND('Planilla_General_07-12-2012_8_3'!B1090,"AAAAAH67f1M=")</f>
        <v>#VALUE!</v>
      </c>
      <c r="CG73" t="e">
        <f>AND('Planilla_General_07-12-2012_8_3'!C1090,"AAAAAH67f1Q=")</f>
        <v>#VALUE!</v>
      </c>
      <c r="CH73" t="e">
        <f>AND('Planilla_General_07-12-2012_8_3'!D1090,"AAAAAH67f1U=")</f>
        <v>#VALUE!</v>
      </c>
      <c r="CI73" t="e">
        <f>AND('Planilla_General_07-12-2012_8_3'!E1090,"AAAAAH67f1Y=")</f>
        <v>#VALUE!</v>
      </c>
      <c r="CJ73" t="e">
        <f>AND('Planilla_General_07-12-2012_8_3'!F1090,"AAAAAH67f1c=")</f>
        <v>#VALUE!</v>
      </c>
      <c r="CK73" t="e">
        <f>AND('Planilla_General_07-12-2012_8_3'!G1090,"AAAAAH67f1g=")</f>
        <v>#VALUE!</v>
      </c>
      <c r="CL73" t="e">
        <f>AND('Planilla_General_07-12-2012_8_3'!H1090,"AAAAAH67f1k=")</f>
        <v>#VALUE!</v>
      </c>
      <c r="CM73" t="e">
        <f>AND('Planilla_General_07-12-2012_8_3'!I1090,"AAAAAH67f1o=")</f>
        <v>#VALUE!</v>
      </c>
      <c r="CN73" t="e">
        <f>AND('Planilla_General_07-12-2012_8_3'!J1090,"AAAAAH67f1s=")</f>
        <v>#VALUE!</v>
      </c>
      <c r="CO73" t="e">
        <f>AND('Planilla_General_07-12-2012_8_3'!K1090,"AAAAAH67f1w=")</f>
        <v>#VALUE!</v>
      </c>
      <c r="CP73" t="e">
        <f>AND('Planilla_General_07-12-2012_8_3'!L1090,"AAAAAH67f10=")</f>
        <v>#VALUE!</v>
      </c>
      <c r="CQ73" t="e">
        <f>AND('Planilla_General_07-12-2012_8_3'!M1090,"AAAAAH67f14=")</f>
        <v>#VALUE!</v>
      </c>
      <c r="CR73" t="e">
        <f>AND('Planilla_General_07-12-2012_8_3'!N1090,"AAAAAH67f18=")</f>
        <v>#VALUE!</v>
      </c>
      <c r="CS73" t="e">
        <f>AND('Planilla_General_07-12-2012_8_3'!O1090,"AAAAAH67f2A=")</f>
        <v>#VALUE!</v>
      </c>
      <c r="CT73" t="e">
        <f>AND('Planilla_General_07-12-2012_8_3'!P1090,"AAAAAH67f2E=")</f>
        <v>#VALUE!</v>
      </c>
      <c r="CU73">
        <f>IF('Planilla_General_07-12-2012_8_3'!1091:1091,"AAAAAH67f2I=",0)</f>
        <v>0</v>
      </c>
      <c r="CV73" t="e">
        <f>AND('Planilla_General_07-12-2012_8_3'!A1091,"AAAAAH67f2M=")</f>
        <v>#VALUE!</v>
      </c>
      <c r="CW73" t="e">
        <f>AND('Planilla_General_07-12-2012_8_3'!B1091,"AAAAAH67f2Q=")</f>
        <v>#VALUE!</v>
      </c>
      <c r="CX73" t="e">
        <f>AND('Planilla_General_07-12-2012_8_3'!C1091,"AAAAAH67f2U=")</f>
        <v>#VALUE!</v>
      </c>
      <c r="CY73" t="e">
        <f>AND('Planilla_General_07-12-2012_8_3'!D1091,"AAAAAH67f2Y=")</f>
        <v>#VALUE!</v>
      </c>
      <c r="CZ73" t="e">
        <f>AND('Planilla_General_07-12-2012_8_3'!E1091,"AAAAAH67f2c=")</f>
        <v>#VALUE!</v>
      </c>
      <c r="DA73" t="e">
        <f>AND('Planilla_General_07-12-2012_8_3'!F1091,"AAAAAH67f2g=")</f>
        <v>#VALUE!</v>
      </c>
      <c r="DB73" t="e">
        <f>AND('Planilla_General_07-12-2012_8_3'!G1091,"AAAAAH67f2k=")</f>
        <v>#VALUE!</v>
      </c>
      <c r="DC73" t="e">
        <f>AND('Planilla_General_07-12-2012_8_3'!H1091,"AAAAAH67f2o=")</f>
        <v>#VALUE!</v>
      </c>
      <c r="DD73" t="e">
        <f>AND('Planilla_General_07-12-2012_8_3'!I1091,"AAAAAH67f2s=")</f>
        <v>#VALUE!</v>
      </c>
      <c r="DE73" t="e">
        <f>AND('Planilla_General_07-12-2012_8_3'!J1091,"AAAAAH67f2w=")</f>
        <v>#VALUE!</v>
      </c>
      <c r="DF73" t="e">
        <f>AND('Planilla_General_07-12-2012_8_3'!K1091,"AAAAAH67f20=")</f>
        <v>#VALUE!</v>
      </c>
      <c r="DG73" t="e">
        <f>AND('Planilla_General_07-12-2012_8_3'!L1091,"AAAAAH67f24=")</f>
        <v>#VALUE!</v>
      </c>
      <c r="DH73" t="e">
        <f>AND('Planilla_General_07-12-2012_8_3'!M1091,"AAAAAH67f28=")</f>
        <v>#VALUE!</v>
      </c>
      <c r="DI73" t="e">
        <f>AND('Planilla_General_07-12-2012_8_3'!N1091,"AAAAAH67f3A=")</f>
        <v>#VALUE!</v>
      </c>
      <c r="DJ73" t="e">
        <f>AND('Planilla_General_07-12-2012_8_3'!O1091,"AAAAAH67f3E=")</f>
        <v>#VALUE!</v>
      </c>
      <c r="DK73" t="e">
        <f>AND('Planilla_General_07-12-2012_8_3'!P1091,"AAAAAH67f3I=")</f>
        <v>#VALUE!</v>
      </c>
      <c r="DL73">
        <f>IF('Planilla_General_07-12-2012_8_3'!1092:1092,"AAAAAH67f3M=",0)</f>
        <v>0</v>
      </c>
      <c r="DM73" t="e">
        <f>AND('Planilla_General_07-12-2012_8_3'!A1092,"AAAAAH67f3Q=")</f>
        <v>#VALUE!</v>
      </c>
      <c r="DN73" t="e">
        <f>AND('Planilla_General_07-12-2012_8_3'!B1092,"AAAAAH67f3U=")</f>
        <v>#VALUE!</v>
      </c>
      <c r="DO73" t="e">
        <f>AND('Planilla_General_07-12-2012_8_3'!C1092,"AAAAAH67f3Y=")</f>
        <v>#VALUE!</v>
      </c>
      <c r="DP73" t="e">
        <f>AND('Planilla_General_07-12-2012_8_3'!D1092,"AAAAAH67f3c=")</f>
        <v>#VALUE!</v>
      </c>
      <c r="DQ73" t="e">
        <f>AND('Planilla_General_07-12-2012_8_3'!E1092,"AAAAAH67f3g=")</f>
        <v>#VALUE!</v>
      </c>
      <c r="DR73" t="e">
        <f>AND('Planilla_General_07-12-2012_8_3'!F1092,"AAAAAH67f3k=")</f>
        <v>#VALUE!</v>
      </c>
      <c r="DS73" t="e">
        <f>AND('Planilla_General_07-12-2012_8_3'!G1092,"AAAAAH67f3o=")</f>
        <v>#VALUE!</v>
      </c>
      <c r="DT73" t="e">
        <f>AND('Planilla_General_07-12-2012_8_3'!H1092,"AAAAAH67f3s=")</f>
        <v>#VALUE!</v>
      </c>
      <c r="DU73" t="e">
        <f>AND('Planilla_General_07-12-2012_8_3'!I1092,"AAAAAH67f3w=")</f>
        <v>#VALUE!</v>
      </c>
      <c r="DV73" t="e">
        <f>AND('Planilla_General_07-12-2012_8_3'!J1092,"AAAAAH67f30=")</f>
        <v>#VALUE!</v>
      </c>
      <c r="DW73" t="e">
        <f>AND('Planilla_General_07-12-2012_8_3'!K1092,"AAAAAH67f34=")</f>
        <v>#VALUE!</v>
      </c>
      <c r="DX73" t="e">
        <f>AND('Planilla_General_07-12-2012_8_3'!L1092,"AAAAAH67f38=")</f>
        <v>#VALUE!</v>
      </c>
      <c r="DY73" t="e">
        <f>AND('Planilla_General_07-12-2012_8_3'!M1092,"AAAAAH67f4A=")</f>
        <v>#VALUE!</v>
      </c>
      <c r="DZ73" t="e">
        <f>AND('Planilla_General_07-12-2012_8_3'!N1092,"AAAAAH67f4E=")</f>
        <v>#VALUE!</v>
      </c>
      <c r="EA73" t="e">
        <f>AND('Planilla_General_07-12-2012_8_3'!O1092,"AAAAAH67f4I=")</f>
        <v>#VALUE!</v>
      </c>
      <c r="EB73" t="e">
        <f>AND('Planilla_General_07-12-2012_8_3'!P1092,"AAAAAH67f4M=")</f>
        <v>#VALUE!</v>
      </c>
      <c r="EC73">
        <f>IF('Planilla_General_07-12-2012_8_3'!1093:1093,"AAAAAH67f4Q=",0)</f>
        <v>0</v>
      </c>
      <c r="ED73" t="e">
        <f>AND('Planilla_General_07-12-2012_8_3'!A1093,"AAAAAH67f4U=")</f>
        <v>#VALUE!</v>
      </c>
      <c r="EE73" t="e">
        <f>AND('Planilla_General_07-12-2012_8_3'!B1093,"AAAAAH67f4Y=")</f>
        <v>#VALUE!</v>
      </c>
      <c r="EF73" t="e">
        <f>AND('Planilla_General_07-12-2012_8_3'!C1093,"AAAAAH67f4c=")</f>
        <v>#VALUE!</v>
      </c>
      <c r="EG73" t="e">
        <f>AND('Planilla_General_07-12-2012_8_3'!D1093,"AAAAAH67f4g=")</f>
        <v>#VALUE!</v>
      </c>
      <c r="EH73" t="e">
        <f>AND('Planilla_General_07-12-2012_8_3'!E1093,"AAAAAH67f4k=")</f>
        <v>#VALUE!</v>
      </c>
      <c r="EI73" t="e">
        <f>AND('Planilla_General_07-12-2012_8_3'!F1093,"AAAAAH67f4o=")</f>
        <v>#VALUE!</v>
      </c>
      <c r="EJ73" t="e">
        <f>AND('Planilla_General_07-12-2012_8_3'!G1093,"AAAAAH67f4s=")</f>
        <v>#VALUE!</v>
      </c>
      <c r="EK73" t="e">
        <f>AND('Planilla_General_07-12-2012_8_3'!H1093,"AAAAAH67f4w=")</f>
        <v>#VALUE!</v>
      </c>
      <c r="EL73" t="e">
        <f>AND('Planilla_General_07-12-2012_8_3'!I1093,"AAAAAH67f40=")</f>
        <v>#VALUE!</v>
      </c>
      <c r="EM73" t="e">
        <f>AND('Planilla_General_07-12-2012_8_3'!J1093,"AAAAAH67f44=")</f>
        <v>#VALUE!</v>
      </c>
      <c r="EN73" t="e">
        <f>AND('Planilla_General_07-12-2012_8_3'!K1093,"AAAAAH67f48=")</f>
        <v>#VALUE!</v>
      </c>
      <c r="EO73" t="e">
        <f>AND('Planilla_General_07-12-2012_8_3'!L1093,"AAAAAH67f5A=")</f>
        <v>#VALUE!</v>
      </c>
      <c r="EP73" t="e">
        <f>AND('Planilla_General_07-12-2012_8_3'!M1093,"AAAAAH67f5E=")</f>
        <v>#VALUE!</v>
      </c>
      <c r="EQ73" t="e">
        <f>AND('Planilla_General_07-12-2012_8_3'!N1093,"AAAAAH67f5I=")</f>
        <v>#VALUE!</v>
      </c>
      <c r="ER73" t="e">
        <f>AND('Planilla_General_07-12-2012_8_3'!O1093,"AAAAAH67f5M=")</f>
        <v>#VALUE!</v>
      </c>
      <c r="ES73" t="e">
        <f>AND('Planilla_General_07-12-2012_8_3'!P1093,"AAAAAH67f5Q=")</f>
        <v>#VALUE!</v>
      </c>
      <c r="ET73">
        <f>IF('Planilla_General_07-12-2012_8_3'!1094:1094,"AAAAAH67f5U=",0)</f>
        <v>0</v>
      </c>
      <c r="EU73" t="e">
        <f>AND('Planilla_General_07-12-2012_8_3'!A1094,"AAAAAH67f5Y=")</f>
        <v>#VALUE!</v>
      </c>
      <c r="EV73" t="e">
        <f>AND('Planilla_General_07-12-2012_8_3'!B1094,"AAAAAH67f5c=")</f>
        <v>#VALUE!</v>
      </c>
      <c r="EW73" t="e">
        <f>AND('Planilla_General_07-12-2012_8_3'!C1094,"AAAAAH67f5g=")</f>
        <v>#VALUE!</v>
      </c>
      <c r="EX73" t="e">
        <f>AND('Planilla_General_07-12-2012_8_3'!D1094,"AAAAAH67f5k=")</f>
        <v>#VALUE!</v>
      </c>
      <c r="EY73" t="e">
        <f>AND('Planilla_General_07-12-2012_8_3'!E1094,"AAAAAH67f5o=")</f>
        <v>#VALUE!</v>
      </c>
      <c r="EZ73" t="e">
        <f>AND('Planilla_General_07-12-2012_8_3'!F1094,"AAAAAH67f5s=")</f>
        <v>#VALUE!</v>
      </c>
      <c r="FA73" t="e">
        <f>AND('Planilla_General_07-12-2012_8_3'!G1094,"AAAAAH67f5w=")</f>
        <v>#VALUE!</v>
      </c>
      <c r="FB73" t="e">
        <f>AND('Planilla_General_07-12-2012_8_3'!H1094,"AAAAAH67f50=")</f>
        <v>#VALUE!</v>
      </c>
      <c r="FC73" t="e">
        <f>AND('Planilla_General_07-12-2012_8_3'!I1094,"AAAAAH67f54=")</f>
        <v>#VALUE!</v>
      </c>
      <c r="FD73" t="e">
        <f>AND('Planilla_General_07-12-2012_8_3'!J1094,"AAAAAH67f58=")</f>
        <v>#VALUE!</v>
      </c>
      <c r="FE73" t="e">
        <f>AND('Planilla_General_07-12-2012_8_3'!K1094,"AAAAAH67f6A=")</f>
        <v>#VALUE!</v>
      </c>
      <c r="FF73" t="e">
        <f>AND('Planilla_General_07-12-2012_8_3'!L1094,"AAAAAH67f6E=")</f>
        <v>#VALUE!</v>
      </c>
      <c r="FG73" t="e">
        <f>AND('Planilla_General_07-12-2012_8_3'!M1094,"AAAAAH67f6I=")</f>
        <v>#VALUE!</v>
      </c>
      <c r="FH73" t="e">
        <f>AND('Planilla_General_07-12-2012_8_3'!N1094,"AAAAAH67f6M=")</f>
        <v>#VALUE!</v>
      </c>
      <c r="FI73" t="e">
        <f>AND('Planilla_General_07-12-2012_8_3'!O1094,"AAAAAH67f6Q=")</f>
        <v>#VALUE!</v>
      </c>
      <c r="FJ73" t="e">
        <f>AND('Planilla_General_07-12-2012_8_3'!P1094,"AAAAAH67f6U=")</f>
        <v>#VALUE!</v>
      </c>
      <c r="FK73">
        <f>IF('Planilla_General_07-12-2012_8_3'!1095:1095,"AAAAAH67f6Y=",0)</f>
        <v>0</v>
      </c>
      <c r="FL73" t="e">
        <f>AND('Planilla_General_07-12-2012_8_3'!A1095,"AAAAAH67f6c=")</f>
        <v>#VALUE!</v>
      </c>
      <c r="FM73" t="e">
        <f>AND('Planilla_General_07-12-2012_8_3'!B1095,"AAAAAH67f6g=")</f>
        <v>#VALUE!</v>
      </c>
      <c r="FN73" t="e">
        <f>AND('Planilla_General_07-12-2012_8_3'!C1095,"AAAAAH67f6k=")</f>
        <v>#VALUE!</v>
      </c>
      <c r="FO73" t="e">
        <f>AND('Planilla_General_07-12-2012_8_3'!D1095,"AAAAAH67f6o=")</f>
        <v>#VALUE!</v>
      </c>
      <c r="FP73" t="e">
        <f>AND('Planilla_General_07-12-2012_8_3'!E1095,"AAAAAH67f6s=")</f>
        <v>#VALUE!</v>
      </c>
      <c r="FQ73" t="e">
        <f>AND('Planilla_General_07-12-2012_8_3'!F1095,"AAAAAH67f6w=")</f>
        <v>#VALUE!</v>
      </c>
      <c r="FR73" t="e">
        <f>AND('Planilla_General_07-12-2012_8_3'!G1095,"AAAAAH67f60=")</f>
        <v>#VALUE!</v>
      </c>
      <c r="FS73" t="e">
        <f>AND('Planilla_General_07-12-2012_8_3'!H1095,"AAAAAH67f64=")</f>
        <v>#VALUE!</v>
      </c>
      <c r="FT73" t="e">
        <f>AND('Planilla_General_07-12-2012_8_3'!I1095,"AAAAAH67f68=")</f>
        <v>#VALUE!</v>
      </c>
      <c r="FU73" t="e">
        <f>AND('Planilla_General_07-12-2012_8_3'!J1095,"AAAAAH67f7A=")</f>
        <v>#VALUE!</v>
      </c>
      <c r="FV73" t="e">
        <f>AND('Planilla_General_07-12-2012_8_3'!K1095,"AAAAAH67f7E=")</f>
        <v>#VALUE!</v>
      </c>
      <c r="FW73" t="e">
        <f>AND('Planilla_General_07-12-2012_8_3'!L1095,"AAAAAH67f7I=")</f>
        <v>#VALUE!</v>
      </c>
      <c r="FX73" t="e">
        <f>AND('Planilla_General_07-12-2012_8_3'!M1095,"AAAAAH67f7M=")</f>
        <v>#VALUE!</v>
      </c>
      <c r="FY73" t="e">
        <f>AND('Planilla_General_07-12-2012_8_3'!N1095,"AAAAAH67f7Q=")</f>
        <v>#VALUE!</v>
      </c>
      <c r="FZ73" t="e">
        <f>AND('Planilla_General_07-12-2012_8_3'!O1095,"AAAAAH67f7U=")</f>
        <v>#VALUE!</v>
      </c>
      <c r="GA73" t="e">
        <f>AND('Planilla_General_07-12-2012_8_3'!P1095,"AAAAAH67f7Y=")</f>
        <v>#VALUE!</v>
      </c>
      <c r="GB73">
        <f>IF('Planilla_General_07-12-2012_8_3'!1096:1096,"AAAAAH67f7c=",0)</f>
        <v>0</v>
      </c>
      <c r="GC73" t="e">
        <f>AND('Planilla_General_07-12-2012_8_3'!A1096,"AAAAAH67f7g=")</f>
        <v>#VALUE!</v>
      </c>
      <c r="GD73" t="e">
        <f>AND('Planilla_General_07-12-2012_8_3'!B1096,"AAAAAH67f7k=")</f>
        <v>#VALUE!</v>
      </c>
      <c r="GE73" t="e">
        <f>AND('Planilla_General_07-12-2012_8_3'!C1096,"AAAAAH67f7o=")</f>
        <v>#VALUE!</v>
      </c>
      <c r="GF73" t="e">
        <f>AND('Planilla_General_07-12-2012_8_3'!D1096,"AAAAAH67f7s=")</f>
        <v>#VALUE!</v>
      </c>
      <c r="GG73" t="e">
        <f>AND('Planilla_General_07-12-2012_8_3'!E1096,"AAAAAH67f7w=")</f>
        <v>#VALUE!</v>
      </c>
      <c r="GH73" t="e">
        <f>AND('Planilla_General_07-12-2012_8_3'!F1096,"AAAAAH67f70=")</f>
        <v>#VALUE!</v>
      </c>
      <c r="GI73" t="e">
        <f>AND('Planilla_General_07-12-2012_8_3'!G1096,"AAAAAH67f74=")</f>
        <v>#VALUE!</v>
      </c>
      <c r="GJ73" t="e">
        <f>AND('Planilla_General_07-12-2012_8_3'!H1096,"AAAAAH67f78=")</f>
        <v>#VALUE!</v>
      </c>
      <c r="GK73" t="e">
        <f>AND('Planilla_General_07-12-2012_8_3'!I1096,"AAAAAH67f8A=")</f>
        <v>#VALUE!</v>
      </c>
      <c r="GL73" t="e">
        <f>AND('Planilla_General_07-12-2012_8_3'!J1096,"AAAAAH67f8E=")</f>
        <v>#VALUE!</v>
      </c>
      <c r="GM73" t="e">
        <f>AND('Planilla_General_07-12-2012_8_3'!K1096,"AAAAAH67f8I=")</f>
        <v>#VALUE!</v>
      </c>
      <c r="GN73" t="e">
        <f>AND('Planilla_General_07-12-2012_8_3'!L1096,"AAAAAH67f8M=")</f>
        <v>#VALUE!</v>
      </c>
      <c r="GO73" t="e">
        <f>AND('Planilla_General_07-12-2012_8_3'!M1096,"AAAAAH67f8Q=")</f>
        <v>#VALUE!</v>
      </c>
      <c r="GP73" t="e">
        <f>AND('Planilla_General_07-12-2012_8_3'!N1096,"AAAAAH67f8U=")</f>
        <v>#VALUE!</v>
      </c>
      <c r="GQ73" t="e">
        <f>AND('Planilla_General_07-12-2012_8_3'!O1096,"AAAAAH67f8Y=")</f>
        <v>#VALUE!</v>
      </c>
      <c r="GR73" t="e">
        <f>AND('Planilla_General_07-12-2012_8_3'!P1096,"AAAAAH67f8c=")</f>
        <v>#VALUE!</v>
      </c>
      <c r="GS73">
        <f>IF('Planilla_General_07-12-2012_8_3'!1097:1097,"AAAAAH67f8g=",0)</f>
        <v>0</v>
      </c>
      <c r="GT73" t="e">
        <f>AND('Planilla_General_07-12-2012_8_3'!A1097,"AAAAAH67f8k=")</f>
        <v>#VALUE!</v>
      </c>
      <c r="GU73" t="e">
        <f>AND('Planilla_General_07-12-2012_8_3'!B1097,"AAAAAH67f8o=")</f>
        <v>#VALUE!</v>
      </c>
      <c r="GV73" t="e">
        <f>AND('Planilla_General_07-12-2012_8_3'!C1097,"AAAAAH67f8s=")</f>
        <v>#VALUE!</v>
      </c>
      <c r="GW73" t="e">
        <f>AND('Planilla_General_07-12-2012_8_3'!D1097,"AAAAAH67f8w=")</f>
        <v>#VALUE!</v>
      </c>
      <c r="GX73" t="e">
        <f>AND('Planilla_General_07-12-2012_8_3'!E1097,"AAAAAH67f80=")</f>
        <v>#VALUE!</v>
      </c>
      <c r="GY73" t="e">
        <f>AND('Planilla_General_07-12-2012_8_3'!F1097,"AAAAAH67f84=")</f>
        <v>#VALUE!</v>
      </c>
      <c r="GZ73" t="e">
        <f>AND('Planilla_General_07-12-2012_8_3'!G1097,"AAAAAH67f88=")</f>
        <v>#VALUE!</v>
      </c>
      <c r="HA73" t="e">
        <f>AND('Planilla_General_07-12-2012_8_3'!H1097,"AAAAAH67f9A=")</f>
        <v>#VALUE!</v>
      </c>
      <c r="HB73" t="e">
        <f>AND('Planilla_General_07-12-2012_8_3'!I1097,"AAAAAH67f9E=")</f>
        <v>#VALUE!</v>
      </c>
      <c r="HC73" t="e">
        <f>AND('Planilla_General_07-12-2012_8_3'!J1097,"AAAAAH67f9I=")</f>
        <v>#VALUE!</v>
      </c>
      <c r="HD73" t="e">
        <f>AND('Planilla_General_07-12-2012_8_3'!K1097,"AAAAAH67f9M=")</f>
        <v>#VALUE!</v>
      </c>
      <c r="HE73" t="e">
        <f>AND('Planilla_General_07-12-2012_8_3'!L1097,"AAAAAH67f9Q=")</f>
        <v>#VALUE!</v>
      </c>
      <c r="HF73" t="e">
        <f>AND('Planilla_General_07-12-2012_8_3'!M1097,"AAAAAH67f9U=")</f>
        <v>#VALUE!</v>
      </c>
      <c r="HG73" t="e">
        <f>AND('Planilla_General_07-12-2012_8_3'!N1097,"AAAAAH67f9Y=")</f>
        <v>#VALUE!</v>
      </c>
      <c r="HH73" t="e">
        <f>AND('Planilla_General_07-12-2012_8_3'!O1097,"AAAAAH67f9c=")</f>
        <v>#VALUE!</v>
      </c>
      <c r="HI73" t="e">
        <f>AND('Planilla_General_07-12-2012_8_3'!P1097,"AAAAAH67f9g=")</f>
        <v>#VALUE!</v>
      </c>
      <c r="HJ73">
        <f>IF('Planilla_General_07-12-2012_8_3'!1098:1098,"AAAAAH67f9k=",0)</f>
        <v>0</v>
      </c>
      <c r="HK73" t="e">
        <f>AND('Planilla_General_07-12-2012_8_3'!A1098,"AAAAAH67f9o=")</f>
        <v>#VALUE!</v>
      </c>
      <c r="HL73" t="e">
        <f>AND('Planilla_General_07-12-2012_8_3'!B1098,"AAAAAH67f9s=")</f>
        <v>#VALUE!</v>
      </c>
      <c r="HM73" t="e">
        <f>AND('Planilla_General_07-12-2012_8_3'!C1098,"AAAAAH67f9w=")</f>
        <v>#VALUE!</v>
      </c>
      <c r="HN73" t="e">
        <f>AND('Planilla_General_07-12-2012_8_3'!D1098,"AAAAAH67f90=")</f>
        <v>#VALUE!</v>
      </c>
      <c r="HO73" t="e">
        <f>AND('Planilla_General_07-12-2012_8_3'!E1098,"AAAAAH67f94=")</f>
        <v>#VALUE!</v>
      </c>
      <c r="HP73" t="e">
        <f>AND('Planilla_General_07-12-2012_8_3'!F1098,"AAAAAH67f98=")</f>
        <v>#VALUE!</v>
      </c>
      <c r="HQ73" t="e">
        <f>AND('Planilla_General_07-12-2012_8_3'!G1098,"AAAAAH67f+A=")</f>
        <v>#VALUE!</v>
      </c>
      <c r="HR73" t="e">
        <f>AND('Planilla_General_07-12-2012_8_3'!H1098,"AAAAAH67f+E=")</f>
        <v>#VALUE!</v>
      </c>
      <c r="HS73" t="e">
        <f>AND('Planilla_General_07-12-2012_8_3'!I1098,"AAAAAH67f+I=")</f>
        <v>#VALUE!</v>
      </c>
      <c r="HT73" t="e">
        <f>AND('Planilla_General_07-12-2012_8_3'!J1098,"AAAAAH67f+M=")</f>
        <v>#VALUE!</v>
      </c>
      <c r="HU73" t="e">
        <f>AND('Planilla_General_07-12-2012_8_3'!K1098,"AAAAAH67f+Q=")</f>
        <v>#VALUE!</v>
      </c>
      <c r="HV73" t="e">
        <f>AND('Planilla_General_07-12-2012_8_3'!L1098,"AAAAAH67f+U=")</f>
        <v>#VALUE!</v>
      </c>
      <c r="HW73" t="e">
        <f>AND('Planilla_General_07-12-2012_8_3'!M1098,"AAAAAH67f+Y=")</f>
        <v>#VALUE!</v>
      </c>
      <c r="HX73" t="e">
        <f>AND('Planilla_General_07-12-2012_8_3'!N1098,"AAAAAH67f+c=")</f>
        <v>#VALUE!</v>
      </c>
      <c r="HY73" t="e">
        <f>AND('Planilla_General_07-12-2012_8_3'!O1098,"AAAAAH67f+g=")</f>
        <v>#VALUE!</v>
      </c>
      <c r="HZ73" t="e">
        <f>AND('Planilla_General_07-12-2012_8_3'!P1098,"AAAAAH67f+k=")</f>
        <v>#VALUE!</v>
      </c>
      <c r="IA73">
        <f>IF('Planilla_General_07-12-2012_8_3'!1099:1099,"AAAAAH67f+o=",0)</f>
        <v>0</v>
      </c>
      <c r="IB73" t="e">
        <f>AND('Planilla_General_07-12-2012_8_3'!A1099,"AAAAAH67f+s=")</f>
        <v>#VALUE!</v>
      </c>
      <c r="IC73" t="e">
        <f>AND('Planilla_General_07-12-2012_8_3'!B1099,"AAAAAH67f+w=")</f>
        <v>#VALUE!</v>
      </c>
      <c r="ID73" t="e">
        <f>AND('Planilla_General_07-12-2012_8_3'!C1099,"AAAAAH67f+0=")</f>
        <v>#VALUE!</v>
      </c>
      <c r="IE73" t="e">
        <f>AND('Planilla_General_07-12-2012_8_3'!D1099,"AAAAAH67f+4=")</f>
        <v>#VALUE!</v>
      </c>
      <c r="IF73" t="e">
        <f>AND('Planilla_General_07-12-2012_8_3'!E1099,"AAAAAH67f+8=")</f>
        <v>#VALUE!</v>
      </c>
      <c r="IG73" t="e">
        <f>AND('Planilla_General_07-12-2012_8_3'!F1099,"AAAAAH67f/A=")</f>
        <v>#VALUE!</v>
      </c>
      <c r="IH73" t="e">
        <f>AND('Planilla_General_07-12-2012_8_3'!G1099,"AAAAAH67f/E=")</f>
        <v>#VALUE!</v>
      </c>
      <c r="II73" t="e">
        <f>AND('Planilla_General_07-12-2012_8_3'!H1099,"AAAAAH67f/I=")</f>
        <v>#VALUE!</v>
      </c>
      <c r="IJ73" t="e">
        <f>AND('Planilla_General_07-12-2012_8_3'!I1099,"AAAAAH67f/M=")</f>
        <v>#VALUE!</v>
      </c>
      <c r="IK73" t="e">
        <f>AND('Planilla_General_07-12-2012_8_3'!J1099,"AAAAAH67f/Q=")</f>
        <v>#VALUE!</v>
      </c>
      <c r="IL73" t="e">
        <f>AND('Planilla_General_07-12-2012_8_3'!K1099,"AAAAAH67f/U=")</f>
        <v>#VALUE!</v>
      </c>
      <c r="IM73" t="e">
        <f>AND('Planilla_General_07-12-2012_8_3'!L1099,"AAAAAH67f/Y=")</f>
        <v>#VALUE!</v>
      </c>
      <c r="IN73" t="e">
        <f>AND('Planilla_General_07-12-2012_8_3'!M1099,"AAAAAH67f/c=")</f>
        <v>#VALUE!</v>
      </c>
      <c r="IO73" t="e">
        <f>AND('Planilla_General_07-12-2012_8_3'!N1099,"AAAAAH67f/g=")</f>
        <v>#VALUE!</v>
      </c>
      <c r="IP73" t="e">
        <f>AND('Planilla_General_07-12-2012_8_3'!O1099,"AAAAAH67f/k=")</f>
        <v>#VALUE!</v>
      </c>
      <c r="IQ73" t="e">
        <f>AND('Planilla_General_07-12-2012_8_3'!P1099,"AAAAAH67f/o=")</f>
        <v>#VALUE!</v>
      </c>
      <c r="IR73">
        <f>IF('Planilla_General_07-12-2012_8_3'!1100:1100,"AAAAAH67f/s=",0)</f>
        <v>0</v>
      </c>
      <c r="IS73" t="e">
        <f>AND('Planilla_General_07-12-2012_8_3'!A1100,"AAAAAH67f/w=")</f>
        <v>#VALUE!</v>
      </c>
      <c r="IT73" t="e">
        <f>AND('Planilla_General_07-12-2012_8_3'!B1100,"AAAAAH67f/0=")</f>
        <v>#VALUE!</v>
      </c>
      <c r="IU73" t="e">
        <f>AND('Planilla_General_07-12-2012_8_3'!C1100,"AAAAAH67f/4=")</f>
        <v>#VALUE!</v>
      </c>
      <c r="IV73" t="e">
        <f>AND('Planilla_General_07-12-2012_8_3'!D1100,"AAAAAH67f/8=")</f>
        <v>#VALUE!</v>
      </c>
    </row>
    <row r="74" spans="1:256" x14ac:dyDescent="0.25">
      <c r="A74" t="e">
        <f>AND('Planilla_General_07-12-2012_8_3'!E1100,"AAAAAE6/6AA=")</f>
        <v>#VALUE!</v>
      </c>
      <c r="B74" t="e">
        <f>AND('Planilla_General_07-12-2012_8_3'!F1100,"AAAAAE6/6AE=")</f>
        <v>#VALUE!</v>
      </c>
      <c r="C74" t="e">
        <f>AND('Planilla_General_07-12-2012_8_3'!G1100,"AAAAAE6/6AI=")</f>
        <v>#VALUE!</v>
      </c>
      <c r="D74" t="e">
        <f>AND('Planilla_General_07-12-2012_8_3'!H1100,"AAAAAE6/6AM=")</f>
        <v>#VALUE!</v>
      </c>
      <c r="E74" t="e">
        <f>AND('Planilla_General_07-12-2012_8_3'!I1100,"AAAAAE6/6AQ=")</f>
        <v>#VALUE!</v>
      </c>
      <c r="F74" t="e">
        <f>AND('Planilla_General_07-12-2012_8_3'!J1100,"AAAAAE6/6AU=")</f>
        <v>#VALUE!</v>
      </c>
      <c r="G74" t="e">
        <f>AND('Planilla_General_07-12-2012_8_3'!K1100,"AAAAAE6/6AY=")</f>
        <v>#VALUE!</v>
      </c>
      <c r="H74" t="e">
        <f>AND('Planilla_General_07-12-2012_8_3'!L1100,"AAAAAE6/6Ac=")</f>
        <v>#VALUE!</v>
      </c>
      <c r="I74" t="e">
        <f>AND('Planilla_General_07-12-2012_8_3'!M1100,"AAAAAE6/6Ag=")</f>
        <v>#VALUE!</v>
      </c>
      <c r="J74" t="e">
        <f>AND('Planilla_General_07-12-2012_8_3'!N1100,"AAAAAE6/6Ak=")</f>
        <v>#VALUE!</v>
      </c>
      <c r="K74" t="e">
        <f>AND('Planilla_General_07-12-2012_8_3'!O1100,"AAAAAE6/6Ao=")</f>
        <v>#VALUE!</v>
      </c>
      <c r="L74" t="e">
        <f>AND('Planilla_General_07-12-2012_8_3'!P1100,"AAAAAE6/6As=")</f>
        <v>#VALUE!</v>
      </c>
      <c r="M74" t="str">
        <f>IF('Planilla_General_07-12-2012_8_3'!1101:1101,"AAAAAE6/6Aw=",0)</f>
        <v>AAAAAE6/6Aw=</v>
      </c>
      <c r="N74" t="e">
        <f>AND('Planilla_General_07-12-2012_8_3'!A1101,"AAAAAE6/6A0=")</f>
        <v>#VALUE!</v>
      </c>
      <c r="O74" t="e">
        <f>AND('Planilla_General_07-12-2012_8_3'!B1101,"AAAAAE6/6A4=")</f>
        <v>#VALUE!</v>
      </c>
      <c r="P74" t="e">
        <f>AND('Planilla_General_07-12-2012_8_3'!C1101,"AAAAAE6/6A8=")</f>
        <v>#VALUE!</v>
      </c>
      <c r="Q74" t="e">
        <f>AND('Planilla_General_07-12-2012_8_3'!D1101,"AAAAAE6/6BA=")</f>
        <v>#VALUE!</v>
      </c>
      <c r="R74" t="e">
        <f>AND('Planilla_General_07-12-2012_8_3'!E1101,"AAAAAE6/6BE=")</f>
        <v>#VALUE!</v>
      </c>
      <c r="S74" t="e">
        <f>AND('Planilla_General_07-12-2012_8_3'!F1101,"AAAAAE6/6BI=")</f>
        <v>#VALUE!</v>
      </c>
      <c r="T74" t="e">
        <f>AND('Planilla_General_07-12-2012_8_3'!G1101,"AAAAAE6/6BM=")</f>
        <v>#VALUE!</v>
      </c>
      <c r="U74" t="e">
        <f>AND('Planilla_General_07-12-2012_8_3'!H1101,"AAAAAE6/6BQ=")</f>
        <v>#VALUE!</v>
      </c>
      <c r="V74" t="e">
        <f>AND('Planilla_General_07-12-2012_8_3'!I1101,"AAAAAE6/6BU=")</f>
        <v>#VALUE!</v>
      </c>
      <c r="W74" t="e">
        <f>AND('Planilla_General_07-12-2012_8_3'!J1101,"AAAAAE6/6BY=")</f>
        <v>#VALUE!</v>
      </c>
      <c r="X74" t="e">
        <f>AND('Planilla_General_07-12-2012_8_3'!K1101,"AAAAAE6/6Bc=")</f>
        <v>#VALUE!</v>
      </c>
      <c r="Y74" t="e">
        <f>AND('Planilla_General_07-12-2012_8_3'!L1101,"AAAAAE6/6Bg=")</f>
        <v>#VALUE!</v>
      </c>
      <c r="Z74" t="e">
        <f>AND('Planilla_General_07-12-2012_8_3'!M1101,"AAAAAE6/6Bk=")</f>
        <v>#VALUE!</v>
      </c>
      <c r="AA74" t="e">
        <f>AND('Planilla_General_07-12-2012_8_3'!N1101,"AAAAAE6/6Bo=")</f>
        <v>#VALUE!</v>
      </c>
      <c r="AB74" t="e">
        <f>AND('Planilla_General_07-12-2012_8_3'!O1101,"AAAAAE6/6Bs=")</f>
        <v>#VALUE!</v>
      </c>
      <c r="AC74" t="e">
        <f>AND('Planilla_General_07-12-2012_8_3'!P1101,"AAAAAE6/6Bw=")</f>
        <v>#VALUE!</v>
      </c>
      <c r="AD74">
        <f>IF('Planilla_General_07-12-2012_8_3'!1102:1102,"AAAAAE6/6B0=",0)</f>
        <v>0</v>
      </c>
      <c r="AE74" t="e">
        <f>AND('Planilla_General_07-12-2012_8_3'!A1102,"AAAAAE6/6B4=")</f>
        <v>#VALUE!</v>
      </c>
      <c r="AF74" t="e">
        <f>AND('Planilla_General_07-12-2012_8_3'!B1102,"AAAAAE6/6B8=")</f>
        <v>#VALUE!</v>
      </c>
      <c r="AG74" t="e">
        <f>AND('Planilla_General_07-12-2012_8_3'!C1102,"AAAAAE6/6CA=")</f>
        <v>#VALUE!</v>
      </c>
      <c r="AH74" t="e">
        <f>AND('Planilla_General_07-12-2012_8_3'!D1102,"AAAAAE6/6CE=")</f>
        <v>#VALUE!</v>
      </c>
      <c r="AI74" t="e">
        <f>AND('Planilla_General_07-12-2012_8_3'!E1102,"AAAAAE6/6CI=")</f>
        <v>#VALUE!</v>
      </c>
      <c r="AJ74" t="e">
        <f>AND('Planilla_General_07-12-2012_8_3'!F1102,"AAAAAE6/6CM=")</f>
        <v>#VALUE!</v>
      </c>
      <c r="AK74" t="e">
        <f>AND('Planilla_General_07-12-2012_8_3'!G1102,"AAAAAE6/6CQ=")</f>
        <v>#VALUE!</v>
      </c>
      <c r="AL74" t="e">
        <f>AND('Planilla_General_07-12-2012_8_3'!H1102,"AAAAAE6/6CU=")</f>
        <v>#VALUE!</v>
      </c>
      <c r="AM74" t="e">
        <f>AND('Planilla_General_07-12-2012_8_3'!I1102,"AAAAAE6/6CY=")</f>
        <v>#VALUE!</v>
      </c>
      <c r="AN74" t="e">
        <f>AND('Planilla_General_07-12-2012_8_3'!J1102,"AAAAAE6/6Cc=")</f>
        <v>#VALUE!</v>
      </c>
      <c r="AO74" t="e">
        <f>AND('Planilla_General_07-12-2012_8_3'!K1102,"AAAAAE6/6Cg=")</f>
        <v>#VALUE!</v>
      </c>
      <c r="AP74" t="e">
        <f>AND('Planilla_General_07-12-2012_8_3'!L1102,"AAAAAE6/6Ck=")</f>
        <v>#VALUE!</v>
      </c>
      <c r="AQ74" t="e">
        <f>AND('Planilla_General_07-12-2012_8_3'!M1102,"AAAAAE6/6Co=")</f>
        <v>#VALUE!</v>
      </c>
      <c r="AR74" t="e">
        <f>AND('Planilla_General_07-12-2012_8_3'!N1102,"AAAAAE6/6Cs=")</f>
        <v>#VALUE!</v>
      </c>
      <c r="AS74" t="e">
        <f>AND('Planilla_General_07-12-2012_8_3'!O1102,"AAAAAE6/6Cw=")</f>
        <v>#VALUE!</v>
      </c>
      <c r="AT74" t="e">
        <f>AND('Planilla_General_07-12-2012_8_3'!P1102,"AAAAAE6/6C0=")</f>
        <v>#VALUE!</v>
      </c>
      <c r="AU74">
        <f>IF('Planilla_General_07-12-2012_8_3'!1103:1103,"AAAAAE6/6C4=",0)</f>
        <v>0</v>
      </c>
      <c r="AV74" t="e">
        <f>AND('Planilla_General_07-12-2012_8_3'!A1103,"AAAAAE6/6C8=")</f>
        <v>#VALUE!</v>
      </c>
      <c r="AW74" t="e">
        <f>AND('Planilla_General_07-12-2012_8_3'!B1103,"AAAAAE6/6DA=")</f>
        <v>#VALUE!</v>
      </c>
      <c r="AX74" t="e">
        <f>AND('Planilla_General_07-12-2012_8_3'!C1103,"AAAAAE6/6DE=")</f>
        <v>#VALUE!</v>
      </c>
      <c r="AY74" t="e">
        <f>AND('Planilla_General_07-12-2012_8_3'!D1103,"AAAAAE6/6DI=")</f>
        <v>#VALUE!</v>
      </c>
      <c r="AZ74" t="e">
        <f>AND('Planilla_General_07-12-2012_8_3'!E1103,"AAAAAE6/6DM=")</f>
        <v>#VALUE!</v>
      </c>
      <c r="BA74" t="e">
        <f>AND('Planilla_General_07-12-2012_8_3'!F1103,"AAAAAE6/6DQ=")</f>
        <v>#VALUE!</v>
      </c>
      <c r="BB74" t="e">
        <f>AND('Planilla_General_07-12-2012_8_3'!G1103,"AAAAAE6/6DU=")</f>
        <v>#VALUE!</v>
      </c>
      <c r="BC74" t="e">
        <f>AND('Planilla_General_07-12-2012_8_3'!H1103,"AAAAAE6/6DY=")</f>
        <v>#VALUE!</v>
      </c>
      <c r="BD74" t="e">
        <f>AND('Planilla_General_07-12-2012_8_3'!I1103,"AAAAAE6/6Dc=")</f>
        <v>#VALUE!</v>
      </c>
      <c r="BE74" t="e">
        <f>AND('Planilla_General_07-12-2012_8_3'!J1103,"AAAAAE6/6Dg=")</f>
        <v>#VALUE!</v>
      </c>
      <c r="BF74" t="e">
        <f>AND('Planilla_General_07-12-2012_8_3'!K1103,"AAAAAE6/6Dk=")</f>
        <v>#VALUE!</v>
      </c>
      <c r="BG74" t="e">
        <f>AND('Planilla_General_07-12-2012_8_3'!L1103,"AAAAAE6/6Do=")</f>
        <v>#VALUE!</v>
      </c>
      <c r="BH74" t="e">
        <f>AND('Planilla_General_07-12-2012_8_3'!M1103,"AAAAAE6/6Ds=")</f>
        <v>#VALUE!</v>
      </c>
      <c r="BI74" t="e">
        <f>AND('Planilla_General_07-12-2012_8_3'!N1103,"AAAAAE6/6Dw=")</f>
        <v>#VALUE!</v>
      </c>
      <c r="BJ74" t="e">
        <f>AND('Planilla_General_07-12-2012_8_3'!O1103,"AAAAAE6/6D0=")</f>
        <v>#VALUE!</v>
      </c>
      <c r="BK74" t="e">
        <f>AND('Planilla_General_07-12-2012_8_3'!P1103,"AAAAAE6/6D4=")</f>
        <v>#VALUE!</v>
      </c>
      <c r="BL74">
        <f>IF('Planilla_General_07-12-2012_8_3'!1104:1104,"AAAAAE6/6D8=",0)</f>
        <v>0</v>
      </c>
      <c r="BM74" t="e">
        <f>AND('Planilla_General_07-12-2012_8_3'!A1104,"AAAAAE6/6EA=")</f>
        <v>#VALUE!</v>
      </c>
      <c r="BN74" t="e">
        <f>AND('Planilla_General_07-12-2012_8_3'!B1104,"AAAAAE6/6EE=")</f>
        <v>#VALUE!</v>
      </c>
      <c r="BO74" t="e">
        <f>AND('Planilla_General_07-12-2012_8_3'!C1104,"AAAAAE6/6EI=")</f>
        <v>#VALUE!</v>
      </c>
      <c r="BP74" t="e">
        <f>AND('Planilla_General_07-12-2012_8_3'!D1104,"AAAAAE6/6EM=")</f>
        <v>#VALUE!</v>
      </c>
      <c r="BQ74" t="e">
        <f>AND('Planilla_General_07-12-2012_8_3'!E1104,"AAAAAE6/6EQ=")</f>
        <v>#VALUE!</v>
      </c>
      <c r="BR74" t="e">
        <f>AND('Planilla_General_07-12-2012_8_3'!F1104,"AAAAAE6/6EU=")</f>
        <v>#VALUE!</v>
      </c>
      <c r="BS74" t="e">
        <f>AND('Planilla_General_07-12-2012_8_3'!G1104,"AAAAAE6/6EY=")</f>
        <v>#VALUE!</v>
      </c>
      <c r="BT74" t="e">
        <f>AND('Planilla_General_07-12-2012_8_3'!H1104,"AAAAAE6/6Ec=")</f>
        <v>#VALUE!</v>
      </c>
      <c r="BU74" t="e">
        <f>AND('Planilla_General_07-12-2012_8_3'!I1104,"AAAAAE6/6Eg=")</f>
        <v>#VALUE!</v>
      </c>
      <c r="BV74" t="e">
        <f>AND('Planilla_General_07-12-2012_8_3'!J1104,"AAAAAE6/6Ek=")</f>
        <v>#VALUE!</v>
      </c>
      <c r="BW74" t="e">
        <f>AND('Planilla_General_07-12-2012_8_3'!K1104,"AAAAAE6/6Eo=")</f>
        <v>#VALUE!</v>
      </c>
      <c r="BX74" t="e">
        <f>AND('Planilla_General_07-12-2012_8_3'!L1104,"AAAAAE6/6Es=")</f>
        <v>#VALUE!</v>
      </c>
      <c r="BY74" t="e">
        <f>AND('Planilla_General_07-12-2012_8_3'!M1104,"AAAAAE6/6Ew=")</f>
        <v>#VALUE!</v>
      </c>
      <c r="BZ74" t="e">
        <f>AND('Planilla_General_07-12-2012_8_3'!N1104,"AAAAAE6/6E0=")</f>
        <v>#VALUE!</v>
      </c>
      <c r="CA74" t="e">
        <f>AND('Planilla_General_07-12-2012_8_3'!O1104,"AAAAAE6/6E4=")</f>
        <v>#VALUE!</v>
      </c>
      <c r="CB74" t="e">
        <f>AND('Planilla_General_07-12-2012_8_3'!P1104,"AAAAAE6/6E8=")</f>
        <v>#VALUE!</v>
      </c>
      <c r="CC74">
        <f>IF('Planilla_General_07-12-2012_8_3'!1105:1105,"AAAAAE6/6FA=",0)</f>
        <v>0</v>
      </c>
      <c r="CD74" t="e">
        <f>AND('Planilla_General_07-12-2012_8_3'!A1105,"AAAAAE6/6FE=")</f>
        <v>#VALUE!</v>
      </c>
      <c r="CE74" t="e">
        <f>AND('Planilla_General_07-12-2012_8_3'!B1105,"AAAAAE6/6FI=")</f>
        <v>#VALUE!</v>
      </c>
      <c r="CF74" t="e">
        <f>AND('Planilla_General_07-12-2012_8_3'!C1105,"AAAAAE6/6FM=")</f>
        <v>#VALUE!</v>
      </c>
      <c r="CG74" t="e">
        <f>AND('Planilla_General_07-12-2012_8_3'!D1105,"AAAAAE6/6FQ=")</f>
        <v>#VALUE!</v>
      </c>
      <c r="CH74" t="e">
        <f>AND('Planilla_General_07-12-2012_8_3'!E1105,"AAAAAE6/6FU=")</f>
        <v>#VALUE!</v>
      </c>
      <c r="CI74" t="e">
        <f>AND('Planilla_General_07-12-2012_8_3'!F1105,"AAAAAE6/6FY=")</f>
        <v>#VALUE!</v>
      </c>
      <c r="CJ74" t="e">
        <f>AND('Planilla_General_07-12-2012_8_3'!G1105,"AAAAAE6/6Fc=")</f>
        <v>#VALUE!</v>
      </c>
      <c r="CK74" t="e">
        <f>AND('Planilla_General_07-12-2012_8_3'!H1105,"AAAAAE6/6Fg=")</f>
        <v>#VALUE!</v>
      </c>
      <c r="CL74" t="e">
        <f>AND('Planilla_General_07-12-2012_8_3'!I1105,"AAAAAE6/6Fk=")</f>
        <v>#VALUE!</v>
      </c>
      <c r="CM74" t="e">
        <f>AND('Planilla_General_07-12-2012_8_3'!J1105,"AAAAAE6/6Fo=")</f>
        <v>#VALUE!</v>
      </c>
      <c r="CN74" t="e">
        <f>AND('Planilla_General_07-12-2012_8_3'!K1105,"AAAAAE6/6Fs=")</f>
        <v>#VALUE!</v>
      </c>
      <c r="CO74" t="e">
        <f>AND('Planilla_General_07-12-2012_8_3'!L1105,"AAAAAE6/6Fw=")</f>
        <v>#VALUE!</v>
      </c>
      <c r="CP74" t="e">
        <f>AND('Planilla_General_07-12-2012_8_3'!M1105,"AAAAAE6/6F0=")</f>
        <v>#VALUE!</v>
      </c>
      <c r="CQ74" t="e">
        <f>AND('Planilla_General_07-12-2012_8_3'!N1105,"AAAAAE6/6F4=")</f>
        <v>#VALUE!</v>
      </c>
      <c r="CR74" t="e">
        <f>AND('Planilla_General_07-12-2012_8_3'!O1105,"AAAAAE6/6F8=")</f>
        <v>#VALUE!</v>
      </c>
      <c r="CS74" t="e">
        <f>AND('Planilla_General_07-12-2012_8_3'!P1105,"AAAAAE6/6GA=")</f>
        <v>#VALUE!</v>
      </c>
      <c r="CT74">
        <f>IF('Planilla_General_07-12-2012_8_3'!1106:1106,"AAAAAE6/6GE=",0)</f>
        <v>0</v>
      </c>
      <c r="CU74" t="e">
        <f>AND('Planilla_General_07-12-2012_8_3'!A1106,"AAAAAE6/6GI=")</f>
        <v>#VALUE!</v>
      </c>
      <c r="CV74" t="e">
        <f>AND('Planilla_General_07-12-2012_8_3'!B1106,"AAAAAE6/6GM=")</f>
        <v>#VALUE!</v>
      </c>
      <c r="CW74" t="e">
        <f>AND('Planilla_General_07-12-2012_8_3'!C1106,"AAAAAE6/6GQ=")</f>
        <v>#VALUE!</v>
      </c>
      <c r="CX74" t="e">
        <f>AND('Planilla_General_07-12-2012_8_3'!D1106,"AAAAAE6/6GU=")</f>
        <v>#VALUE!</v>
      </c>
      <c r="CY74" t="e">
        <f>AND('Planilla_General_07-12-2012_8_3'!E1106,"AAAAAE6/6GY=")</f>
        <v>#VALUE!</v>
      </c>
      <c r="CZ74" t="e">
        <f>AND('Planilla_General_07-12-2012_8_3'!F1106,"AAAAAE6/6Gc=")</f>
        <v>#VALUE!</v>
      </c>
      <c r="DA74" t="e">
        <f>AND('Planilla_General_07-12-2012_8_3'!G1106,"AAAAAE6/6Gg=")</f>
        <v>#VALUE!</v>
      </c>
      <c r="DB74" t="e">
        <f>AND('Planilla_General_07-12-2012_8_3'!H1106,"AAAAAE6/6Gk=")</f>
        <v>#VALUE!</v>
      </c>
      <c r="DC74" t="e">
        <f>AND('Planilla_General_07-12-2012_8_3'!I1106,"AAAAAE6/6Go=")</f>
        <v>#VALUE!</v>
      </c>
      <c r="DD74" t="e">
        <f>AND('Planilla_General_07-12-2012_8_3'!J1106,"AAAAAE6/6Gs=")</f>
        <v>#VALUE!</v>
      </c>
      <c r="DE74" t="e">
        <f>AND('Planilla_General_07-12-2012_8_3'!K1106,"AAAAAE6/6Gw=")</f>
        <v>#VALUE!</v>
      </c>
      <c r="DF74" t="e">
        <f>AND('Planilla_General_07-12-2012_8_3'!L1106,"AAAAAE6/6G0=")</f>
        <v>#VALUE!</v>
      </c>
      <c r="DG74" t="e">
        <f>AND('Planilla_General_07-12-2012_8_3'!M1106,"AAAAAE6/6G4=")</f>
        <v>#VALUE!</v>
      </c>
      <c r="DH74" t="e">
        <f>AND('Planilla_General_07-12-2012_8_3'!N1106,"AAAAAE6/6G8=")</f>
        <v>#VALUE!</v>
      </c>
      <c r="DI74" t="e">
        <f>AND('Planilla_General_07-12-2012_8_3'!O1106,"AAAAAE6/6HA=")</f>
        <v>#VALUE!</v>
      </c>
      <c r="DJ74" t="e">
        <f>AND('Planilla_General_07-12-2012_8_3'!P1106,"AAAAAE6/6HE=")</f>
        <v>#VALUE!</v>
      </c>
      <c r="DK74">
        <f>IF('Planilla_General_07-12-2012_8_3'!1107:1107,"AAAAAE6/6HI=",0)</f>
        <v>0</v>
      </c>
      <c r="DL74" t="e">
        <f>AND('Planilla_General_07-12-2012_8_3'!A1107,"AAAAAE6/6HM=")</f>
        <v>#VALUE!</v>
      </c>
      <c r="DM74" t="e">
        <f>AND('Planilla_General_07-12-2012_8_3'!B1107,"AAAAAE6/6HQ=")</f>
        <v>#VALUE!</v>
      </c>
      <c r="DN74" t="e">
        <f>AND('Planilla_General_07-12-2012_8_3'!C1107,"AAAAAE6/6HU=")</f>
        <v>#VALUE!</v>
      </c>
      <c r="DO74" t="e">
        <f>AND('Planilla_General_07-12-2012_8_3'!D1107,"AAAAAE6/6HY=")</f>
        <v>#VALUE!</v>
      </c>
      <c r="DP74" t="e">
        <f>AND('Planilla_General_07-12-2012_8_3'!E1107,"AAAAAE6/6Hc=")</f>
        <v>#VALUE!</v>
      </c>
      <c r="DQ74" t="e">
        <f>AND('Planilla_General_07-12-2012_8_3'!F1107,"AAAAAE6/6Hg=")</f>
        <v>#VALUE!</v>
      </c>
      <c r="DR74" t="e">
        <f>AND('Planilla_General_07-12-2012_8_3'!G1107,"AAAAAE6/6Hk=")</f>
        <v>#VALUE!</v>
      </c>
      <c r="DS74" t="e">
        <f>AND('Planilla_General_07-12-2012_8_3'!H1107,"AAAAAE6/6Ho=")</f>
        <v>#VALUE!</v>
      </c>
      <c r="DT74" t="e">
        <f>AND('Planilla_General_07-12-2012_8_3'!I1107,"AAAAAE6/6Hs=")</f>
        <v>#VALUE!</v>
      </c>
      <c r="DU74" t="e">
        <f>AND('Planilla_General_07-12-2012_8_3'!J1107,"AAAAAE6/6Hw=")</f>
        <v>#VALUE!</v>
      </c>
      <c r="DV74" t="e">
        <f>AND('Planilla_General_07-12-2012_8_3'!K1107,"AAAAAE6/6H0=")</f>
        <v>#VALUE!</v>
      </c>
      <c r="DW74" t="e">
        <f>AND('Planilla_General_07-12-2012_8_3'!L1107,"AAAAAE6/6H4=")</f>
        <v>#VALUE!</v>
      </c>
      <c r="DX74" t="e">
        <f>AND('Planilla_General_07-12-2012_8_3'!M1107,"AAAAAE6/6H8=")</f>
        <v>#VALUE!</v>
      </c>
      <c r="DY74" t="e">
        <f>AND('Planilla_General_07-12-2012_8_3'!N1107,"AAAAAE6/6IA=")</f>
        <v>#VALUE!</v>
      </c>
      <c r="DZ74" t="e">
        <f>AND('Planilla_General_07-12-2012_8_3'!O1107,"AAAAAE6/6IE=")</f>
        <v>#VALUE!</v>
      </c>
      <c r="EA74" t="e">
        <f>AND('Planilla_General_07-12-2012_8_3'!P1107,"AAAAAE6/6II=")</f>
        <v>#VALUE!</v>
      </c>
      <c r="EB74">
        <f>IF('Planilla_General_07-12-2012_8_3'!1108:1108,"AAAAAE6/6IM=",0)</f>
        <v>0</v>
      </c>
      <c r="EC74" t="e">
        <f>AND('Planilla_General_07-12-2012_8_3'!A1108,"AAAAAE6/6IQ=")</f>
        <v>#VALUE!</v>
      </c>
      <c r="ED74" t="e">
        <f>AND('Planilla_General_07-12-2012_8_3'!B1108,"AAAAAE6/6IU=")</f>
        <v>#VALUE!</v>
      </c>
      <c r="EE74" t="e">
        <f>AND('Planilla_General_07-12-2012_8_3'!C1108,"AAAAAE6/6IY=")</f>
        <v>#VALUE!</v>
      </c>
      <c r="EF74" t="e">
        <f>AND('Planilla_General_07-12-2012_8_3'!D1108,"AAAAAE6/6Ic=")</f>
        <v>#VALUE!</v>
      </c>
      <c r="EG74" t="e">
        <f>AND('Planilla_General_07-12-2012_8_3'!E1108,"AAAAAE6/6Ig=")</f>
        <v>#VALUE!</v>
      </c>
      <c r="EH74" t="e">
        <f>AND('Planilla_General_07-12-2012_8_3'!F1108,"AAAAAE6/6Ik=")</f>
        <v>#VALUE!</v>
      </c>
      <c r="EI74" t="e">
        <f>AND('Planilla_General_07-12-2012_8_3'!G1108,"AAAAAE6/6Io=")</f>
        <v>#VALUE!</v>
      </c>
      <c r="EJ74" t="e">
        <f>AND('Planilla_General_07-12-2012_8_3'!H1108,"AAAAAE6/6Is=")</f>
        <v>#VALUE!</v>
      </c>
      <c r="EK74" t="e">
        <f>AND('Planilla_General_07-12-2012_8_3'!I1108,"AAAAAE6/6Iw=")</f>
        <v>#VALUE!</v>
      </c>
      <c r="EL74" t="e">
        <f>AND('Planilla_General_07-12-2012_8_3'!J1108,"AAAAAE6/6I0=")</f>
        <v>#VALUE!</v>
      </c>
      <c r="EM74" t="e">
        <f>AND('Planilla_General_07-12-2012_8_3'!K1108,"AAAAAE6/6I4=")</f>
        <v>#VALUE!</v>
      </c>
      <c r="EN74" t="e">
        <f>AND('Planilla_General_07-12-2012_8_3'!L1108,"AAAAAE6/6I8=")</f>
        <v>#VALUE!</v>
      </c>
      <c r="EO74" t="e">
        <f>AND('Planilla_General_07-12-2012_8_3'!M1108,"AAAAAE6/6JA=")</f>
        <v>#VALUE!</v>
      </c>
      <c r="EP74" t="e">
        <f>AND('Planilla_General_07-12-2012_8_3'!N1108,"AAAAAE6/6JE=")</f>
        <v>#VALUE!</v>
      </c>
      <c r="EQ74" t="e">
        <f>AND('Planilla_General_07-12-2012_8_3'!O1108,"AAAAAE6/6JI=")</f>
        <v>#VALUE!</v>
      </c>
      <c r="ER74" t="e">
        <f>AND('Planilla_General_07-12-2012_8_3'!P1108,"AAAAAE6/6JM=")</f>
        <v>#VALUE!</v>
      </c>
      <c r="ES74">
        <f>IF('Planilla_General_07-12-2012_8_3'!1109:1109,"AAAAAE6/6JQ=",0)</f>
        <v>0</v>
      </c>
      <c r="ET74" t="e">
        <f>AND('Planilla_General_07-12-2012_8_3'!A1109,"AAAAAE6/6JU=")</f>
        <v>#VALUE!</v>
      </c>
      <c r="EU74" t="e">
        <f>AND('Planilla_General_07-12-2012_8_3'!B1109,"AAAAAE6/6JY=")</f>
        <v>#VALUE!</v>
      </c>
      <c r="EV74" t="e">
        <f>AND('Planilla_General_07-12-2012_8_3'!C1109,"AAAAAE6/6Jc=")</f>
        <v>#VALUE!</v>
      </c>
      <c r="EW74" t="e">
        <f>AND('Planilla_General_07-12-2012_8_3'!D1109,"AAAAAE6/6Jg=")</f>
        <v>#VALUE!</v>
      </c>
      <c r="EX74" t="e">
        <f>AND('Planilla_General_07-12-2012_8_3'!E1109,"AAAAAE6/6Jk=")</f>
        <v>#VALUE!</v>
      </c>
      <c r="EY74" t="e">
        <f>AND('Planilla_General_07-12-2012_8_3'!F1109,"AAAAAE6/6Jo=")</f>
        <v>#VALUE!</v>
      </c>
      <c r="EZ74" t="e">
        <f>AND('Planilla_General_07-12-2012_8_3'!G1109,"AAAAAE6/6Js=")</f>
        <v>#VALUE!</v>
      </c>
      <c r="FA74" t="e">
        <f>AND('Planilla_General_07-12-2012_8_3'!H1109,"AAAAAE6/6Jw=")</f>
        <v>#VALUE!</v>
      </c>
      <c r="FB74" t="e">
        <f>AND('Planilla_General_07-12-2012_8_3'!I1109,"AAAAAE6/6J0=")</f>
        <v>#VALUE!</v>
      </c>
      <c r="FC74" t="e">
        <f>AND('Planilla_General_07-12-2012_8_3'!J1109,"AAAAAE6/6J4=")</f>
        <v>#VALUE!</v>
      </c>
      <c r="FD74" t="e">
        <f>AND('Planilla_General_07-12-2012_8_3'!K1109,"AAAAAE6/6J8=")</f>
        <v>#VALUE!</v>
      </c>
      <c r="FE74" t="e">
        <f>AND('Planilla_General_07-12-2012_8_3'!L1109,"AAAAAE6/6KA=")</f>
        <v>#VALUE!</v>
      </c>
      <c r="FF74" t="e">
        <f>AND('Planilla_General_07-12-2012_8_3'!M1109,"AAAAAE6/6KE=")</f>
        <v>#VALUE!</v>
      </c>
      <c r="FG74" t="e">
        <f>AND('Planilla_General_07-12-2012_8_3'!N1109,"AAAAAE6/6KI=")</f>
        <v>#VALUE!</v>
      </c>
      <c r="FH74" t="e">
        <f>AND('Planilla_General_07-12-2012_8_3'!O1109,"AAAAAE6/6KM=")</f>
        <v>#VALUE!</v>
      </c>
      <c r="FI74" t="e">
        <f>AND('Planilla_General_07-12-2012_8_3'!P1109,"AAAAAE6/6KQ=")</f>
        <v>#VALUE!</v>
      </c>
      <c r="FJ74">
        <f>IF('Planilla_General_07-12-2012_8_3'!1110:1110,"AAAAAE6/6KU=",0)</f>
        <v>0</v>
      </c>
      <c r="FK74" t="e">
        <f>AND('Planilla_General_07-12-2012_8_3'!A1110,"AAAAAE6/6KY=")</f>
        <v>#VALUE!</v>
      </c>
      <c r="FL74" t="e">
        <f>AND('Planilla_General_07-12-2012_8_3'!B1110,"AAAAAE6/6Kc=")</f>
        <v>#VALUE!</v>
      </c>
      <c r="FM74" t="e">
        <f>AND('Planilla_General_07-12-2012_8_3'!C1110,"AAAAAE6/6Kg=")</f>
        <v>#VALUE!</v>
      </c>
      <c r="FN74" t="e">
        <f>AND('Planilla_General_07-12-2012_8_3'!D1110,"AAAAAE6/6Kk=")</f>
        <v>#VALUE!</v>
      </c>
      <c r="FO74" t="e">
        <f>AND('Planilla_General_07-12-2012_8_3'!E1110,"AAAAAE6/6Ko=")</f>
        <v>#VALUE!</v>
      </c>
      <c r="FP74" t="e">
        <f>AND('Planilla_General_07-12-2012_8_3'!F1110,"AAAAAE6/6Ks=")</f>
        <v>#VALUE!</v>
      </c>
      <c r="FQ74" t="e">
        <f>AND('Planilla_General_07-12-2012_8_3'!G1110,"AAAAAE6/6Kw=")</f>
        <v>#VALUE!</v>
      </c>
      <c r="FR74" t="e">
        <f>AND('Planilla_General_07-12-2012_8_3'!H1110,"AAAAAE6/6K0=")</f>
        <v>#VALUE!</v>
      </c>
      <c r="FS74" t="e">
        <f>AND('Planilla_General_07-12-2012_8_3'!I1110,"AAAAAE6/6K4=")</f>
        <v>#VALUE!</v>
      </c>
      <c r="FT74" t="e">
        <f>AND('Planilla_General_07-12-2012_8_3'!J1110,"AAAAAE6/6K8=")</f>
        <v>#VALUE!</v>
      </c>
      <c r="FU74" t="e">
        <f>AND('Planilla_General_07-12-2012_8_3'!K1110,"AAAAAE6/6LA=")</f>
        <v>#VALUE!</v>
      </c>
      <c r="FV74" t="e">
        <f>AND('Planilla_General_07-12-2012_8_3'!L1110,"AAAAAE6/6LE=")</f>
        <v>#VALUE!</v>
      </c>
      <c r="FW74" t="e">
        <f>AND('Planilla_General_07-12-2012_8_3'!M1110,"AAAAAE6/6LI=")</f>
        <v>#VALUE!</v>
      </c>
      <c r="FX74" t="e">
        <f>AND('Planilla_General_07-12-2012_8_3'!N1110,"AAAAAE6/6LM=")</f>
        <v>#VALUE!</v>
      </c>
      <c r="FY74" t="e">
        <f>AND('Planilla_General_07-12-2012_8_3'!O1110,"AAAAAE6/6LQ=")</f>
        <v>#VALUE!</v>
      </c>
      <c r="FZ74" t="e">
        <f>AND('Planilla_General_07-12-2012_8_3'!P1110,"AAAAAE6/6LU=")</f>
        <v>#VALUE!</v>
      </c>
      <c r="GA74">
        <f>IF('Planilla_General_07-12-2012_8_3'!1111:1111,"AAAAAE6/6LY=",0)</f>
        <v>0</v>
      </c>
      <c r="GB74" t="e">
        <f>AND('Planilla_General_07-12-2012_8_3'!A1111,"AAAAAE6/6Lc=")</f>
        <v>#VALUE!</v>
      </c>
      <c r="GC74" t="e">
        <f>AND('Planilla_General_07-12-2012_8_3'!B1111,"AAAAAE6/6Lg=")</f>
        <v>#VALUE!</v>
      </c>
      <c r="GD74" t="e">
        <f>AND('Planilla_General_07-12-2012_8_3'!C1111,"AAAAAE6/6Lk=")</f>
        <v>#VALUE!</v>
      </c>
      <c r="GE74" t="e">
        <f>AND('Planilla_General_07-12-2012_8_3'!D1111,"AAAAAE6/6Lo=")</f>
        <v>#VALUE!</v>
      </c>
      <c r="GF74" t="e">
        <f>AND('Planilla_General_07-12-2012_8_3'!E1111,"AAAAAE6/6Ls=")</f>
        <v>#VALUE!</v>
      </c>
      <c r="GG74" t="e">
        <f>AND('Planilla_General_07-12-2012_8_3'!F1111,"AAAAAE6/6Lw=")</f>
        <v>#VALUE!</v>
      </c>
      <c r="GH74" t="e">
        <f>AND('Planilla_General_07-12-2012_8_3'!G1111,"AAAAAE6/6L0=")</f>
        <v>#VALUE!</v>
      </c>
      <c r="GI74" t="e">
        <f>AND('Planilla_General_07-12-2012_8_3'!H1111,"AAAAAE6/6L4=")</f>
        <v>#VALUE!</v>
      </c>
      <c r="GJ74" t="e">
        <f>AND('Planilla_General_07-12-2012_8_3'!I1111,"AAAAAE6/6L8=")</f>
        <v>#VALUE!</v>
      </c>
      <c r="GK74" t="e">
        <f>AND('Planilla_General_07-12-2012_8_3'!J1111,"AAAAAE6/6MA=")</f>
        <v>#VALUE!</v>
      </c>
      <c r="GL74" t="e">
        <f>AND('Planilla_General_07-12-2012_8_3'!K1111,"AAAAAE6/6ME=")</f>
        <v>#VALUE!</v>
      </c>
      <c r="GM74" t="e">
        <f>AND('Planilla_General_07-12-2012_8_3'!L1111,"AAAAAE6/6MI=")</f>
        <v>#VALUE!</v>
      </c>
      <c r="GN74" t="e">
        <f>AND('Planilla_General_07-12-2012_8_3'!M1111,"AAAAAE6/6MM=")</f>
        <v>#VALUE!</v>
      </c>
      <c r="GO74" t="e">
        <f>AND('Planilla_General_07-12-2012_8_3'!N1111,"AAAAAE6/6MQ=")</f>
        <v>#VALUE!</v>
      </c>
      <c r="GP74" t="e">
        <f>AND('Planilla_General_07-12-2012_8_3'!O1111,"AAAAAE6/6MU=")</f>
        <v>#VALUE!</v>
      </c>
      <c r="GQ74" t="e">
        <f>AND('Planilla_General_07-12-2012_8_3'!P1111,"AAAAAE6/6MY=")</f>
        <v>#VALUE!</v>
      </c>
      <c r="GR74">
        <f>IF('Planilla_General_07-12-2012_8_3'!1112:1112,"AAAAAE6/6Mc=",0)</f>
        <v>0</v>
      </c>
      <c r="GS74" t="e">
        <f>AND('Planilla_General_07-12-2012_8_3'!A1112,"AAAAAE6/6Mg=")</f>
        <v>#VALUE!</v>
      </c>
      <c r="GT74" t="e">
        <f>AND('Planilla_General_07-12-2012_8_3'!B1112,"AAAAAE6/6Mk=")</f>
        <v>#VALUE!</v>
      </c>
      <c r="GU74" t="e">
        <f>AND('Planilla_General_07-12-2012_8_3'!C1112,"AAAAAE6/6Mo=")</f>
        <v>#VALUE!</v>
      </c>
      <c r="GV74" t="e">
        <f>AND('Planilla_General_07-12-2012_8_3'!D1112,"AAAAAE6/6Ms=")</f>
        <v>#VALUE!</v>
      </c>
      <c r="GW74" t="e">
        <f>AND('Planilla_General_07-12-2012_8_3'!E1112,"AAAAAE6/6Mw=")</f>
        <v>#VALUE!</v>
      </c>
      <c r="GX74" t="e">
        <f>AND('Planilla_General_07-12-2012_8_3'!F1112,"AAAAAE6/6M0=")</f>
        <v>#VALUE!</v>
      </c>
      <c r="GY74" t="e">
        <f>AND('Planilla_General_07-12-2012_8_3'!G1112,"AAAAAE6/6M4=")</f>
        <v>#VALUE!</v>
      </c>
      <c r="GZ74" t="e">
        <f>AND('Planilla_General_07-12-2012_8_3'!H1112,"AAAAAE6/6M8=")</f>
        <v>#VALUE!</v>
      </c>
      <c r="HA74" t="e">
        <f>AND('Planilla_General_07-12-2012_8_3'!I1112,"AAAAAE6/6NA=")</f>
        <v>#VALUE!</v>
      </c>
      <c r="HB74" t="e">
        <f>AND('Planilla_General_07-12-2012_8_3'!J1112,"AAAAAE6/6NE=")</f>
        <v>#VALUE!</v>
      </c>
      <c r="HC74" t="e">
        <f>AND('Planilla_General_07-12-2012_8_3'!K1112,"AAAAAE6/6NI=")</f>
        <v>#VALUE!</v>
      </c>
      <c r="HD74" t="e">
        <f>AND('Planilla_General_07-12-2012_8_3'!L1112,"AAAAAE6/6NM=")</f>
        <v>#VALUE!</v>
      </c>
      <c r="HE74" t="e">
        <f>AND('Planilla_General_07-12-2012_8_3'!M1112,"AAAAAE6/6NQ=")</f>
        <v>#VALUE!</v>
      </c>
      <c r="HF74" t="e">
        <f>AND('Planilla_General_07-12-2012_8_3'!N1112,"AAAAAE6/6NU=")</f>
        <v>#VALUE!</v>
      </c>
      <c r="HG74" t="e">
        <f>AND('Planilla_General_07-12-2012_8_3'!O1112,"AAAAAE6/6NY=")</f>
        <v>#VALUE!</v>
      </c>
      <c r="HH74" t="e">
        <f>AND('Planilla_General_07-12-2012_8_3'!P1112,"AAAAAE6/6Nc=")</f>
        <v>#VALUE!</v>
      </c>
      <c r="HI74">
        <f>IF('Planilla_General_07-12-2012_8_3'!1113:1113,"AAAAAE6/6Ng=",0)</f>
        <v>0</v>
      </c>
      <c r="HJ74" t="e">
        <f>AND('Planilla_General_07-12-2012_8_3'!A1113,"AAAAAE6/6Nk=")</f>
        <v>#VALUE!</v>
      </c>
      <c r="HK74" t="e">
        <f>AND('Planilla_General_07-12-2012_8_3'!B1113,"AAAAAE6/6No=")</f>
        <v>#VALUE!</v>
      </c>
      <c r="HL74" t="e">
        <f>AND('Planilla_General_07-12-2012_8_3'!C1113,"AAAAAE6/6Ns=")</f>
        <v>#VALUE!</v>
      </c>
      <c r="HM74" t="e">
        <f>AND('Planilla_General_07-12-2012_8_3'!D1113,"AAAAAE6/6Nw=")</f>
        <v>#VALUE!</v>
      </c>
      <c r="HN74" t="e">
        <f>AND('Planilla_General_07-12-2012_8_3'!E1113,"AAAAAE6/6N0=")</f>
        <v>#VALUE!</v>
      </c>
      <c r="HO74" t="e">
        <f>AND('Planilla_General_07-12-2012_8_3'!F1113,"AAAAAE6/6N4=")</f>
        <v>#VALUE!</v>
      </c>
      <c r="HP74" t="e">
        <f>AND('Planilla_General_07-12-2012_8_3'!G1113,"AAAAAE6/6N8=")</f>
        <v>#VALUE!</v>
      </c>
      <c r="HQ74" t="e">
        <f>AND('Planilla_General_07-12-2012_8_3'!H1113,"AAAAAE6/6OA=")</f>
        <v>#VALUE!</v>
      </c>
      <c r="HR74" t="e">
        <f>AND('Planilla_General_07-12-2012_8_3'!I1113,"AAAAAE6/6OE=")</f>
        <v>#VALUE!</v>
      </c>
      <c r="HS74" t="e">
        <f>AND('Planilla_General_07-12-2012_8_3'!J1113,"AAAAAE6/6OI=")</f>
        <v>#VALUE!</v>
      </c>
      <c r="HT74" t="e">
        <f>AND('Planilla_General_07-12-2012_8_3'!K1113,"AAAAAE6/6OM=")</f>
        <v>#VALUE!</v>
      </c>
      <c r="HU74" t="e">
        <f>AND('Planilla_General_07-12-2012_8_3'!L1113,"AAAAAE6/6OQ=")</f>
        <v>#VALUE!</v>
      </c>
      <c r="HV74" t="e">
        <f>AND('Planilla_General_07-12-2012_8_3'!M1113,"AAAAAE6/6OU=")</f>
        <v>#VALUE!</v>
      </c>
      <c r="HW74" t="e">
        <f>AND('Planilla_General_07-12-2012_8_3'!N1113,"AAAAAE6/6OY=")</f>
        <v>#VALUE!</v>
      </c>
      <c r="HX74" t="e">
        <f>AND('Planilla_General_07-12-2012_8_3'!O1113,"AAAAAE6/6Oc=")</f>
        <v>#VALUE!</v>
      </c>
      <c r="HY74" t="e">
        <f>AND('Planilla_General_07-12-2012_8_3'!P1113,"AAAAAE6/6Og=")</f>
        <v>#VALUE!</v>
      </c>
      <c r="HZ74">
        <f>IF('Planilla_General_07-12-2012_8_3'!1114:1114,"AAAAAE6/6Ok=",0)</f>
        <v>0</v>
      </c>
      <c r="IA74" t="e">
        <f>AND('Planilla_General_07-12-2012_8_3'!A1114,"AAAAAE6/6Oo=")</f>
        <v>#VALUE!</v>
      </c>
      <c r="IB74" t="e">
        <f>AND('Planilla_General_07-12-2012_8_3'!B1114,"AAAAAE6/6Os=")</f>
        <v>#VALUE!</v>
      </c>
      <c r="IC74" t="e">
        <f>AND('Planilla_General_07-12-2012_8_3'!C1114,"AAAAAE6/6Ow=")</f>
        <v>#VALUE!</v>
      </c>
      <c r="ID74" t="e">
        <f>AND('Planilla_General_07-12-2012_8_3'!D1114,"AAAAAE6/6O0=")</f>
        <v>#VALUE!</v>
      </c>
      <c r="IE74" t="e">
        <f>AND('Planilla_General_07-12-2012_8_3'!E1114,"AAAAAE6/6O4=")</f>
        <v>#VALUE!</v>
      </c>
      <c r="IF74" t="e">
        <f>AND('Planilla_General_07-12-2012_8_3'!F1114,"AAAAAE6/6O8=")</f>
        <v>#VALUE!</v>
      </c>
      <c r="IG74" t="e">
        <f>AND('Planilla_General_07-12-2012_8_3'!G1114,"AAAAAE6/6PA=")</f>
        <v>#VALUE!</v>
      </c>
      <c r="IH74" t="e">
        <f>AND('Planilla_General_07-12-2012_8_3'!H1114,"AAAAAE6/6PE=")</f>
        <v>#VALUE!</v>
      </c>
      <c r="II74" t="e">
        <f>AND('Planilla_General_07-12-2012_8_3'!I1114,"AAAAAE6/6PI=")</f>
        <v>#VALUE!</v>
      </c>
      <c r="IJ74" t="e">
        <f>AND('Planilla_General_07-12-2012_8_3'!J1114,"AAAAAE6/6PM=")</f>
        <v>#VALUE!</v>
      </c>
      <c r="IK74" t="e">
        <f>AND('Planilla_General_07-12-2012_8_3'!K1114,"AAAAAE6/6PQ=")</f>
        <v>#VALUE!</v>
      </c>
      <c r="IL74" t="e">
        <f>AND('Planilla_General_07-12-2012_8_3'!L1114,"AAAAAE6/6PU=")</f>
        <v>#VALUE!</v>
      </c>
      <c r="IM74" t="e">
        <f>AND('Planilla_General_07-12-2012_8_3'!M1114,"AAAAAE6/6PY=")</f>
        <v>#VALUE!</v>
      </c>
      <c r="IN74" t="e">
        <f>AND('Planilla_General_07-12-2012_8_3'!N1114,"AAAAAE6/6Pc=")</f>
        <v>#VALUE!</v>
      </c>
      <c r="IO74" t="e">
        <f>AND('Planilla_General_07-12-2012_8_3'!O1114,"AAAAAE6/6Pg=")</f>
        <v>#VALUE!</v>
      </c>
      <c r="IP74" t="e">
        <f>AND('Planilla_General_07-12-2012_8_3'!P1114,"AAAAAE6/6Pk=")</f>
        <v>#VALUE!</v>
      </c>
      <c r="IQ74">
        <f>IF('Planilla_General_07-12-2012_8_3'!1115:1115,"AAAAAE6/6Po=",0)</f>
        <v>0</v>
      </c>
      <c r="IR74" t="e">
        <f>AND('Planilla_General_07-12-2012_8_3'!A1115,"AAAAAE6/6Ps=")</f>
        <v>#VALUE!</v>
      </c>
      <c r="IS74" t="e">
        <f>AND('Planilla_General_07-12-2012_8_3'!B1115,"AAAAAE6/6Pw=")</f>
        <v>#VALUE!</v>
      </c>
      <c r="IT74" t="e">
        <f>AND('Planilla_General_07-12-2012_8_3'!C1115,"AAAAAE6/6P0=")</f>
        <v>#VALUE!</v>
      </c>
      <c r="IU74" t="e">
        <f>AND('Planilla_General_07-12-2012_8_3'!D1115,"AAAAAE6/6P4=")</f>
        <v>#VALUE!</v>
      </c>
      <c r="IV74" t="e">
        <f>AND('Planilla_General_07-12-2012_8_3'!E1115,"AAAAAE6/6P8=")</f>
        <v>#VALUE!</v>
      </c>
    </row>
    <row r="75" spans="1:256" x14ac:dyDescent="0.25">
      <c r="A75" t="e">
        <f>AND('Planilla_General_07-12-2012_8_3'!F1115,"AAAAAFn39QA=")</f>
        <v>#VALUE!</v>
      </c>
      <c r="B75" t="e">
        <f>AND('Planilla_General_07-12-2012_8_3'!G1115,"AAAAAFn39QE=")</f>
        <v>#VALUE!</v>
      </c>
      <c r="C75" t="e">
        <f>AND('Planilla_General_07-12-2012_8_3'!H1115,"AAAAAFn39QI=")</f>
        <v>#VALUE!</v>
      </c>
      <c r="D75" t="e">
        <f>AND('Planilla_General_07-12-2012_8_3'!I1115,"AAAAAFn39QM=")</f>
        <v>#VALUE!</v>
      </c>
      <c r="E75" t="e">
        <f>AND('Planilla_General_07-12-2012_8_3'!J1115,"AAAAAFn39QQ=")</f>
        <v>#VALUE!</v>
      </c>
      <c r="F75" t="e">
        <f>AND('Planilla_General_07-12-2012_8_3'!K1115,"AAAAAFn39QU=")</f>
        <v>#VALUE!</v>
      </c>
      <c r="G75" t="e">
        <f>AND('Planilla_General_07-12-2012_8_3'!L1115,"AAAAAFn39QY=")</f>
        <v>#VALUE!</v>
      </c>
      <c r="H75" t="e">
        <f>AND('Planilla_General_07-12-2012_8_3'!M1115,"AAAAAFn39Qc=")</f>
        <v>#VALUE!</v>
      </c>
      <c r="I75" t="e">
        <f>AND('Planilla_General_07-12-2012_8_3'!N1115,"AAAAAFn39Qg=")</f>
        <v>#VALUE!</v>
      </c>
      <c r="J75" t="e">
        <f>AND('Planilla_General_07-12-2012_8_3'!O1115,"AAAAAFn39Qk=")</f>
        <v>#VALUE!</v>
      </c>
      <c r="K75" t="e">
        <f>AND('Planilla_General_07-12-2012_8_3'!P1115,"AAAAAFn39Qo=")</f>
        <v>#VALUE!</v>
      </c>
      <c r="L75" t="str">
        <f>IF('Planilla_General_07-12-2012_8_3'!1116:1116,"AAAAAFn39Qs=",0)</f>
        <v>AAAAAFn39Qs=</v>
      </c>
      <c r="M75" t="e">
        <f>AND('Planilla_General_07-12-2012_8_3'!A1116,"AAAAAFn39Qw=")</f>
        <v>#VALUE!</v>
      </c>
      <c r="N75" t="e">
        <f>AND('Planilla_General_07-12-2012_8_3'!B1116,"AAAAAFn39Q0=")</f>
        <v>#VALUE!</v>
      </c>
      <c r="O75" t="e">
        <f>AND('Planilla_General_07-12-2012_8_3'!C1116,"AAAAAFn39Q4=")</f>
        <v>#VALUE!</v>
      </c>
      <c r="P75" t="e">
        <f>AND('Planilla_General_07-12-2012_8_3'!D1116,"AAAAAFn39Q8=")</f>
        <v>#VALUE!</v>
      </c>
      <c r="Q75" t="e">
        <f>AND('Planilla_General_07-12-2012_8_3'!E1116,"AAAAAFn39RA=")</f>
        <v>#VALUE!</v>
      </c>
      <c r="R75" t="e">
        <f>AND('Planilla_General_07-12-2012_8_3'!F1116,"AAAAAFn39RE=")</f>
        <v>#VALUE!</v>
      </c>
      <c r="S75" t="e">
        <f>AND('Planilla_General_07-12-2012_8_3'!G1116,"AAAAAFn39RI=")</f>
        <v>#VALUE!</v>
      </c>
      <c r="T75" t="e">
        <f>AND('Planilla_General_07-12-2012_8_3'!H1116,"AAAAAFn39RM=")</f>
        <v>#VALUE!</v>
      </c>
      <c r="U75" t="e">
        <f>AND('Planilla_General_07-12-2012_8_3'!I1116,"AAAAAFn39RQ=")</f>
        <v>#VALUE!</v>
      </c>
      <c r="V75" t="e">
        <f>AND('Planilla_General_07-12-2012_8_3'!J1116,"AAAAAFn39RU=")</f>
        <v>#VALUE!</v>
      </c>
      <c r="W75" t="e">
        <f>AND('Planilla_General_07-12-2012_8_3'!K1116,"AAAAAFn39RY=")</f>
        <v>#VALUE!</v>
      </c>
      <c r="X75" t="e">
        <f>AND('Planilla_General_07-12-2012_8_3'!L1116,"AAAAAFn39Rc=")</f>
        <v>#VALUE!</v>
      </c>
      <c r="Y75" t="e">
        <f>AND('Planilla_General_07-12-2012_8_3'!M1116,"AAAAAFn39Rg=")</f>
        <v>#VALUE!</v>
      </c>
      <c r="Z75" t="e">
        <f>AND('Planilla_General_07-12-2012_8_3'!N1116,"AAAAAFn39Rk=")</f>
        <v>#VALUE!</v>
      </c>
      <c r="AA75" t="e">
        <f>AND('Planilla_General_07-12-2012_8_3'!O1116,"AAAAAFn39Ro=")</f>
        <v>#VALUE!</v>
      </c>
      <c r="AB75" t="e">
        <f>AND('Planilla_General_07-12-2012_8_3'!P1116,"AAAAAFn39Rs=")</f>
        <v>#VALUE!</v>
      </c>
      <c r="AC75">
        <f>IF('Planilla_General_07-12-2012_8_3'!1117:1117,"AAAAAFn39Rw=",0)</f>
        <v>0</v>
      </c>
      <c r="AD75" t="e">
        <f>AND('Planilla_General_07-12-2012_8_3'!A1117,"AAAAAFn39R0=")</f>
        <v>#VALUE!</v>
      </c>
      <c r="AE75" t="e">
        <f>AND('Planilla_General_07-12-2012_8_3'!B1117,"AAAAAFn39R4=")</f>
        <v>#VALUE!</v>
      </c>
      <c r="AF75" t="e">
        <f>AND('Planilla_General_07-12-2012_8_3'!C1117,"AAAAAFn39R8=")</f>
        <v>#VALUE!</v>
      </c>
      <c r="AG75" t="e">
        <f>AND('Planilla_General_07-12-2012_8_3'!D1117,"AAAAAFn39SA=")</f>
        <v>#VALUE!</v>
      </c>
      <c r="AH75" t="e">
        <f>AND('Planilla_General_07-12-2012_8_3'!E1117,"AAAAAFn39SE=")</f>
        <v>#VALUE!</v>
      </c>
      <c r="AI75" t="e">
        <f>AND('Planilla_General_07-12-2012_8_3'!F1117,"AAAAAFn39SI=")</f>
        <v>#VALUE!</v>
      </c>
      <c r="AJ75" t="e">
        <f>AND('Planilla_General_07-12-2012_8_3'!G1117,"AAAAAFn39SM=")</f>
        <v>#VALUE!</v>
      </c>
      <c r="AK75" t="e">
        <f>AND('Planilla_General_07-12-2012_8_3'!H1117,"AAAAAFn39SQ=")</f>
        <v>#VALUE!</v>
      </c>
      <c r="AL75" t="e">
        <f>AND('Planilla_General_07-12-2012_8_3'!I1117,"AAAAAFn39SU=")</f>
        <v>#VALUE!</v>
      </c>
      <c r="AM75" t="e">
        <f>AND('Planilla_General_07-12-2012_8_3'!J1117,"AAAAAFn39SY=")</f>
        <v>#VALUE!</v>
      </c>
      <c r="AN75" t="e">
        <f>AND('Planilla_General_07-12-2012_8_3'!K1117,"AAAAAFn39Sc=")</f>
        <v>#VALUE!</v>
      </c>
      <c r="AO75" t="e">
        <f>AND('Planilla_General_07-12-2012_8_3'!L1117,"AAAAAFn39Sg=")</f>
        <v>#VALUE!</v>
      </c>
      <c r="AP75" t="e">
        <f>AND('Planilla_General_07-12-2012_8_3'!M1117,"AAAAAFn39Sk=")</f>
        <v>#VALUE!</v>
      </c>
      <c r="AQ75" t="e">
        <f>AND('Planilla_General_07-12-2012_8_3'!N1117,"AAAAAFn39So=")</f>
        <v>#VALUE!</v>
      </c>
      <c r="AR75" t="e">
        <f>AND('Planilla_General_07-12-2012_8_3'!O1117,"AAAAAFn39Ss=")</f>
        <v>#VALUE!</v>
      </c>
      <c r="AS75" t="e">
        <f>AND('Planilla_General_07-12-2012_8_3'!P1117,"AAAAAFn39Sw=")</f>
        <v>#VALUE!</v>
      </c>
      <c r="AT75">
        <f>IF('Planilla_General_07-12-2012_8_3'!1118:1118,"AAAAAFn39S0=",0)</f>
        <v>0</v>
      </c>
      <c r="AU75" t="e">
        <f>AND('Planilla_General_07-12-2012_8_3'!A1118,"AAAAAFn39S4=")</f>
        <v>#VALUE!</v>
      </c>
      <c r="AV75" t="e">
        <f>AND('Planilla_General_07-12-2012_8_3'!B1118,"AAAAAFn39S8=")</f>
        <v>#VALUE!</v>
      </c>
      <c r="AW75" t="e">
        <f>AND('Planilla_General_07-12-2012_8_3'!C1118,"AAAAAFn39TA=")</f>
        <v>#VALUE!</v>
      </c>
      <c r="AX75" t="e">
        <f>AND('Planilla_General_07-12-2012_8_3'!D1118,"AAAAAFn39TE=")</f>
        <v>#VALUE!</v>
      </c>
      <c r="AY75" t="e">
        <f>AND('Planilla_General_07-12-2012_8_3'!E1118,"AAAAAFn39TI=")</f>
        <v>#VALUE!</v>
      </c>
      <c r="AZ75" t="e">
        <f>AND('Planilla_General_07-12-2012_8_3'!F1118,"AAAAAFn39TM=")</f>
        <v>#VALUE!</v>
      </c>
      <c r="BA75" t="e">
        <f>AND('Planilla_General_07-12-2012_8_3'!G1118,"AAAAAFn39TQ=")</f>
        <v>#VALUE!</v>
      </c>
      <c r="BB75" t="e">
        <f>AND('Planilla_General_07-12-2012_8_3'!H1118,"AAAAAFn39TU=")</f>
        <v>#VALUE!</v>
      </c>
      <c r="BC75" t="e">
        <f>AND('Planilla_General_07-12-2012_8_3'!I1118,"AAAAAFn39TY=")</f>
        <v>#VALUE!</v>
      </c>
      <c r="BD75" t="e">
        <f>AND('Planilla_General_07-12-2012_8_3'!J1118,"AAAAAFn39Tc=")</f>
        <v>#VALUE!</v>
      </c>
      <c r="BE75" t="e">
        <f>AND('Planilla_General_07-12-2012_8_3'!K1118,"AAAAAFn39Tg=")</f>
        <v>#VALUE!</v>
      </c>
      <c r="BF75" t="e">
        <f>AND('Planilla_General_07-12-2012_8_3'!L1118,"AAAAAFn39Tk=")</f>
        <v>#VALUE!</v>
      </c>
      <c r="BG75" t="e">
        <f>AND('Planilla_General_07-12-2012_8_3'!M1118,"AAAAAFn39To=")</f>
        <v>#VALUE!</v>
      </c>
      <c r="BH75" t="e">
        <f>AND('Planilla_General_07-12-2012_8_3'!N1118,"AAAAAFn39Ts=")</f>
        <v>#VALUE!</v>
      </c>
      <c r="BI75" t="e">
        <f>AND('Planilla_General_07-12-2012_8_3'!O1118,"AAAAAFn39Tw=")</f>
        <v>#VALUE!</v>
      </c>
      <c r="BJ75" t="e">
        <f>AND('Planilla_General_07-12-2012_8_3'!P1118,"AAAAAFn39T0=")</f>
        <v>#VALUE!</v>
      </c>
      <c r="BK75">
        <f>IF('Planilla_General_07-12-2012_8_3'!1119:1119,"AAAAAFn39T4=",0)</f>
        <v>0</v>
      </c>
      <c r="BL75" t="e">
        <f>AND('Planilla_General_07-12-2012_8_3'!A1119,"AAAAAFn39T8=")</f>
        <v>#VALUE!</v>
      </c>
      <c r="BM75" t="e">
        <f>AND('Planilla_General_07-12-2012_8_3'!B1119,"AAAAAFn39UA=")</f>
        <v>#VALUE!</v>
      </c>
      <c r="BN75" t="e">
        <f>AND('Planilla_General_07-12-2012_8_3'!C1119,"AAAAAFn39UE=")</f>
        <v>#VALUE!</v>
      </c>
      <c r="BO75" t="e">
        <f>AND('Planilla_General_07-12-2012_8_3'!D1119,"AAAAAFn39UI=")</f>
        <v>#VALUE!</v>
      </c>
      <c r="BP75" t="e">
        <f>AND('Planilla_General_07-12-2012_8_3'!E1119,"AAAAAFn39UM=")</f>
        <v>#VALUE!</v>
      </c>
      <c r="BQ75" t="e">
        <f>AND('Planilla_General_07-12-2012_8_3'!F1119,"AAAAAFn39UQ=")</f>
        <v>#VALUE!</v>
      </c>
      <c r="BR75" t="e">
        <f>AND('Planilla_General_07-12-2012_8_3'!G1119,"AAAAAFn39UU=")</f>
        <v>#VALUE!</v>
      </c>
      <c r="BS75" t="e">
        <f>AND('Planilla_General_07-12-2012_8_3'!H1119,"AAAAAFn39UY=")</f>
        <v>#VALUE!</v>
      </c>
      <c r="BT75" t="e">
        <f>AND('Planilla_General_07-12-2012_8_3'!I1119,"AAAAAFn39Uc=")</f>
        <v>#VALUE!</v>
      </c>
      <c r="BU75" t="e">
        <f>AND('Planilla_General_07-12-2012_8_3'!J1119,"AAAAAFn39Ug=")</f>
        <v>#VALUE!</v>
      </c>
      <c r="BV75" t="e">
        <f>AND('Planilla_General_07-12-2012_8_3'!K1119,"AAAAAFn39Uk=")</f>
        <v>#VALUE!</v>
      </c>
      <c r="BW75" t="e">
        <f>AND('Planilla_General_07-12-2012_8_3'!L1119,"AAAAAFn39Uo=")</f>
        <v>#VALUE!</v>
      </c>
      <c r="BX75" t="e">
        <f>AND('Planilla_General_07-12-2012_8_3'!M1119,"AAAAAFn39Us=")</f>
        <v>#VALUE!</v>
      </c>
      <c r="BY75" t="e">
        <f>AND('Planilla_General_07-12-2012_8_3'!N1119,"AAAAAFn39Uw=")</f>
        <v>#VALUE!</v>
      </c>
      <c r="BZ75" t="e">
        <f>AND('Planilla_General_07-12-2012_8_3'!O1119,"AAAAAFn39U0=")</f>
        <v>#VALUE!</v>
      </c>
      <c r="CA75" t="e">
        <f>AND('Planilla_General_07-12-2012_8_3'!P1119,"AAAAAFn39U4=")</f>
        <v>#VALUE!</v>
      </c>
      <c r="CB75">
        <f>IF('Planilla_General_07-12-2012_8_3'!1120:1120,"AAAAAFn39U8=",0)</f>
        <v>0</v>
      </c>
      <c r="CC75" t="e">
        <f>AND('Planilla_General_07-12-2012_8_3'!A1120,"AAAAAFn39VA=")</f>
        <v>#VALUE!</v>
      </c>
      <c r="CD75" t="e">
        <f>AND('Planilla_General_07-12-2012_8_3'!B1120,"AAAAAFn39VE=")</f>
        <v>#VALUE!</v>
      </c>
      <c r="CE75" t="e">
        <f>AND('Planilla_General_07-12-2012_8_3'!C1120,"AAAAAFn39VI=")</f>
        <v>#VALUE!</v>
      </c>
      <c r="CF75" t="e">
        <f>AND('Planilla_General_07-12-2012_8_3'!D1120,"AAAAAFn39VM=")</f>
        <v>#VALUE!</v>
      </c>
      <c r="CG75" t="e">
        <f>AND('Planilla_General_07-12-2012_8_3'!E1120,"AAAAAFn39VQ=")</f>
        <v>#VALUE!</v>
      </c>
      <c r="CH75" t="e">
        <f>AND('Planilla_General_07-12-2012_8_3'!F1120,"AAAAAFn39VU=")</f>
        <v>#VALUE!</v>
      </c>
      <c r="CI75" t="e">
        <f>AND('Planilla_General_07-12-2012_8_3'!G1120,"AAAAAFn39VY=")</f>
        <v>#VALUE!</v>
      </c>
      <c r="CJ75" t="e">
        <f>AND('Planilla_General_07-12-2012_8_3'!H1120,"AAAAAFn39Vc=")</f>
        <v>#VALUE!</v>
      </c>
      <c r="CK75" t="e">
        <f>AND('Planilla_General_07-12-2012_8_3'!I1120,"AAAAAFn39Vg=")</f>
        <v>#VALUE!</v>
      </c>
      <c r="CL75" t="e">
        <f>AND('Planilla_General_07-12-2012_8_3'!J1120,"AAAAAFn39Vk=")</f>
        <v>#VALUE!</v>
      </c>
      <c r="CM75" t="e">
        <f>AND('Planilla_General_07-12-2012_8_3'!K1120,"AAAAAFn39Vo=")</f>
        <v>#VALUE!</v>
      </c>
      <c r="CN75" t="e">
        <f>AND('Planilla_General_07-12-2012_8_3'!L1120,"AAAAAFn39Vs=")</f>
        <v>#VALUE!</v>
      </c>
      <c r="CO75" t="e">
        <f>AND('Planilla_General_07-12-2012_8_3'!M1120,"AAAAAFn39Vw=")</f>
        <v>#VALUE!</v>
      </c>
      <c r="CP75" t="e">
        <f>AND('Planilla_General_07-12-2012_8_3'!N1120,"AAAAAFn39V0=")</f>
        <v>#VALUE!</v>
      </c>
      <c r="CQ75" t="e">
        <f>AND('Planilla_General_07-12-2012_8_3'!O1120,"AAAAAFn39V4=")</f>
        <v>#VALUE!</v>
      </c>
      <c r="CR75" t="e">
        <f>AND('Planilla_General_07-12-2012_8_3'!P1120,"AAAAAFn39V8=")</f>
        <v>#VALUE!</v>
      </c>
      <c r="CS75">
        <f>IF('Planilla_General_07-12-2012_8_3'!1121:1121,"AAAAAFn39WA=",0)</f>
        <v>0</v>
      </c>
      <c r="CT75" t="e">
        <f>AND('Planilla_General_07-12-2012_8_3'!A1121,"AAAAAFn39WE=")</f>
        <v>#VALUE!</v>
      </c>
      <c r="CU75" t="e">
        <f>AND('Planilla_General_07-12-2012_8_3'!B1121,"AAAAAFn39WI=")</f>
        <v>#VALUE!</v>
      </c>
      <c r="CV75" t="e">
        <f>AND('Planilla_General_07-12-2012_8_3'!C1121,"AAAAAFn39WM=")</f>
        <v>#VALUE!</v>
      </c>
      <c r="CW75" t="e">
        <f>AND('Planilla_General_07-12-2012_8_3'!D1121,"AAAAAFn39WQ=")</f>
        <v>#VALUE!</v>
      </c>
      <c r="CX75" t="e">
        <f>AND('Planilla_General_07-12-2012_8_3'!E1121,"AAAAAFn39WU=")</f>
        <v>#VALUE!</v>
      </c>
      <c r="CY75" t="e">
        <f>AND('Planilla_General_07-12-2012_8_3'!F1121,"AAAAAFn39WY=")</f>
        <v>#VALUE!</v>
      </c>
      <c r="CZ75" t="e">
        <f>AND('Planilla_General_07-12-2012_8_3'!G1121,"AAAAAFn39Wc=")</f>
        <v>#VALUE!</v>
      </c>
      <c r="DA75" t="e">
        <f>AND('Planilla_General_07-12-2012_8_3'!H1121,"AAAAAFn39Wg=")</f>
        <v>#VALUE!</v>
      </c>
      <c r="DB75" t="e">
        <f>AND('Planilla_General_07-12-2012_8_3'!I1121,"AAAAAFn39Wk=")</f>
        <v>#VALUE!</v>
      </c>
      <c r="DC75" t="e">
        <f>AND('Planilla_General_07-12-2012_8_3'!J1121,"AAAAAFn39Wo=")</f>
        <v>#VALUE!</v>
      </c>
      <c r="DD75" t="e">
        <f>AND('Planilla_General_07-12-2012_8_3'!K1121,"AAAAAFn39Ws=")</f>
        <v>#VALUE!</v>
      </c>
      <c r="DE75" t="e">
        <f>AND('Planilla_General_07-12-2012_8_3'!L1121,"AAAAAFn39Ww=")</f>
        <v>#VALUE!</v>
      </c>
      <c r="DF75" t="e">
        <f>AND('Planilla_General_07-12-2012_8_3'!M1121,"AAAAAFn39W0=")</f>
        <v>#VALUE!</v>
      </c>
      <c r="DG75" t="e">
        <f>AND('Planilla_General_07-12-2012_8_3'!N1121,"AAAAAFn39W4=")</f>
        <v>#VALUE!</v>
      </c>
      <c r="DH75" t="e">
        <f>AND('Planilla_General_07-12-2012_8_3'!O1121,"AAAAAFn39W8=")</f>
        <v>#VALUE!</v>
      </c>
      <c r="DI75" t="e">
        <f>AND('Planilla_General_07-12-2012_8_3'!P1121,"AAAAAFn39XA=")</f>
        <v>#VALUE!</v>
      </c>
      <c r="DJ75">
        <f>IF('Planilla_General_07-12-2012_8_3'!1122:1122,"AAAAAFn39XE=",0)</f>
        <v>0</v>
      </c>
      <c r="DK75" t="e">
        <f>AND('Planilla_General_07-12-2012_8_3'!A1122,"AAAAAFn39XI=")</f>
        <v>#VALUE!</v>
      </c>
      <c r="DL75" t="e">
        <f>AND('Planilla_General_07-12-2012_8_3'!B1122,"AAAAAFn39XM=")</f>
        <v>#VALUE!</v>
      </c>
      <c r="DM75" t="e">
        <f>AND('Planilla_General_07-12-2012_8_3'!C1122,"AAAAAFn39XQ=")</f>
        <v>#VALUE!</v>
      </c>
      <c r="DN75" t="e">
        <f>AND('Planilla_General_07-12-2012_8_3'!D1122,"AAAAAFn39XU=")</f>
        <v>#VALUE!</v>
      </c>
      <c r="DO75" t="e">
        <f>AND('Planilla_General_07-12-2012_8_3'!E1122,"AAAAAFn39XY=")</f>
        <v>#VALUE!</v>
      </c>
      <c r="DP75" t="e">
        <f>AND('Planilla_General_07-12-2012_8_3'!F1122,"AAAAAFn39Xc=")</f>
        <v>#VALUE!</v>
      </c>
      <c r="DQ75" t="e">
        <f>AND('Planilla_General_07-12-2012_8_3'!G1122,"AAAAAFn39Xg=")</f>
        <v>#VALUE!</v>
      </c>
      <c r="DR75" t="e">
        <f>AND('Planilla_General_07-12-2012_8_3'!H1122,"AAAAAFn39Xk=")</f>
        <v>#VALUE!</v>
      </c>
      <c r="DS75" t="e">
        <f>AND('Planilla_General_07-12-2012_8_3'!I1122,"AAAAAFn39Xo=")</f>
        <v>#VALUE!</v>
      </c>
      <c r="DT75" t="e">
        <f>AND('Planilla_General_07-12-2012_8_3'!J1122,"AAAAAFn39Xs=")</f>
        <v>#VALUE!</v>
      </c>
      <c r="DU75" t="e">
        <f>AND('Planilla_General_07-12-2012_8_3'!K1122,"AAAAAFn39Xw=")</f>
        <v>#VALUE!</v>
      </c>
      <c r="DV75" t="e">
        <f>AND('Planilla_General_07-12-2012_8_3'!L1122,"AAAAAFn39X0=")</f>
        <v>#VALUE!</v>
      </c>
      <c r="DW75" t="e">
        <f>AND('Planilla_General_07-12-2012_8_3'!M1122,"AAAAAFn39X4=")</f>
        <v>#VALUE!</v>
      </c>
      <c r="DX75" t="e">
        <f>AND('Planilla_General_07-12-2012_8_3'!N1122,"AAAAAFn39X8=")</f>
        <v>#VALUE!</v>
      </c>
      <c r="DY75" t="e">
        <f>AND('Planilla_General_07-12-2012_8_3'!O1122,"AAAAAFn39YA=")</f>
        <v>#VALUE!</v>
      </c>
      <c r="DZ75" t="e">
        <f>AND('Planilla_General_07-12-2012_8_3'!P1122,"AAAAAFn39YE=")</f>
        <v>#VALUE!</v>
      </c>
      <c r="EA75">
        <f>IF('Planilla_General_07-12-2012_8_3'!1123:1123,"AAAAAFn39YI=",0)</f>
        <v>0</v>
      </c>
      <c r="EB75" t="e">
        <f>AND('Planilla_General_07-12-2012_8_3'!A1123,"AAAAAFn39YM=")</f>
        <v>#VALUE!</v>
      </c>
      <c r="EC75" t="e">
        <f>AND('Planilla_General_07-12-2012_8_3'!B1123,"AAAAAFn39YQ=")</f>
        <v>#VALUE!</v>
      </c>
      <c r="ED75" t="e">
        <f>AND('Planilla_General_07-12-2012_8_3'!C1123,"AAAAAFn39YU=")</f>
        <v>#VALUE!</v>
      </c>
      <c r="EE75" t="e">
        <f>AND('Planilla_General_07-12-2012_8_3'!D1123,"AAAAAFn39YY=")</f>
        <v>#VALUE!</v>
      </c>
      <c r="EF75" t="e">
        <f>AND('Planilla_General_07-12-2012_8_3'!E1123,"AAAAAFn39Yc=")</f>
        <v>#VALUE!</v>
      </c>
      <c r="EG75" t="e">
        <f>AND('Planilla_General_07-12-2012_8_3'!F1123,"AAAAAFn39Yg=")</f>
        <v>#VALUE!</v>
      </c>
      <c r="EH75" t="e">
        <f>AND('Planilla_General_07-12-2012_8_3'!G1123,"AAAAAFn39Yk=")</f>
        <v>#VALUE!</v>
      </c>
      <c r="EI75" t="e">
        <f>AND('Planilla_General_07-12-2012_8_3'!H1123,"AAAAAFn39Yo=")</f>
        <v>#VALUE!</v>
      </c>
      <c r="EJ75" t="e">
        <f>AND('Planilla_General_07-12-2012_8_3'!I1123,"AAAAAFn39Ys=")</f>
        <v>#VALUE!</v>
      </c>
      <c r="EK75" t="e">
        <f>AND('Planilla_General_07-12-2012_8_3'!J1123,"AAAAAFn39Yw=")</f>
        <v>#VALUE!</v>
      </c>
      <c r="EL75" t="e">
        <f>AND('Planilla_General_07-12-2012_8_3'!K1123,"AAAAAFn39Y0=")</f>
        <v>#VALUE!</v>
      </c>
      <c r="EM75" t="e">
        <f>AND('Planilla_General_07-12-2012_8_3'!L1123,"AAAAAFn39Y4=")</f>
        <v>#VALUE!</v>
      </c>
      <c r="EN75" t="e">
        <f>AND('Planilla_General_07-12-2012_8_3'!M1123,"AAAAAFn39Y8=")</f>
        <v>#VALUE!</v>
      </c>
      <c r="EO75" t="e">
        <f>AND('Planilla_General_07-12-2012_8_3'!N1123,"AAAAAFn39ZA=")</f>
        <v>#VALUE!</v>
      </c>
      <c r="EP75" t="e">
        <f>AND('Planilla_General_07-12-2012_8_3'!O1123,"AAAAAFn39ZE=")</f>
        <v>#VALUE!</v>
      </c>
      <c r="EQ75" t="e">
        <f>AND('Planilla_General_07-12-2012_8_3'!P1123,"AAAAAFn39ZI=")</f>
        <v>#VALUE!</v>
      </c>
      <c r="ER75">
        <f>IF('Planilla_General_07-12-2012_8_3'!1124:1124,"AAAAAFn39ZM=",0)</f>
        <v>0</v>
      </c>
      <c r="ES75" t="e">
        <f>AND('Planilla_General_07-12-2012_8_3'!A1124,"AAAAAFn39ZQ=")</f>
        <v>#VALUE!</v>
      </c>
      <c r="ET75" t="e">
        <f>AND('Planilla_General_07-12-2012_8_3'!B1124,"AAAAAFn39ZU=")</f>
        <v>#VALUE!</v>
      </c>
      <c r="EU75" t="e">
        <f>AND('Planilla_General_07-12-2012_8_3'!C1124,"AAAAAFn39ZY=")</f>
        <v>#VALUE!</v>
      </c>
      <c r="EV75" t="e">
        <f>AND('Planilla_General_07-12-2012_8_3'!D1124,"AAAAAFn39Zc=")</f>
        <v>#VALUE!</v>
      </c>
      <c r="EW75" t="e">
        <f>AND('Planilla_General_07-12-2012_8_3'!E1124,"AAAAAFn39Zg=")</f>
        <v>#VALUE!</v>
      </c>
      <c r="EX75" t="e">
        <f>AND('Planilla_General_07-12-2012_8_3'!F1124,"AAAAAFn39Zk=")</f>
        <v>#VALUE!</v>
      </c>
      <c r="EY75" t="e">
        <f>AND('Planilla_General_07-12-2012_8_3'!G1124,"AAAAAFn39Zo=")</f>
        <v>#VALUE!</v>
      </c>
      <c r="EZ75" t="e">
        <f>AND('Planilla_General_07-12-2012_8_3'!H1124,"AAAAAFn39Zs=")</f>
        <v>#VALUE!</v>
      </c>
      <c r="FA75" t="e">
        <f>AND('Planilla_General_07-12-2012_8_3'!I1124,"AAAAAFn39Zw=")</f>
        <v>#VALUE!</v>
      </c>
      <c r="FB75" t="e">
        <f>AND('Planilla_General_07-12-2012_8_3'!J1124,"AAAAAFn39Z0=")</f>
        <v>#VALUE!</v>
      </c>
      <c r="FC75" t="e">
        <f>AND('Planilla_General_07-12-2012_8_3'!K1124,"AAAAAFn39Z4=")</f>
        <v>#VALUE!</v>
      </c>
      <c r="FD75" t="e">
        <f>AND('Planilla_General_07-12-2012_8_3'!L1124,"AAAAAFn39Z8=")</f>
        <v>#VALUE!</v>
      </c>
      <c r="FE75" t="e">
        <f>AND('Planilla_General_07-12-2012_8_3'!M1124,"AAAAAFn39aA=")</f>
        <v>#VALUE!</v>
      </c>
      <c r="FF75" t="e">
        <f>AND('Planilla_General_07-12-2012_8_3'!N1124,"AAAAAFn39aE=")</f>
        <v>#VALUE!</v>
      </c>
      <c r="FG75" t="e">
        <f>AND('Planilla_General_07-12-2012_8_3'!O1124,"AAAAAFn39aI=")</f>
        <v>#VALUE!</v>
      </c>
      <c r="FH75" t="e">
        <f>AND('Planilla_General_07-12-2012_8_3'!P1124,"AAAAAFn39aM=")</f>
        <v>#VALUE!</v>
      </c>
      <c r="FI75">
        <f>IF('Planilla_General_07-12-2012_8_3'!1125:1125,"AAAAAFn39aQ=",0)</f>
        <v>0</v>
      </c>
      <c r="FJ75" t="e">
        <f>AND('Planilla_General_07-12-2012_8_3'!A1125,"AAAAAFn39aU=")</f>
        <v>#VALUE!</v>
      </c>
      <c r="FK75" t="e">
        <f>AND('Planilla_General_07-12-2012_8_3'!B1125,"AAAAAFn39aY=")</f>
        <v>#VALUE!</v>
      </c>
      <c r="FL75" t="e">
        <f>AND('Planilla_General_07-12-2012_8_3'!C1125,"AAAAAFn39ac=")</f>
        <v>#VALUE!</v>
      </c>
      <c r="FM75" t="e">
        <f>AND('Planilla_General_07-12-2012_8_3'!D1125,"AAAAAFn39ag=")</f>
        <v>#VALUE!</v>
      </c>
      <c r="FN75" t="e">
        <f>AND('Planilla_General_07-12-2012_8_3'!E1125,"AAAAAFn39ak=")</f>
        <v>#VALUE!</v>
      </c>
      <c r="FO75" t="e">
        <f>AND('Planilla_General_07-12-2012_8_3'!F1125,"AAAAAFn39ao=")</f>
        <v>#VALUE!</v>
      </c>
      <c r="FP75" t="e">
        <f>AND('Planilla_General_07-12-2012_8_3'!G1125,"AAAAAFn39as=")</f>
        <v>#VALUE!</v>
      </c>
      <c r="FQ75" t="e">
        <f>AND('Planilla_General_07-12-2012_8_3'!H1125,"AAAAAFn39aw=")</f>
        <v>#VALUE!</v>
      </c>
      <c r="FR75" t="e">
        <f>AND('Planilla_General_07-12-2012_8_3'!I1125,"AAAAAFn39a0=")</f>
        <v>#VALUE!</v>
      </c>
      <c r="FS75" t="e">
        <f>AND('Planilla_General_07-12-2012_8_3'!J1125,"AAAAAFn39a4=")</f>
        <v>#VALUE!</v>
      </c>
      <c r="FT75" t="e">
        <f>AND('Planilla_General_07-12-2012_8_3'!K1125,"AAAAAFn39a8=")</f>
        <v>#VALUE!</v>
      </c>
      <c r="FU75" t="e">
        <f>AND('Planilla_General_07-12-2012_8_3'!L1125,"AAAAAFn39bA=")</f>
        <v>#VALUE!</v>
      </c>
      <c r="FV75" t="e">
        <f>AND('Planilla_General_07-12-2012_8_3'!M1125,"AAAAAFn39bE=")</f>
        <v>#VALUE!</v>
      </c>
      <c r="FW75" t="e">
        <f>AND('Planilla_General_07-12-2012_8_3'!N1125,"AAAAAFn39bI=")</f>
        <v>#VALUE!</v>
      </c>
      <c r="FX75" t="e">
        <f>AND('Planilla_General_07-12-2012_8_3'!O1125,"AAAAAFn39bM=")</f>
        <v>#VALUE!</v>
      </c>
      <c r="FY75" t="e">
        <f>AND('Planilla_General_07-12-2012_8_3'!P1125,"AAAAAFn39bQ=")</f>
        <v>#VALUE!</v>
      </c>
      <c r="FZ75">
        <f>IF('Planilla_General_07-12-2012_8_3'!1126:1126,"AAAAAFn39bU=",0)</f>
        <v>0</v>
      </c>
      <c r="GA75" t="e">
        <f>AND('Planilla_General_07-12-2012_8_3'!A1126,"AAAAAFn39bY=")</f>
        <v>#VALUE!</v>
      </c>
      <c r="GB75" t="e">
        <f>AND('Planilla_General_07-12-2012_8_3'!B1126,"AAAAAFn39bc=")</f>
        <v>#VALUE!</v>
      </c>
      <c r="GC75" t="e">
        <f>AND('Planilla_General_07-12-2012_8_3'!C1126,"AAAAAFn39bg=")</f>
        <v>#VALUE!</v>
      </c>
      <c r="GD75" t="e">
        <f>AND('Planilla_General_07-12-2012_8_3'!D1126,"AAAAAFn39bk=")</f>
        <v>#VALUE!</v>
      </c>
      <c r="GE75" t="e">
        <f>AND('Planilla_General_07-12-2012_8_3'!E1126,"AAAAAFn39bo=")</f>
        <v>#VALUE!</v>
      </c>
      <c r="GF75" t="e">
        <f>AND('Planilla_General_07-12-2012_8_3'!F1126,"AAAAAFn39bs=")</f>
        <v>#VALUE!</v>
      </c>
      <c r="GG75" t="e">
        <f>AND('Planilla_General_07-12-2012_8_3'!G1126,"AAAAAFn39bw=")</f>
        <v>#VALUE!</v>
      </c>
      <c r="GH75" t="e">
        <f>AND('Planilla_General_07-12-2012_8_3'!H1126,"AAAAAFn39b0=")</f>
        <v>#VALUE!</v>
      </c>
      <c r="GI75" t="e">
        <f>AND('Planilla_General_07-12-2012_8_3'!I1126,"AAAAAFn39b4=")</f>
        <v>#VALUE!</v>
      </c>
      <c r="GJ75" t="e">
        <f>AND('Planilla_General_07-12-2012_8_3'!J1126,"AAAAAFn39b8=")</f>
        <v>#VALUE!</v>
      </c>
      <c r="GK75" t="e">
        <f>AND('Planilla_General_07-12-2012_8_3'!K1126,"AAAAAFn39cA=")</f>
        <v>#VALUE!</v>
      </c>
      <c r="GL75" t="e">
        <f>AND('Planilla_General_07-12-2012_8_3'!L1126,"AAAAAFn39cE=")</f>
        <v>#VALUE!</v>
      </c>
      <c r="GM75" t="e">
        <f>AND('Planilla_General_07-12-2012_8_3'!M1126,"AAAAAFn39cI=")</f>
        <v>#VALUE!</v>
      </c>
      <c r="GN75" t="e">
        <f>AND('Planilla_General_07-12-2012_8_3'!N1126,"AAAAAFn39cM=")</f>
        <v>#VALUE!</v>
      </c>
      <c r="GO75" t="e">
        <f>AND('Planilla_General_07-12-2012_8_3'!O1126,"AAAAAFn39cQ=")</f>
        <v>#VALUE!</v>
      </c>
      <c r="GP75" t="e">
        <f>AND('Planilla_General_07-12-2012_8_3'!P1126,"AAAAAFn39cU=")</f>
        <v>#VALUE!</v>
      </c>
      <c r="GQ75">
        <f>IF('Planilla_General_07-12-2012_8_3'!1127:1127,"AAAAAFn39cY=",0)</f>
        <v>0</v>
      </c>
      <c r="GR75" t="e">
        <f>AND('Planilla_General_07-12-2012_8_3'!A1127,"AAAAAFn39cc=")</f>
        <v>#VALUE!</v>
      </c>
      <c r="GS75" t="e">
        <f>AND('Planilla_General_07-12-2012_8_3'!B1127,"AAAAAFn39cg=")</f>
        <v>#VALUE!</v>
      </c>
      <c r="GT75" t="e">
        <f>AND('Planilla_General_07-12-2012_8_3'!C1127,"AAAAAFn39ck=")</f>
        <v>#VALUE!</v>
      </c>
      <c r="GU75" t="e">
        <f>AND('Planilla_General_07-12-2012_8_3'!D1127,"AAAAAFn39co=")</f>
        <v>#VALUE!</v>
      </c>
      <c r="GV75" t="e">
        <f>AND('Planilla_General_07-12-2012_8_3'!E1127,"AAAAAFn39cs=")</f>
        <v>#VALUE!</v>
      </c>
      <c r="GW75" t="e">
        <f>AND('Planilla_General_07-12-2012_8_3'!F1127,"AAAAAFn39cw=")</f>
        <v>#VALUE!</v>
      </c>
      <c r="GX75" t="e">
        <f>AND('Planilla_General_07-12-2012_8_3'!G1127,"AAAAAFn39c0=")</f>
        <v>#VALUE!</v>
      </c>
      <c r="GY75" t="e">
        <f>AND('Planilla_General_07-12-2012_8_3'!H1127,"AAAAAFn39c4=")</f>
        <v>#VALUE!</v>
      </c>
      <c r="GZ75" t="e">
        <f>AND('Planilla_General_07-12-2012_8_3'!I1127,"AAAAAFn39c8=")</f>
        <v>#VALUE!</v>
      </c>
      <c r="HA75" t="e">
        <f>AND('Planilla_General_07-12-2012_8_3'!J1127,"AAAAAFn39dA=")</f>
        <v>#VALUE!</v>
      </c>
      <c r="HB75" t="e">
        <f>AND('Planilla_General_07-12-2012_8_3'!K1127,"AAAAAFn39dE=")</f>
        <v>#VALUE!</v>
      </c>
      <c r="HC75" t="e">
        <f>AND('Planilla_General_07-12-2012_8_3'!L1127,"AAAAAFn39dI=")</f>
        <v>#VALUE!</v>
      </c>
      <c r="HD75" t="e">
        <f>AND('Planilla_General_07-12-2012_8_3'!M1127,"AAAAAFn39dM=")</f>
        <v>#VALUE!</v>
      </c>
      <c r="HE75" t="e">
        <f>AND('Planilla_General_07-12-2012_8_3'!N1127,"AAAAAFn39dQ=")</f>
        <v>#VALUE!</v>
      </c>
      <c r="HF75" t="e">
        <f>AND('Planilla_General_07-12-2012_8_3'!O1127,"AAAAAFn39dU=")</f>
        <v>#VALUE!</v>
      </c>
      <c r="HG75" t="e">
        <f>AND('Planilla_General_07-12-2012_8_3'!P1127,"AAAAAFn39dY=")</f>
        <v>#VALUE!</v>
      </c>
      <c r="HH75">
        <f>IF('Planilla_General_07-12-2012_8_3'!1128:1128,"AAAAAFn39dc=",0)</f>
        <v>0</v>
      </c>
      <c r="HI75" t="e">
        <f>AND('Planilla_General_07-12-2012_8_3'!A1128,"AAAAAFn39dg=")</f>
        <v>#VALUE!</v>
      </c>
      <c r="HJ75" t="e">
        <f>AND('Planilla_General_07-12-2012_8_3'!B1128,"AAAAAFn39dk=")</f>
        <v>#VALUE!</v>
      </c>
      <c r="HK75" t="e">
        <f>AND('Planilla_General_07-12-2012_8_3'!C1128,"AAAAAFn39do=")</f>
        <v>#VALUE!</v>
      </c>
      <c r="HL75" t="e">
        <f>AND('Planilla_General_07-12-2012_8_3'!D1128,"AAAAAFn39ds=")</f>
        <v>#VALUE!</v>
      </c>
      <c r="HM75" t="e">
        <f>AND('Planilla_General_07-12-2012_8_3'!E1128,"AAAAAFn39dw=")</f>
        <v>#VALUE!</v>
      </c>
      <c r="HN75" t="e">
        <f>AND('Planilla_General_07-12-2012_8_3'!F1128,"AAAAAFn39d0=")</f>
        <v>#VALUE!</v>
      </c>
      <c r="HO75" t="e">
        <f>AND('Planilla_General_07-12-2012_8_3'!G1128,"AAAAAFn39d4=")</f>
        <v>#VALUE!</v>
      </c>
      <c r="HP75" t="e">
        <f>AND('Planilla_General_07-12-2012_8_3'!H1128,"AAAAAFn39d8=")</f>
        <v>#VALUE!</v>
      </c>
      <c r="HQ75" t="e">
        <f>AND('Planilla_General_07-12-2012_8_3'!I1128,"AAAAAFn39eA=")</f>
        <v>#VALUE!</v>
      </c>
      <c r="HR75" t="e">
        <f>AND('Planilla_General_07-12-2012_8_3'!J1128,"AAAAAFn39eE=")</f>
        <v>#VALUE!</v>
      </c>
      <c r="HS75" t="e">
        <f>AND('Planilla_General_07-12-2012_8_3'!K1128,"AAAAAFn39eI=")</f>
        <v>#VALUE!</v>
      </c>
      <c r="HT75" t="e">
        <f>AND('Planilla_General_07-12-2012_8_3'!L1128,"AAAAAFn39eM=")</f>
        <v>#VALUE!</v>
      </c>
      <c r="HU75" t="e">
        <f>AND('Planilla_General_07-12-2012_8_3'!M1128,"AAAAAFn39eQ=")</f>
        <v>#VALUE!</v>
      </c>
      <c r="HV75" t="e">
        <f>AND('Planilla_General_07-12-2012_8_3'!N1128,"AAAAAFn39eU=")</f>
        <v>#VALUE!</v>
      </c>
      <c r="HW75" t="e">
        <f>AND('Planilla_General_07-12-2012_8_3'!O1128,"AAAAAFn39eY=")</f>
        <v>#VALUE!</v>
      </c>
      <c r="HX75" t="e">
        <f>AND('Planilla_General_07-12-2012_8_3'!P1128,"AAAAAFn39ec=")</f>
        <v>#VALUE!</v>
      </c>
      <c r="HY75">
        <f>IF('Planilla_General_07-12-2012_8_3'!1129:1129,"AAAAAFn39eg=",0)</f>
        <v>0</v>
      </c>
      <c r="HZ75" t="e">
        <f>AND('Planilla_General_07-12-2012_8_3'!A1129,"AAAAAFn39ek=")</f>
        <v>#VALUE!</v>
      </c>
      <c r="IA75" t="e">
        <f>AND('Planilla_General_07-12-2012_8_3'!B1129,"AAAAAFn39eo=")</f>
        <v>#VALUE!</v>
      </c>
      <c r="IB75" t="e">
        <f>AND('Planilla_General_07-12-2012_8_3'!C1129,"AAAAAFn39es=")</f>
        <v>#VALUE!</v>
      </c>
      <c r="IC75" t="e">
        <f>AND('Planilla_General_07-12-2012_8_3'!D1129,"AAAAAFn39ew=")</f>
        <v>#VALUE!</v>
      </c>
      <c r="ID75" t="e">
        <f>AND('Planilla_General_07-12-2012_8_3'!E1129,"AAAAAFn39e0=")</f>
        <v>#VALUE!</v>
      </c>
      <c r="IE75" t="e">
        <f>AND('Planilla_General_07-12-2012_8_3'!F1129,"AAAAAFn39e4=")</f>
        <v>#VALUE!</v>
      </c>
      <c r="IF75" t="e">
        <f>AND('Planilla_General_07-12-2012_8_3'!G1129,"AAAAAFn39e8=")</f>
        <v>#VALUE!</v>
      </c>
      <c r="IG75" t="e">
        <f>AND('Planilla_General_07-12-2012_8_3'!H1129,"AAAAAFn39fA=")</f>
        <v>#VALUE!</v>
      </c>
      <c r="IH75" t="e">
        <f>AND('Planilla_General_07-12-2012_8_3'!I1129,"AAAAAFn39fE=")</f>
        <v>#VALUE!</v>
      </c>
      <c r="II75" t="e">
        <f>AND('Planilla_General_07-12-2012_8_3'!J1129,"AAAAAFn39fI=")</f>
        <v>#VALUE!</v>
      </c>
      <c r="IJ75" t="e">
        <f>AND('Planilla_General_07-12-2012_8_3'!K1129,"AAAAAFn39fM=")</f>
        <v>#VALUE!</v>
      </c>
      <c r="IK75" t="e">
        <f>AND('Planilla_General_07-12-2012_8_3'!L1129,"AAAAAFn39fQ=")</f>
        <v>#VALUE!</v>
      </c>
      <c r="IL75" t="e">
        <f>AND('Planilla_General_07-12-2012_8_3'!M1129,"AAAAAFn39fU=")</f>
        <v>#VALUE!</v>
      </c>
      <c r="IM75" t="e">
        <f>AND('Planilla_General_07-12-2012_8_3'!N1129,"AAAAAFn39fY=")</f>
        <v>#VALUE!</v>
      </c>
      <c r="IN75" t="e">
        <f>AND('Planilla_General_07-12-2012_8_3'!O1129,"AAAAAFn39fc=")</f>
        <v>#VALUE!</v>
      </c>
      <c r="IO75" t="e">
        <f>AND('Planilla_General_07-12-2012_8_3'!P1129,"AAAAAFn39fg=")</f>
        <v>#VALUE!</v>
      </c>
      <c r="IP75">
        <f>IF('Planilla_General_07-12-2012_8_3'!1130:1130,"AAAAAFn39fk=",0)</f>
        <v>0</v>
      </c>
      <c r="IQ75" t="e">
        <f>AND('Planilla_General_07-12-2012_8_3'!A1130,"AAAAAFn39fo=")</f>
        <v>#VALUE!</v>
      </c>
      <c r="IR75" t="e">
        <f>AND('Planilla_General_07-12-2012_8_3'!B1130,"AAAAAFn39fs=")</f>
        <v>#VALUE!</v>
      </c>
      <c r="IS75" t="e">
        <f>AND('Planilla_General_07-12-2012_8_3'!C1130,"AAAAAFn39fw=")</f>
        <v>#VALUE!</v>
      </c>
      <c r="IT75" t="e">
        <f>AND('Planilla_General_07-12-2012_8_3'!D1130,"AAAAAFn39f0=")</f>
        <v>#VALUE!</v>
      </c>
      <c r="IU75" t="e">
        <f>AND('Planilla_General_07-12-2012_8_3'!E1130,"AAAAAFn39f4=")</f>
        <v>#VALUE!</v>
      </c>
      <c r="IV75" t="e">
        <f>AND('Planilla_General_07-12-2012_8_3'!F1130,"AAAAAFn39f8=")</f>
        <v>#VALUE!</v>
      </c>
    </row>
    <row r="76" spans="1:256" x14ac:dyDescent="0.25">
      <c r="A76" t="e">
        <f>AND('Planilla_General_07-12-2012_8_3'!G1130,"AAAAAFrDXQA=")</f>
        <v>#VALUE!</v>
      </c>
      <c r="B76" t="e">
        <f>AND('Planilla_General_07-12-2012_8_3'!H1130,"AAAAAFrDXQE=")</f>
        <v>#VALUE!</v>
      </c>
      <c r="C76" t="e">
        <f>AND('Planilla_General_07-12-2012_8_3'!I1130,"AAAAAFrDXQI=")</f>
        <v>#VALUE!</v>
      </c>
      <c r="D76" t="e">
        <f>AND('Planilla_General_07-12-2012_8_3'!J1130,"AAAAAFrDXQM=")</f>
        <v>#VALUE!</v>
      </c>
      <c r="E76" t="e">
        <f>AND('Planilla_General_07-12-2012_8_3'!K1130,"AAAAAFrDXQQ=")</f>
        <v>#VALUE!</v>
      </c>
      <c r="F76" t="e">
        <f>AND('Planilla_General_07-12-2012_8_3'!L1130,"AAAAAFrDXQU=")</f>
        <v>#VALUE!</v>
      </c>
      <c r="G76" t="e">
        <f>AND('Planilla_General_07-12-2012_8_3'!M1130,"AAAAAFrDXQY=")</f>
        <v>#VALUE!</v>
      </c>
      <c r="H76" t="e">
        <f>AND('Planilla_General_07-12-2012_8_3'!N1130,"AAAAAFrDXQc=")</f>
        <v>#VALUE!</v>
      </c>
      <c r="I76" t="e">
        <f>AND('Planilla_General_07-12-2012_8_3'!O1130,"AAAAAFrDXQg=")</f>
        <v>#VALUE!</v>
      </c>
      <c r="J76" t="e">
        <f>AND('Planilla_General_07-12-2012_8_3'!P1130,"AAAAAFrDXQk=")</f>
        <v>#VALUE!</v>
      </c>
      <c r="K76" t="str">
        <f>IF('Planilla_General_07-12-2012_8_3'!1131:1131,"AAAAAFrDXQo=",0)</f>
        <v>AAAAAFrDXQo=</v>
      </c>
      <c r="L76" t="e">
        <f>AND('Planilla_General_07-12-2012_8_3'!A1131,"AAAAAFrDXQs=")</f>
        <v>#VALUE!</v>
      </c>
      <c r="M76" t="e">
        <f>AND('Planilla_General_07-12-2012_8_3'!B1131,"AAAAAFrDXQw=")</f>
        <v>#VALUE!</v>
      </c>
      <c r="N76" t="e">
        <f>AND('Planilla_General_07-12-2012_8_3'!C1131,"AAAAAFrDXQ0=")</f>
        <v>#VALUE!</v>
      </c>
      <c r="O76" t="e">
        <f>AND('Planilla_General_07-12-2012_8_3'!D1131,"AAAAAFrDXQ4=")</f>
        <v>#VALUE!</v>
      </c>
      <c r="P76" t="e">
        <f>AND('Planilla_General_07-12-2012_8_3'!E1131,"AAAAAFrDXQ8=")</f>
        <v>#VALUE!</v>
      </c>
      <c r="Q76" t="e">
        <f>AND('Planilla_General_07-12-2012_8_3'!F1131,"AAAAAFrDXRA=")</f>
        <v>#VALUE!</v>
      </c>
      <c r="R76" t="e">
        <f>AND('Planilla_General_07-12-2012_8_3'!G1131,"AAAAAFrDXRE=")</f>
        <v>#VALUE!</v>
      </c>
      <c r="S76" t="e">
        <f>AND('Planilla_General_07-12-2012_8_3'!H1131,"AAAAAFrDXRI=")</f>
        <v>#VALUE!</v>
      </c>
      <c r="T76" t="e">
        <f>AND('Planilla_General_07-12-2012_8_3'!I1131,"AAAAAFrDXRM=")</f>
        <v>#VALUE!</v>
      </c>
      <c r="U76" t="e">
        <f>AND('Planilla_General_07-12-2012_8_3'!J1131,"AAAAAFrDXRQ=")</f>
        <v>#VALUE!</v>
      </c>
      <c r="V76" t="e">
        <f>AND('Planilla_General_07-12-2012_8_3'!K1131,"AAAAAFrDXRU=")</f>
        <v>#VALUE!</v>
      </c>
      <c r="W76" t="e">
        <f>AND('Planilla_General_07-12-2012_8_3'!L1131,"AAAAAFrDXRY=")</f>
        <v>#VALUE!</v>
      </c>
      <c r="X76" t="e">
        <f>AND('Planilla_General_07-12-2012_8_3'!M1131,"AAAAAFrDXRc=")</f>
        <v>#VALUE!</v>
      </c>
      <c r="Y76" t="e">
        <f>AND('Planilla_General_07-12-2012_8_3'!N1131,"AAAAAFrDXRg=")</f>
        <v>#VALUE!</v>
      </c>
      <c r="Z76" t="e">
        <f>AND('Planilla_General_07-12-2012_8_3'!O1131,"AAAAAFrDXRk=")</f>
        <v>#VALUE!</v>
      </c>
      <c r="AA76" t="e">
        <f>AND('Planilla_General_07-12-2012_8_3'!P1131,"AAAAAFrDXRo=")</f>
        <v>#VALUE!</v>
      </c>
      <c r="AB76">
        <f>IF('Planilla_General_07-12-2012_8_3'!1132:1132,"AAAAAFrDXRs=",0)</f>
        <v>0</v>
      </c>
      <c r="AC76" t="e">
        <f>AND('Planilla_General_07-12-2012_8_3'!A1132,"AAAAAFrDXRw=")</f>
        <v>#VALUE!</v>
      </c>
      <c r="AD76" t="e">
        <f>AND('Planilla_General_07-12-2012_8_3'!B1132,"AAAAAFrDXR0=")</f>
        <v>#VALUE!</v>
      </c>
      <c r="AE76" t="e">
        <f>AND('Planilla_General_07-12-2012_8_3'!C1132,"AAAAAFrDXR4=")</f>
        <v>#VALUE!</v>
      </c>
      <c r="AF76" t="e">
        <f>AND('Planilla_General_07-12-2012_8_3'!D1132,"AAAAAFrDXR8=")</f>
        <v>#VALUE!</v>
      </c>
      <c r="AG76" t="e">
        <f>AND('Planilla_General_07-12-2012_8_3'!E1132,"AAAAAFrDXSA=")</f>
        <v>#VALUE!</v>
      </c>
      <c r="AH76" t="e">
        <f>AND('Planilla_General_07-12-2012_8_3'!F1132,"AAAAAFrDXSE=")</f>
        <v>#VALUE!</v>
      </c>
      <c r="AI76" t="e">
        <f>AND('Planilla_General_07-12-2012_8_3'!G1132,"AAAAAFrDXSI=")</f>
        <v>#VALUE!</v>
      </c>
      <c r="AJ76" t="e">
        <f>AND('Planilla_General_07-12-2012_8_3'!H1132,"AAAAAFrDXSM=")</f>
        <v>#VALUE!</v>
      </c>
      <c r="AK76" t="e">
        <f>AND('Planilla_General_07-12-2012_8_3'!I1132,"AAAAAFrDXSQ=")</f>
        <v>#VALUE!</v>
      </c>
      <c r="AL76" t="e">
        <f>AND('Planilla_General_07-12-2012_8_3'!J1132,"AAAAAFrDXSU=")</f>
        <v>#VALUE!</v>
      </c>
      <c r="AM76" t="e">
        <f>AND('Planilla_General_07-12-2012_8_3'!K1132,"AAAAAFrDXSY=")</f>
        <v>#VALUE!</v>
      </c>
      <c r="AN76" t="e">
        <f>AND('Planilla_General_07-12-2012_8_3'!L1132,"AAAAAFrDXSc=")</f>
        <v>#VALUE!</v>
      </c>
      <c r="AO76" t="e">
        <f>AND('Planilla_General_07-12-2012_8_3'!M1132,"AAAAAFrDXSg=")</f>
        <v>#VALUE!</v>
      </c>
      <c r="AP76" t="e">
        <f>AND('Planilla_General_07-12-2012_8_3'!N1132,"AAAAAFrDXSk=")</f>
        <v>#VALUE!</v>
      </c>
      <c r="AQ76" t="e">
        <f>AND('Planilla_General_07-12-2012_8_3'!O1132,"AAAAAFrDXSo=")</f>
        <v>#VALUE!</v>
      </c>
      <c r="AR76" t="e">
        <f>AND('Planilla_General_07-12-2012_8_3'!P1132,"AAAAAFrDXSs=")</f>
        <v>#VALUE!</v>
      </c>
      <c r="AS76">
        <f>IF('Planilla_General_07-12-2012_8_3'!1133:1133,"AAAAAFrDXSw=",0)</f>
        <v>0</v>
      </c>
      <c r="AT76" t="e">
        <f>AND('Planilla_General_07-12-2012_8_3'!A1133,"AAAAAFrDXS0=")</f>
        <v>#VALUE!</v>
      </c>
      <c r="AU76" t="e">
        <f>AND('Planilla_General_07-12-2012_8_3'!B1133,"AAAAAFrDXS4=")</f>
        <v>#VALUE!</v>
      </c>
      <c r="AV76" t="e">
        <f>AND('Planilla_General_07-12-2012_8_3'!C1133,"AAAAAFrDXS8=")</f>
        <v>#VALUE!</v>
      </c>
      <c r="AW76" t="e">
        <f>AND('Planilla_General_07-12-2012_8_3'!D1133,"AAAAAFrDXTA=")</f>
        <v>#VALUE!</v>
      </c>
      <c r="AX76" t="e">
        <f>AND('Planilla_General_07-12-2012_8_3'!E1133,"AAAAAFrDXTE=")</f>
        <v>#VALUE!</v>
      </c>
      <c r="AY76" t="e">
        <f>AND('Planilla_General_07-12-2012_8_3'!F1133,"AAAAAFrDXTI=")</f>
        <v>#VALUE!</v>
      </c>
      <c r="AZ76" t="e">
        <f>AND('Planilla_General_07-12-2012_8_3'!G1133,"AAAAAFrDXTM=")</f>
        <v>#VALUE!</v>
      </c>
      <c r="BA76" t="e">
        <f>AND('Planilla_General_07-12-2012_8_3'!H1133,"AAAAAFrDXTQ=")</f>
        <v>#VALUE!</v>
      </c>
      <c r="BB76" t="e">
        <f>AND('Planilla_General_07-12-2012_8_3'!I1133,"AAAAAFrDXTU=")</f>
        <v>#VALUE!</v>
      </c>
      <c r="BC76" t="e">
        <f>AND('Planilla_General_07-12-2012_8_3'!J1133,"AAAAAFrDXTY=")</f>
        <v>#VALUE!</v>
      </c>
      <c r="BD76" t="e">
        <f>AND('Planilla_General_07-12-2012_8_3'!K1133,"AAAAAFrDXTc=")</f>
        <v>#VALUE!</v>
      </c>
      <c r="BE76" t="e">
        <f>AND('Planilla_General_07-12-2012_8_3'!L1133,"AAAAAFrDXTg=")</f>
        <v>#VALUE!</v>
      </c>
      <c r="BF76" t="e">
        <f>AND('Planilla_General_07-12-2012_8_3'!M1133,"AAAAAFrDXTk=")</f>
        <v>#VALUE!</v>
      </c>
      <c r="BG76" t="e">
        <f>AND('Planilla_General_07-12-2012_8_3'!N1133,"AAAAAFrDXTo=")</f>
        <v>#VALUE!</v>
      </c>
      <c r="BH76" t="e">
        <f>AND('Planilla_General_07-12-2012_8_3'!O1133,"AAAAAFrDXTs=")</f>
        <v>#VALUE!</v>
      </c>
      <c r="BI76" t="e">
        <f>AND('Planilla_General_07-12-2012_8_3'!P1133,"AAAAAFrDXTw=")</f>
        <v>#VALUE!</v>
      </c>
      <c r="BJ76">
        <f>IF('Planilla_General_07-12-2012_8_3'!1134:1134,"AAAAAFrDXT0=",0)</f>
        <v>0</v>
      </c>
      <c r="BK76" t="e">
        <f>AND('Planilla_General_07-12-2012_8_3'!A1134,"AAAAAFrDXT4=")</f>
        <v>#VALUE!</v>
      </c>
      <c r="BL76" t="e">
        <f>AND('Planilla_General_07-12-2012_8_3'!B1134,"AAAAAFrDXT8=")</f>
        <v>#VALUE!</v>
      </c>
      <c r="BM76" t="e">
        <f>AND('Planilla_General_07-12-2012_8_3'!C1134,"AAAAAFrDXUA=")</f>
        <v>#VALUE!</v>
      </c>
      <c r="BN76" t="e">
        <f>AND('Planilla_General_07-12-2012_8_3'!D1134,"AAAAAFrDXUE=")</f>
        <v>#VALUE!</v>
      </c>
      <c r="BO76" t="e">
        <f>AND('Planilla_General_07-12-2012_8_3'!E1134,"AAAAAFrDXUI=")</f>
        <v>#VALUE!</v>
      </c>
      <c r="BP76" t="e">
        <f>AND('Planilla_General_07-12-2012_8_3'!F1134,"AAAAAFrDXUM=")</f>
        <v>#VALUE!</v>
      </c>
      <c r="BQ76" t="e">
        <f>AND('Planilla_General_07-12-2012_8_3'!G1134,"AAAAAFrDXUQ=")</f>
        <v>#VALUE!</v>
      </c>
      <c r="BR76" t="e">
        <f>AND('Planilla_General_07-12-2012_8_3'!H1134,"AAAAAFrDXUU=")</f>
        <v>#VALUE!</v>
      </c>
      <c r="BS76" t="e">
        <f>AND('Planilla_General_07-12-2012_8_3'!I1134,"AAAAAFrDXUY=")</f>
        <v>#VALUE!</v>
      </c>
      <c r="BT76" t="e">
        <f>AND('Planilla_General_07-12-2012_8_3'!J1134,"AAAAAFrDXUc=")</f>
        <v>#VALUE!</v>
      </c>
      <c r="BU76" t="e">
        <f>AND('Planilla_General_07-12-2012_8_3'!K1134,"AAAAAFrDXUg=")</f>
        <v>#VALUE!</v>
      </c>
      <c r="BV76" t="e">
        <f>AND('Planilla_General_07-12-2012_8_3'!L1134,"AAAAAFrDXUk=")</f>
        <v>#VALUE!</v>
      </c>
      <c r="BW76" t="e">
        <f>AND('Planilla_General_07-12-2012_8_3'!M1134,"AAAAAFrDXUo=")</f>
        <v>#VALUE!</v>
      </c>
      <c r="BX76" t="e">
        <f>AND('Planilla_General_07-12-2012_8_3'!N1134,"AAAAAFrDXUs=")</f>
        <v>#VALUE!</v>
      </c>
      <c r="BY76" t="e">
        <f>AND('Planilla_General_07-12-2012_8_3'!O1134,"AAAAAFrDXUw=")</f>
        <v>#VALUE!</v>
      </c>
      <c r="BZ76" t="e">
        <f>AND('Planilla_General_07-12-2012_8_3'!P1134,"AAAAAFrDXU0=")</f>
        <v>#VALUE!</v>
      </c>
      <c r="CA76">
        <f>IF('Planilla_General_07-12-2012_8_3'!1135:1135,"AAAAAFrDXU4=",0)</f>
        <v>0</v>
      </c>
      <c r="CB76" t="e">
        <f>AND('Planilla_General_07-12-2012_8_3'!A1135,"AAAAAFrDXU8=")</f>
        <v>#VALUE!</v>
      </c>
      <c r="CC76" t="e">
        <f>AND('Planilla_General_07-12-2012_8_3'!B1135,"AAAAAFrDXVA=")</f>
        <v>#VALUE!</v>
      </c>
      <c r="CD76" t="e">
        <f>AND('Planilla_General_07-12-2012_8_3'!C1135,"AAAAAFrDXVE=")</f>
        <v>#VALUE!</v>
      </c>
      <c r="CE76" t="e">
        <f>AND('Planilla_General_07-12-2012_8_3'!D1135,"AAAAAFrDXVI=")</f>
        <v>#VALUE!</v>
      </c>
      <c r="CF76" t="e">
        <f>AND('Planilla_General_07-12-2012_8_3'!E1135,"AAAAAFrDXVM=")</f>
        <v>#VALUE!</v>
      </c>
      <c r="CG76" t="e">
        <f>AND('Planilla_General_07-12-2012_8_3'!F1135,"AAAAAFrDXVQ=")</f>
        <v>#VALUE!</v>
      </c>
      <c r="CH76" t="e">
        <f>AND('Planilla_General_07-12-2012_8_3'!G1135,"AAAAAFrDXVU=")</f>
        <v>#VALUE!</v>
      </c>
      <c r="CI76" t="e">
        <f>AND('Planilla_General_07-12-2012_8_3'!H1135,"AAAAAFrDXVY=")</f>
        <v>#VALUE!</v>
      </c>
      <c r="CJ76" t="e">
        <f>AND('Planilla_General_07-12-2012_8_3'!I1135,"AAAAAFrDXVc=")</f>
        <v>#VALUE!</v>
      </c>
      <c r="CK76" t="e">
        <f>AND('Planilla_General_07-12-2012_8_3'!J1135,"AAAAAFrDXVg=")</f>
        <v>#VALUE!</v>
      </c>
      <c r="CL76" t="e">
        <f>AND('Planilla_General_07-12-2012_8_3'!K1135,"AAAAAFrDXVk=")</f>
        <v>#VALUE!</v>
      </c>
      <c r="CM76" t="e">
        <f>AND('Planilla_General_07-12-2012_8_3'!L1135,"AAAAAFrDXVo=")</f>
        <v>#VALUE!</v>
      </c>
      <c r="CN76" t="e">
        <f>AND('Planilla_General_07-12-2012_8_3'!M1135,"AAAAAFrDXVs=")</f>
        <v>#VALUE!</v>
      </c>
      <c r="CO76" t="e">
        <f>AND('Planilla_General_07-12-2012_8_3'!N1135,"AAAAAFrDXVw=")</f>
        <v>#VALUE!</v>
      </c>
      <c r="CP76" t="e">
        <f>AND('Planilla_General_07-12-2012_8_3'!O1135,"AAAAAFrDXV0=")</f>
        <v>#VALUE!</v>
      </c>
      <c r="CQ76" t="e">
        <f>AND('Planilla_General_07-12-2012_8_3'!P1135,"AAAAAFrDXV4=")</f>
        <v>#VALUE!</v>
      </c>
      <c r="CR76">
        <f>IF('Planilla_General_07-12-2012_8_3'!1136:1136,"AAAAAFrDXV8=",0)</f>
        <v>0</v>
      </c>
      <c r="CS76" t="e">
        <f>AND('Planilla_General_07-12-2012_8_3'!A1136,"AAAAAFrDXWA=")</f>
        <v>#VALUE!</v>
      </c>
      <c r="CT76" t="e">
        <f>AND('Planilla_General_07-12-2012_8_3'!B1136,"AAAAAFrDXWE=")</f>
        <v>#VALUE!</v>
      </c>
      <c r="CU76" t="e">
        <f>AND('Planilla_General_07-12-2012_8_3'!C1136,"AAAAAFrDXWI=")</f>
        <v>#VALUE!</v>
      </c>
      <c r="CV76" t="e">
        <f>AND('Planilla_General_07-12-2012_8_3'!D1136,"AAAAAFrDXWM=")</f>
        <v>#VALUE!</v>
      </c>
      <c r="CW76" t="e">
        <f>AND('Planilla_General_07-12-2012_8_3'!E1136,"AAAAAFrDXWQ=")</f>
        <v>#VALUE!</v>
      </c>
      <c r="CX76" t="e">
        <f>AND('Planilla_General_07-12-2012_8_3'!F1136,"AAAAAFrDXWU=")</f>
        <v>#VALUE!</v>
      </c>
      <c r="CY76" t="e">
        <f>AND('Planilla_General_07-12-2012_8_3'!G1136,"AAAAAFrDXWY=")</f>
        <v>#VALUE!</v>
      </c>
      <c r="CZ76" t="e">
        <f>AND('Planilla_General_07-12-2012_8_3'!H1136,"AAAAAFrDXWc=")</f>
        <v>#VALUE!</v>
      </c>
      <c r="DA76" t="e">
        <f>AND('Planilla_General_07-12-2012_8_3'!I1136,"AAAAAFrDXWg=")</f>
        <v>#VALUE!</v>
      </c>
      <c r="DB76" t="e">
        <f>AND('Planilla_General_07-12-2012_8_3'!J1136,"AAAAAFrDXWk=")</f>
        <v>#VALUE!</v>
      </c>
      <c r="DC76" t="e">
        <f>AND('Planilla_General_07-12-2012_8_3'!K1136,"AAAAAFrDXWo=")</f>
        <v>#VALUE!</v>
      </c>
      <c r="DD76" t="e">
        <f>AND('Planilla_General_07-12-2012_8_3'!L1136,"AAAAAFrDXWs=")</f>
        <v>#VALUE!</v>
      </c>
      <c r="DE76" t="e">
        <f>AND('Planilla_General_07-12-2012_8_3'!M1136,"AAAAAFrDXWw=")</f>
        <v>#VALUE!</v>
      </c>
      <c r="DF76" t="e">
        <f>AND('Planilla_General_07-12-2012_8_3'!N1136,"AAAAAFrDXW0=")</f>
        <v>#VALUE!</v>
      </c>
      <c r="DG76" t="e">
        <f>AND('Planilla_General_07-12-2012_8_3'!O1136,"AAAAAFrDXW4=")</f>
        <v>#VALUE!</v>
      </c>
      <c r="DH76" t="e">
        <f>AND('Planilla_General_07-12-2012_8_3'!P1136,"AAAAAFrDXW8=")</f>
        <v>#VALUE!</v>
      </c>
      <c r="DI76">
        <f>IF('Planilla_General_07-12-2012_8_3'!1137:1137,"AAAAAFrDXXA=",0)</f>
        <v>0</v>
      </c>
      <c r="DJ76" t="e">
        <f>AND('Planilla_General_07-12-2012_8_3'!A1137,"AAAAAFrDXXE=")</f>
        <v>#VALUE!</v>
      </c>
      <c r="DK76" t="e">
        <f>AND('Planilla_General_07-12-2012_8_3'!B1137,"AAAAAFrDXXI=")</f>
        <v>#VALUE!</v>
      </c>
      <c r="DL76" t="e">
        <f>AND('Planilla_General_07-12-2012_8_3'!C1137,"AAAAAFrDXXM=")</f>
        <v>#VALUE!</v>
      </c>
      <c r="DM76" t="e">
        <f>AND('Planilla_General_07-12-2012_8_3'!D1137,"AAAAAFrDXXQ=")</f>
        <v>#VALUE!</v>
      </c>
      <c r="DN76" t="e">
        <f>AND('Planilla_General_07-12-2012_8_3'!E1137,"AAAAAFrDXXU=")</f>
        <v>#VALUE!</v>
      </c>
      <c r="DO76" t="e">
        <f>AND('Planilla_General_07-12-2012_8_3'!F1137,"AAAAAFrDXXY=")</f>
        <v>#VALUE!</v>
      </c>
      <c r="DP76" t="e">
        <f>AND('Planilla_General_07-12-2012_8_3'!G1137,"AAAAAFrDXXc=")</f>
        <v>#VALUE!</v>
      </c>
      <c r="DQ76" t="e">
        <f>AND('Planilla_General_07-12-2012_8_3'!H1137,"AAAAAFrDXXg=")</f>
        <v>#VALUE!</v>
      </c>
      <c r="DR76" t="e">
        <f>AND('Planilla_General_07-12-2012_8_3'!I1137,"AAAAAFrDXXk=")</f>
        <v>#VALUE!</v>
      </c>
      <c r="DS76" t="e">
        <f>AND('Planilla_General_07-12-2012_8_3'!J1137,"AAAAAFrDXXo=")</f>
        <v>#VALUE!</v>
      </c>
      <c r="DT76" t="e">
        <f>AND('Planilla_General_07-12-2012_8_3'!K1137,"AAAAAFrDXXs=")</f>
        <v>#VALUE!</v>
      </c>
      <c r="DU76" t="e">
        <f>AND('Planilla_General_07-12-2012_8_3'!L1137,"AAAAAFrDXXw=")</f>
        <v>#VALUE!</v>
      </c>
      <c r="DV76" t="e">
        <f>AND('Planilla_General_07-12-2012_8_3'!M1137,"AAAAAFrDXX0=")</f>
        <v>#VALUE!</v>
      </c>
      <c r="DW76" t="e">
        <f>AND('Planilla_General_07-12-2012_8_3'!N1137,"AAAAAFrDXX4=")</f>
        <v>#VALUE!</v>
      </c>
      <c r="DX76" t="e">
        <f>AND('Planilla_General_07-12-2012_8_3'!O1137,"AAAAAFrDXX8=")</f>
        <v>#VALUE!</v>
      </c>
      <c r="DY76" t="e">
        <f>AND('Planilla_General_07-12-2012_8_3'!P1137,"AAAAAFrDXYA=")</f>
        <v>#VALUE!</v>
      </c>
      <c r="DZ76">
        <f>IF('Planilla_General_07-12-2012_8_3'!1138:1138,"AAAAAFrDXYE=",0)</f>
        <v>0</v>
      </c>
      <c r="EA76" t="e">
        <f>AND('Planilla_General_07-12-2012_8_3'!A1138,"AAAAAFrDXYI=")</f>
        <v>#VALUE!</v>
      </c>
      <c r="EB76" t="e">
        <f>AND('Planilla_General_07-12-2012_8_3'!B1138,"AAAAAFrDXYM=")</f>
        <v>#VALUE!</v>
      </c>
      <c r="EC76" t="e">
        <f>AND('Planilla_General_07-12-2012_8_3'!C1138,"AAAAAFrDXYQ=")</f>
        <v>#VALUE!</v>
      </c>
      <c r="ED76" t="e">
        <f>AND('Planilla_General_07-12-2012_8_3'!D1138,"AAAAAFrDXYU=")</f>
        <v>#VALUE!</v>
      </c>
      <c r="EE76" t="e">
        <f>AND('Planilla_General_07-12-2012_8_3'!E1138,"AAAAAFrDXYY=")</f>
        <v>#VALUE!</v>
      </c>
      <c r="EF76" t="e">
        <f>AND('Planilla_General_07-12-2012_8_3'!F1138,"AAAAAFrDXYc=")</f>
        <v>#VALUE!</v>
      </c>
      <c r="EG76" t="e">
        <f>AND('Planilla_General_07-12-2012_8_3'!G1138,"AAAAAFrDXYg=")</f>
        <v>#VALUE!</v>
      </c>
      <c r="EH76" t="e">
        <f>AND('Planilla_General_07-12-2012_8_3'!H1138,"AAAAAFrDXYk=")</f>
        <v>#VALUE!</v>
      </c>
      <c r="EI76" t="e">
        <f>AND('Planilla_General_07-12-2012_8_3'!I1138,"AAAAAFrDXYo=")</f>
        <v>#VALUE!</v>
      </c>
      <c r="EJ76" t="e">
        <f>AND('Planilla_General_07-12-2012_8_3'!J1138,"AAAAAFrDXYs=")</f>
        <v>#VALUE!</v>
      </c>
      <c r="EK76" t="e">
        <f>AND('Planilla_General_07-12-2012_8_3'!K1138,"AAAAAFrDXYw=")</f>
        <v>#VALUE!</v>
      </c>
      <c r="EL76" t="e">
        <f>AND('Planilla_General_07-12-2012_8_3'!L1138,"AAAAAFrDXY0=")</f>
        <v>#VALUE!</v>
      </c>
      <c r="EM76" t="e">
        <f>AND('Planilla_General_07-12-2012_8_3'!M1138,"AAAAAFrDXY4=")</f>
        <v>#VALUE!</v>
      </c>
      <c r="EN76" t="e">
        <f>AND('Planilla_General_07-12-2012_8_3'!N1138,"AAAAAFrDXY8=")</f>
        <v>#VALUE!</v>
      </c>
      <c r="EO76" t="e">
        <f>AND('Planilla_General_07-12-2012_8_3'!O1138,"AAAAAFrDXZA=")</f>
        <v>#VALUE!</v>
      </c>
      <c r="EP76" t="e">
        <f>AND('Planilla_General_07-12-2012_8_3'!P1138,"AAAAAFrDXZE=")</f>
        <v>#VALUE!</v>
      </c>
      <c r="EQ76">
        <f>IF('Planilla_General_07-12-2012_8_3'!1139:1139,"AAAAAFrDXZI=",0)</f>
        <v>0</v>
      </c>
      <c r="ER76" t="e">
        <f>AND('Planilla_General_07-12-2012_8_3'!A1139,"AAAAAFrDXZM=")</f>
        <v>#VALUE!</v>
      </c>
      <c r="ES76" t="e">
        <f>AND('Planilla_General_07-12-2012_8_3'!B1139,"AAAAAFrDXZQ=")</f>
        <v>#VALUE!</v>
      </c>
      <c r="ET76" t="e">
        <f>AND('Planilla_General_07-12-2012_8_3'!C1139,"AAAAAFrDXZU=")</f>
        <v>#VALUE!</v>
      </c>
      <c r="EU76" t="e">
        <f>AND('Planilla_General_07-12-2012_8_3'!D1139,"AAAAAFrDXZY=")</f>
        <v>#VALUE!</v>
      </c>
      <c r="EV76" t="e">
        <f>AND('Planilla_General_07-12-2012_8_3'!E1139,"AAAAAFrDXZc=")</f>
        <v>#VALUE!</v>
      </c>
      <c r="EW76" t="e">
        <f>AND('Planilla_General_07-12-2012_8_3'!F1139,"AAAAAFrDXZg=")</f>
        <v>#VALUE!</v>
      </c>
      <c r="EX76" t="e">
        <f>AND('Planilla_General_07-12-2012_8_3'!G1139,"AAAAAFrDXZk=")</f>
        <v>#VALUE!</v>
      </c>
      <c r="EY76" t="e">
        <f>AND('Planilla_General_07-12-2012_8_3'!H1139,"AAAAAFrDXZo=")</f>
        <v>#VALUE!</v>
      </c>
      <c r="EZ76" t="e">
        <f>AND('Planilla_General_07-12-2012_8_3'!I1139,"AAAAAFrDXZs=")</f>
        <v>#VALUE!</v>
      </c>
      <c r="FA76" t="e">
        <f>AND('Planilla_General_07-12-2012_8_3'!J1139,"AAAAAFrDXZw=")</f>
        <v>#VALUE!</v>
      </c>
      <c r="FB76" t="e">
        <f>AND('Planilla_General_07-12-2012_8_3'!K1139,"AAAAAFrDXZ0=")</f>
        <v>#VALUE!</v>
      </c>
      <c r="FC76" t="e">
        <f>AND('Planilla_General_07-12-2012_8_3'!L1139,"AAAAAFrDXZ4=")</f>
        <v>#VALUE!</v>
      </c>
      <c r="FD76" t="e">
        <f>AND('Planilla_General_07-12-2012_8_3'!M1139,"AAAAAFrDXZ8=")</f>
        <v>#VALUE!</v>
      </c>
      <c r="FE76" t="e">
        <f>AND('Planilla_General_07-12-2012_8_3'!N1139,"AAAAAFrDXaA=")</f>
        <v>#VALUE!</v>
      </c>
      <c r="FF76" t="e">
        <f>AND('Planilla_General_07-12-2012_8_3'!O1139,"AAAAAFrDXaE=")</f>
        <v>#VALUE!</v>
      </c>
      <c r="FG76" t="e">
        <f>AND('Planilla_General_07-12-2012_8_3'!P1139,"AAAAAFrDXaI=")</f>
        <v>#VALUE!</v>
      </c>
      <c r="FH76">
        <f>IF('Planilla_General_07-12-2012_8_3'!1140:1140,"AAAAAFrDXaM=",0)</f>
        <v>0</v>
      </c>
      <c r="FI76" t="e">
        <f>AND('Planilla_General_07-12-2012_8_3'!A1140,"AAAAAFrDXaQ=")</f>
        <v>#VALUE!</v>
      </c>
      <c r="FJ76" t="e">
        <f>AND('Planilla_General_07-12-2012_8_3'!B1140,"AAAAAFrDXaU=")</f>
        <v>#VALUE!</v>
      </c>
      <c r="FK76" t="e">
        <f>AND('Planilla_General_07-12-2012_8_3'!C1140,"AAAAAFrDXaY=")</f>
        <v>#VALUE!</v>
      </c>
      <c r="FL76" t="e">
        <f>AND('Planilla_General_07-12-2012_8_3'!D1140,"AAAAAFrDXac=")</f>
        <v>#VALUE!</v>
      </c>
      <c r="FM76" t="e">
        <f>AND('Planilla_General_07-12-2012_8_3'!E1140,"AAAAAFrDXag=")</f>
        <v>#VALUE!</v>
      </c>
      <c r="FN76" t="e">
        <f>AND('Planilla_General_07-12-2012_8_3'!F1140,"AAAAAFrDXak=")</f>
        <v>#VALUE!</v>
      </c>
      <c r="FO76" t="e">
        <f>AND('Planilla_General_07-12-2012_8_3'!G1140,"AAAAAFrDXao=")</f>
        <v>#VALUE!</v>
      </c>
      <c r="FP76" t="e">
        <f>AND('Planilla_General_07-12-2012_8_3'!H1140,"AAAAAFrDXas=")</f>
        <v>#VALUE!</v>
      </c>
      <c r="FQ76" t="e">
        <f>AND('Planilla_General_07-12-2012_8_3'!I1140,"AAAAAFrDXaw=")</f>
        <v>#VALUE!</v>
      </c>
      <c r="FR76" t="e">
        <f>AND('Planilla_General_07-12-2012_8_3'!J1140,"AAAAAFrDXa0=")</f>
        <v>#VALUE!</v>
      </c>
      <c r="FS76" t="e">
        <f>AND('Planilla_General_07-12-2012_8_3'!K1140,"AAAAAFrDXa4=")</f>
        <v>#VALUE!</v>
      </c>
      <c r="FT76" t="e">
        <f>AND('Planilla_General_07-12-2012_8_3'!L1140,"AAAAAFrDXa8=")</f>
        <v>#VALUE!</v>
      </c>
      <c r="FU76" t="e">
        <f>AND('Planilla_General_07-12-2012_8_3'!M1140,"AAAAAFrDXbA=")</f>
        <v>#VALUE!</v>
      </c>
      <c r="FV76" t="e">
        <f>AND('Planilla_General_07-12-2012_8_3'!N1140,"AAAAAFrDXbE=")</f>
        <v>#VALUE!</v>
      </c>
      <c r="FW76" t="e">
        <f>AND('Planilla_General_07-12-2012_8_3'!O1140,"AAAAAFrDXbI=")</f>
        <v>#VALUE!</v>
      </c>
      <c r="FX76" t="e">
        <f>AND('Planilla_General_07-12-2012_8_3'!P1140,"AAAAAFrDXbM=")</f>
        <v>#VALUE!</v>
      </c>
      <c r="FY76">
        <f>IF('Planilla_General_07-12-2012_8_3'!1141:1141,"AAAAAFrDXbQ=",0)</f>
        <v>0</v>
      </c>
      <c r="FZ76" t="e">
        <f>AND('Planilla_General_07-12-2012_8_3'!A1141,"AAAAAFrDXbU=")</f>
        <v>#VALUE!</v>
      </c>
      <c r="GA76" t="e">
        <f>AND('Planilla_General_07-12-2012_8_3'!B1141,"AAAAAFrDXbY=")</f>
        <v>#VALUE!</v>
      </c>
      <c r="GB76" t="e">
        <f>AND('Planilla_General_07-12-2012_8_3'!C1141,"AAAAAFrDXbc=")</f>
        <v>#VALUE!</v>
      </c>
      <c r="GC76" t="e">
        <f>AND('Planilla_General_07-12-2012_8_3'!D1141,"AAAAAFrDXbg=")</f>
        <v>#VALUE!</v>
      </c>
      <c r="GD76" t="e">
        <f>AND('Planilla_General_07-12-2012_8_3'!E1141,"AAAAAFrDXbk=")</f>
        <v>#VALUE!</v>
      </c>
      <c r="GE76" t="e">
        <f>AND('Planilla_General_07-12-2012_8_3'!F1141,"AAAAAFrDXbo=")</f>
        <v>#VALUE!</v>
      </c>
      <c r="GF76" t="e">
        <f>AND('Planilla_General_07-12-2012_8_3'!G1141,"AAAAAFrDXbs=")</f>
        <v>#VALUE!</v>
      </c>
      <c r="GG76" t="e">
        <f>AND('Planilla_General_07-12-2012_8_3'!H1141,"AAAAAFrDXbw=")</f>
        <v>#VALUE!</v>
      </c>
      <c r="GH76" t="e">
        <f>AND('Planilla_General_07-12-2012_8_3'!I1141,"AAAAAFrDXb0=")</f>
        <v>#VALUE!</v>
      </c>
      <c r="GI76" t="e">
        <f>AND('Planilla_General_07-12-2012_8_3'!J1141,"AAAAAFrDXb4=")</f>
        <v>#VALUE!</v>
      </c>
      <c r="GJ76" t="e">
        <f>AND('Planilla_General_07-12-2012_8_3'!K1141,"AAAAAFrDXb8=")</f>
        <v>#VALUE!</v>
      </c>
      <c r="GK76" t="e">
        <f>AND('Planilla_General_07-12-2012_8_3'!L1141,"AAAAAFrDXcA=")</f>
        <v>#VALUE!</v>
      </c>
      <c r="GL76" t="e">
        <f>AND('Planilla_General_07-12-2012_8_3'!M1141,"AAAAAFrDXcE=")</f>
        <v>#VALUE!</v>
      </c>
      <c r="GM76" t="e">
        <f>AND('Planilla_General_07-12-2012_8_3'!N1141,"AAAAAFrDXcI=")</f>
        <v>#VALUE!</v>
      </c>
      <c r="GN76" t="e">
        <f>AND('Planilla_General_07-12-2012_8_3'!O1141,"AAAAAFrDXcM=")</f>
        <v>#VALUE!</v>
      </c>
      <c r="GO76" t="e">
        <f>AND('Planilla_General_07-12-2012_8_3'!P1141,"AAAAAFrDXcQ=")</f>
        <v>#VALUE!</v>
      </c>
      <c r="GP76">
        <f>IF('Planilla_General_07-12-2012_8_3'!1142:1142,"AAAAAFrDXcU=",0)</f>
        <v>0</v>
      </c>
      <c r="GQ76" t="e">
        <f>AND('Planilla_General_07-12-2012_8_3'!A1142,"AAAAAFrDXcY=")</f>
        <v>#VALUE!</v>
      </c>
      <c r="GR76" t="e">
        <f>AND('Planilla_General_07-12-2012_8_3'!B1142,"AAAAAFrDXcc=")</f>
        <v>#VALUE!</v>
      </c>
      <c r="GS76" t="e">
        <f>AND('Planilla_General_07-12-2012_8_3'!C1142,"AAAAAFrDXcg=")</f>
        <v>#VALUE!</v>
      </c>
      <c r="GT76" t="e">
        <f>AND('Planilla_General_07-12-2012_8_3'!D1142,"AAAAAFrDXck=")</f>
        <v>#VALUE!</v>
      </c>
      <c r="GU76" t="e">
        <f>AND('Planilla_General_07-12-2012_8_3'!E1142,"AAAAAFrDXco=")</f>
        <v>#VALUE!</v>
      </c>
      <c r="GV76" t="e">
        <f>AND('Planilla_General_07-12-2012_8_3'!F1142,"AAAAAFrDXcs=")</f>
        <v>#VALUE!</v>
      </c>
      <c r="GW76" t="e">
        <f>AND('Planilla_General_07-12-2012_8_3'!G1142,"AAAAAFrDXcw=")</f>
        <v>#VALUE!</v>
      </c>
      <c r="GX76" t="e">
        <f>AND('Planilla_General_07-12-2012_8_3'!H1142,"AAAAAFrDXc0=")</f>
        <v>#VALUE!</v>
      </c>
      <c r="GY76" t="e">
        <f>AND('Planilla_General_07-12-2012_8_3'!I1142,"AAAAAFrDXc4=")</f>
        <v>#VALUE!</v>
      </c>
      <c r="GZ76" t="e">
        <f>AND('Planilla_General_07-12-2012_8_3'!J1142,"AAAAAFrDXc8=")</f>
        <v>#VALUE!</v>
      </c>
      <c r="HA76" t="e">
        <f>AND('Planilla_General_07-12-2012_8_3'!K1142,"AAAAAFrDXdA=")</f>
        <v>#VALUE!</v>
      </c>
      <c r="HB76" t="e">
        <f>AND('Planilla_General_07-12-2012_8_3'!L1142,"AAAAAFrDXdE=")</f>
        <v>#VALUE!</v>
      </c>
      <c r="HC76" t="e">
        <f>AND('Planilla_General_07-12-2012_8_3'!M1142,"AAAAAFrDXdI=")</f>
        <v>#VALUE!</v>
      </c>
      <c r="HD76" t="e">
        <f>AND('Planilla_General_07-12-2012_8_3'!N1142,"AAAAAFrDXdM=")</f>
        <v>#VALUE!</v>
      </c>
      <c r="HE76" t="e">
        <f>AND('Planilla_General_07-12-2012_8_3'!O1142,"AAAAAFrDXdQ=")</f>
        <v>#VALUE!</v>
      </c>
      <c r="HF76" t="e">
        <f>AND('Planilla_General_07-12-2012_8_3'!P1142,"AAAAAFrDXdU=")</f>
        <v>#VALUE!</v>
      </c>
      <c r="HG76">
        <f>IF('Planilla_General_07-12-2012_8_3'!1143:1143,"AAAAAFrDXdY=",0)</f>
        <v>0</v>
      </c>
      <c r="HH76" t="e">
        <f>AND('Planilla_General_07-12-2012_8_3'!A1143,"AAAAAFrDXdc=")</f>
        <v>#VALUE!</v>
      </c>
      <c r="HI76" t="e">
        <f>AND('Planilla_General_07-12-2012_8_3'!B1143,"AAAAAFrDXdg=")</f>
        <v>#VALUE!</v>
      </c>
      <c r="HJ76" t="e">
        <f>AND('Planilla_General_07-12-2012_8_3'!C1143,"AAAAAFrDXdk=")</f>
        <v>#VALUE!</v>
      </c>
      <c r="HK76" t="e">
        <f>AND('Planilla_General_07-12-2012_8_3'!D1143,"AAAAAFrDXdo=")</f>
        <v>#VALUE!</v>
      </c>
      <c r="HL76" t="e">
        <f>AND('Planilla_General_07-12-2012_8_3'!E1143,"AAAAAFrDXds=")</f>
        <v>#VALUE!</v>
      </c>
      <c r="HM76" t="e">
        <f>AND('Planilla_General_07-12-2012_8_3'!F1143,"AAAAAFrDXdw=")</f>
        <v>#VALUE!</v>
      </c>
      <c r="HN76" t="e">
        <f>AND('Planilla_General_07-12-2012_8_3'!G1143,"AAAAAFrDXd0=")</f>
        <v>#VALUE!</v>
      </c>
      <c r="HO76" t="e">
        <f>AND('Planilla_General_07-12-2012_8_3'!H1143,"AAAAAFrDXd4=")</f>
        <v>#VALUE!</v>
      </c>
      <c r="HP76" t="e">
        <f>AND('Planilla_General_07-12-2012_8_3'!I1143,"AAAAAFrDXd8=")</f>
        <v>#VALUE!</v>
      </c>
      <c r="HQ76" t="e">
        <f>AND('Planilla_General_07-12-2012_8_3'!J1143,"AAAAAFrDXeA=")</f>
        <v>#VALUE!</v>
      </c>
      <c r="HR76" t="e">
        <f>AND('Planilla_General_07-12-2012_8_3'!K1143,"AAAAAFrDXeE=")</f>
        <v>#VALUE!</v>
      </c>
      <c r="HS76" t="e">
        <f>AND('Planilla_General_07-12-2012_8_3'!L1143,"AAAAAFrDXeI=")</f>
        <v>#VALUE!</v>
      </c>
      <c r="HT76" t="e">
        <f>AND('Planilla_General_07-12-2012_8_3'!M1143,"AAAAAFrDXeM=")</f>
        <v>#VALUE!</v>
      </c>
      <c r="HU76" t="e">
        <f>AND('Planilla_General_07-12-2012_8_3'!N1143,"AAAAAFrDXeQ=")</f>
        <v>#VALUE!</v>
      </c>
      <c r="HV76" t="e">
        <f>AND('Planilla_General_07-12-2012_8_3'!O1143,"AAAAAFrDXeU=")</f>
        <v>#VALUE!</v>
      </c>
      <c r="HW76" t="e">
        <f>AND('Planilla_General_07-12-2012_8_3'!P1143,"AAAAAFrDXeY=")</f>
        <v>#VALUE!</v>
      </c>
      <c r="HX76">
        <f>IF('Planilla_General_07-12-2012_8_3'!1144:1144,"AAAAAFrDXec=",0)</f>
        <v>0</v>
      </c>
      <c r="HY76" t="e">
        <f>AND('Planilla_General_07-12-2012_8_3'!A1144,"AAAAAFrDXeg=")</f>
        <v>#VALUE!</v>
      </c>
      <c r="HZ76" t="e">
        <f>AND('Planilla_General_07-12-2012_8_3'!B1144,"AAAAAFrDXek=")</f>
        <v>#VALUE!</v>
      </c>
      <c r="IA76" t="e">
        <f>AND('Planilla_General_07-12-2012_8_3'!C1144,"AAAAAFrDXeo=")</f>
        <v>#VALUE!</v>
      </c>
      <c r="IB76" t="e">
        <f>AND('Planilla_General_07-12-2012_8_3'!D1144,"AAAAAFrDXes=")</f>
        <v>#VALUE!</v>
      </c>
      <c r="IC76" t="e">
        <f>AND('Planilla_General_07-12-2012_8_3'!E1144,"AAAAAFrDXew=")</f>
        <v>#VALUE!</v>
      </c>
      <c r="ID76" t="e">
        <f>AND('Planilla_General_07-12-2012_8_3'!F1144,"AAAAAFrDXe0=")</f>
        <v>#VALUE!</v>
      </c>
      <c r="IE76" t="e">
        <f>AND('Planilla_General_07-12-2012_8_3'!G1144,"AAAAAFrDXe4=")</f>
        <v>#VALUE!</v>
      </c>
      <c r="IF76" t="e">
        <f>AND('Planilla_General_07-12-2012_8_3'!H1144,"AAAAAFrDXe8=")</f>
        <v>#VALUE!</v>
      </c>
      <c r="IG76" t="e">
        <f>AND('Planilla_General_07-12-2012_8_3'!I1144,"AAAAAFrDXfA=")</f>
        <v>#VALUE!</v>
      </c>
      <c r="IH76" t="e">
        <f>AND('Planilla_General_07-12-2012_8_3'!J1144,"AAAAAFrDXfE=")</f>
        <v>#VALUE!</v>
      </c>
      <c r="II76" t="e">
        <f>AND('Planilla_General_07-12-2012_8_3'!K1144,"AAAAAFrDXfI=")</f>
        <v>#VALUE!</v>
      </c>
      <c r="IJ76" t="e">
        <f>AND('Planilla_General_07-12-2012_8_3'!L1144,"AAAAAFrDXfM=")</f>
        <v>#VALUE!</v>
      </c>
      <c r="IK76" t="e">
        <f>AND('Planilla_General_07-12-2012_8_3'!M1144,"AAAAAFrDXfQ=")</f>
        <v>#VALUE!</v>
      </c>
      <c r="IL76" t="e">
        <f>AND('Planilla_General_07-12-2012_8_3'!N1144,"AAAAAFrDXfU=")</f>
        <v>#VALUE!</v>
      </c>
      <c r="IM76" t="e">
        <f>AND('Planilla_General_07-12-2012_8_3'!O1144,"AAAAAFrDXfY=")</f>
        <v>#VALUE!</v>
      </c>
      <c r="IN76" t="e">
        <f>AND('Planilla_General_07-12-2012_8_3'!P1144,"AAAAAFrDXfc=")</f>
        <v>#VALUE!</v>
      </c>
      <c r="IO76">
        <f>IF('Planilla_General_07-12-2012_8_3'!1145:1145,"AAAAAFrDXfg=",0)</f>
        <v>0</v>
      </c>
      <c r="IP76" t="e">
        <f>AND('Planilla_General_07-12-2012_8_3'!A1145,"AAAAAFrDXfk=")</f>
        <v>#VALUE!</v>
      </c>
      <c r="IQ76" t="e">
        <f>AND('Planilla_General_07-12-2012_8_3'!B1145,"AAAAAFrDXfo=")</f>
        <v>#VALUE!</v>
      </c>
      <c r="IR76" t="e">
        <f>AND('Planilla_General_07-12-2012_8_3'!C1145,"AAAAAFrDXfs=")</f>
        <v>#VALUE!</v>
      </c>
      <c r="IS76" t="e">
        <f>AND('Planilla_General_07-12-2012_8_3'!D1145,"AAAAAFrDXfw=")</f>
        <v>#VALUE!</v>
      </c>
      <c r="IT76" t="e">
        <f>AND('Planilla_General_07-12-2012_8_3'!E1145,"AAAAAFrDXf0=")</f>
        <v>#VALUE!</v>
      </c>
      <c r="IU76" t="e">
        <f>AND('Planilla_General_07-12-2012_8_3'!F1145,"AAAAAFrDXf4=")</f>
        <v>#VALUE!</v>
      </c>
      <c r="IV76" t="e">
        <f>AND('Planilla_General_07-12-2012_8_3'!G1145,"AAAAAFrDXf8=")</f>
        <v>#VALUE!</v>
      </c>
    </row>
    <row r="77" spans="1:256" x14ac:dyDescent="0.25">
      <c r="A77" t="e">
        <f>AND('Planilla_General_07-12-2012_8_3'!H1145,"AAAAACHT/wA=")</f>
        <v>#VALUE!</v>
      </c>
      <c r="B77" t="e">
        <f>AND('Planilla_General_07-12-2012_8_3'!I1145,"AAAAACHT/wE=")</f>
        <v>#VALUE!</v>
      </c>
      <c r="C77" t="e">
        <f>AND('Planilla_General_07-12-2012_8_3'!J1145,"AAAAACHT/wI=")</f>
        <v>#VALUE!</v>
      </c>
      <c r="D77" t="e">
        <f>AND('Planilla_General_07-12-2012_8_3'!K1145,"AAAAACHT/wM=")</f>
        <v>#VALUE!</v>
      </c>
      <c r="E77" t="e">
        <f>AND('Planilla_General_07-12-2012_8_3'!L1145,"AAAAACHT/wQ=")</f>
        <v>#VALUE!</v>
      </c>
      <c r="F77" t="e">
        <f>AND('Planilla_General_07-12-2012_8_3'!M1145,"AAAAACHT/wU=")</f>
        <v>#VALUE!</v>
      </c>
      <c r="G77" t="e">
        <f>AND('Planilla_General_07-12-2012_8_3'!N1145,"AAAAACHT/wY=")</f>
        <v>#VALUE!</v>
      </c>
      <c r="H77" t="e">
        <f>AND('Planilla_General_07-12-2012_8_3'!O1145,"AAAAACHT/wc=")</f>
        <v>#VALUE!</v>
      </c>
      <c r="I77" t="e">
        <f>AND('Planilla_General_07-12-2012_8_3'!P1145,"AAAAACHT/wg=")</f>
        <v>#VALUE!</v>
      </c>
      <c r="J77" t="e">
        <f>IF('Planilla_General_07-12-2012_8_3'!1146:1146,"AAAAACHT/wk=",0)</f>
        <v>#VALUE!</v>
      </c>
      <c r="K77" t="e">
        <f>AND('Planilla_General_07-12-2012_8_3'!A1146,"AAAAACHT/wo=")</f>
        <v>#VALUE!</v>
      </c>
      <c r="L77" t="e">
        <f>AND('Planilla_General_07-12-2012_8_3'!B1146,"AAAAACHT/ws=")</f>
        <v>#VALUE!</v>
      </c>
      <c r="M77" t="e">
        <f>AND('Planilla_General_07-12-2012_8_3'!C1146,"AAAAACHT/ww=")</f>
        <v>#VALUE!</v>
      </c>
      <c r="N77" t="e">
        <f>AND('Planilla_General_07-12-2012_8_3'!D1146,"AAAAACHT/w0=")</f>
        <v>#VALUE!</v>
      </c>
      <c r="O77" t="e">
        <f>AND('Planilla_General_07-12-2012_8_3'!E1146,"AAAAACHT/w4=")</f>
        <v>#VALUE!</v>
      </c>
      <c r="P77" t="e">
        <f>AND('Planilla_General_07-12-2012_8_3'!F1146,"AAAAACHT/w8=")</f>
        <v>#VALUE!</v>
      </c>
      <c r="Q77" t="e">
        <f>AND('Planilla_General_07-12-2012_8_3'!G1146,"AAAAACHT/xA=")</f>
        <v>#VALUE!</v>
      </c>
      <c r="R77" t="e">
        <f>AND('Planilla_General_07-12-2012_8_3'!H1146,"AAAAACHT/xE=")</f>
        <v>#VALUE!</v>
      </c>
      <c r="S77" t="e">
        <f>AND('Planilla_General_07-12-2012_8_3'!I1146,"AAAAACHT/xI=")</f>
        <v>#VALUE!</v>
      </c>
      <c r="T77" t="e">
        <f>AND('Planilla_General_07-12-2012_8_3'!J1146,"AAAAACHT/xM=")</f>
        <v>#VALUE!</v>
      </c>
      <c r="U77" t="e">
        <f>AND('Planilla_General_07-12-2012_8_3'!K1146,"AAAAACHT/xQ=")</f>
        <v>#VALUE!</v>
      </c>
      <c r="V77" t="e">
        <f>AND('Planilla_General_07-12-2012_8_3'!L1146,"AAAAACHT/xU=")</f>
        <v>#VALUE!</v>
      </c>
      <c r="W77" t="e">
        <f>AND('Planilla_General_07-12-2012_8_3'!M1146,"AAAAACHT/xY=")</f>
        <v>#VALUE!</v>
      </c>
      <c r="X77" t="e">
        <f>AND('Planilla_General_07-12-2012_8_3'!N1146,"AAAAACHT/xc=")</f>
        <v>#VALUE!</v>
      </c>
      <c r="Y77" t="e">
        <f>AND('Planilla_General_07-12-2012_8_3'!O1146,"AAAAACHT/xg=")</f>
        <v>#VALUE!</v>
      </c>
      <c r="Z77" t="e">
        <f>AND('Planilla_General_07-12-2012_8_3'!P1146,"AAAAACHT/xk=")</f>
        <v>#VALUE!</v>
      </c>
      <c r="AA77">
        <f>IF('Planilla_General_07-12-2012_8_3'!1147:1147,"AAAAACHT/xo=",0)</f>
        <v>0</v>
      </c>
      <c r="AB77" t="e">
        <f>AND('Planilla_General_07-12-2012_8_3'!A1147,"AAAAACHT/xs=")</f>
        <v>#VALUE!</v>
      </c>
      <c r="AC77" t="e">
        <f>AND('Planilla_General_07-12-2012_8_3'!B1147,"AAAAACHT/xw=")</f>
        <v>#VALUE!</v>
      </c>
      <c r="AD77" t="e">
        <f>AND('Planilla_General_07-12-2012_8_3'!C1147,"AAAAACHT/x0=")</f>
        <v>#VALUE!</v>
      </c>
      <c r="AE77" t="e">
        <f>AND('Planilla_General_07-12-2012_8_3'!D1147,"AAAAACHT/x4=")</f>
        <v>#VALUE!</v>
      </c>
      <c r="AF77" t="e">
        <f>AND('Planilla_General_07-12-2012_8_3'!E1147,"AAAAACHT/x8=")</f>
        <v>#VALUE!</v>
      </c>
      <c r="AG77" t="e">
        <f>AND('Planilla_General_07-12-2012_8_3'!F1147,"AAAAACHT/yA=")</f>
        <v>#VALUE!</v>
      </c>
      <c r="AH77" t="e">
        <f>AND('Planilla_General_07-12-2012_8_3'!G1147,"AAAAACHT/yE=")</f>
        <v>#VALUE!</v>
      </c>
      <c r="AI77" t="e">
        <f>AND('Planilla_General_07-12-2012_8_3'!H1147,"AAAAACHT/yI=")</f>
        <v>#VALUE!</v>
      </c>
      <c r="AJ77" t="e">
        <f>AND('Planilla_General_07-12-2012_8_3'!I1147,"AAAAACHT/yM=")</f>
        <v>#VALUE!</v>
      </c>
      <c r="AK77" t="e">
        <f>AND('Planilla_General_07-12-2012_8_3'!J1147,"AAAAACHT/yQ=")</f>
        <v>#VALUE!</v>
      </c>
      <c r="AL77" t="e">
        <f>AND('Planilla_General_07-12-2012_8_3'!K1147,"AAAAACHT/yU=")</f>
        <v>#VALUE!</v>
      </c>
      <c r="AM77" t="e">
        <f>AND('Planilla_General_07-12-2012_8_3'!L1147,"AAAAACHT/yY=")</f>
        <v>#VALUE!</v>
      </c>
      <c r="AN77" t="e">
        <f>AND('Planilla_General_07-12-2012_8_3'!M1147,"AAAAACHT/yc=")</f>
        <v>#VALUE!</v>
      </c>
      <c r="AO77" t="e">
        <f>AND('Planilla_General_07-12-2012_8_3'!N1147,"AAAAACHT/yg=")</f>
        <v>#VALUE!</v>
      </c>
      <c r="AP77" t="e">
        <f>AND('Planilla_General_07-12-2012_8_3'!O1147,"AAAAACHT/yk=")</f>
        <v>#VALUE!</v>
      </c>
      <c r="AQ77" t="e">
        <f>AND('Planilla_General_07-12-2012_8_3'!P1147,"AAAAACHT/yo=")</f>
        <v>#VALUE!</v>
      </c>
      <c r="AR77">
        <f>IF('Planilla_General_07-12-2012_8_3'!1148:1148,"AAAAACHT/ys=",0)</f>
        <v>0</v>
      </c>
      <c r="AS77" t="e">
        <f>AND('Planilla_General_07-12-2012_8_3'!A1148,"AAAAACHT/yw=")</f>
        <v>#VALUE!</v>
      </c>
      <c r="AT77" t="e">
        <f>AND('Planilla_General_07-12-2012_8_3'!B1148,"AAAAACHT/y0=")</f>
        <v>#VALUE!</v>
      </c>
      <c r="AU77" t="e">
        <f>AND('Planilla_General_07-12-2012_8_3'!C1148,"AAAAACHT/y4=")</f>
        <v>#VALUE!</v>
      </c>
      <c r="AV77" t="e">
        <f>AND('Planilla_General_07-12-2012_8_3'!D1148,"AAAAACHT/y8=")</f>
        <v>#VALUE!</v>
      </c>
      <c r="AW77" t="e">
        <f>AND('Planilla_General_07-12-2012_8_3'!E1148,"AAAAACHT/zA=")</f>
        <v>#VALUE!</v>
      </c>
      <c r="AX77" t="e">
        <f>AND('Planilla_General_07-12-2012_8_3'!F1148,"AAAAACHT/zE=")</f>
        <v>#VALUE!</v>
      </c>
      <c r="AY77" t="e">
        <f>AND('Planilla_General_07-12-2012_8_3'!G1148,"AAAAACHT/zI=")</f>
        <v>#VALUE!</v>
      </c>
      <c r="AZ77" t="e">
        <f>AND('Planilla_General_07-12-2012_8_3'!H1148,"AAAAACHT/zM=")</f>
        <v>#VALUE!</v>
      </c>
      <c r="BA77" t="e">
        <f>AND('Planilla_General_07-12-2012_8_3'!I1148,"AAAAACHT/zQ=")</f>
        <v>#VALUE!</v>
      </c>
      <c r="BB77" t="e">
        <f>AND('Planilla_General_07-12-2012_8_3'!J1148,"AAAAACHT/zU=")</f>
        <v>#VALUE!</v>
      </c>
      <c r="BC77" t="e">
        <f>AND('Planilla_General_07-12-2012_8_3'!K1148,"AAAAACHT/zY=")</f>
        <v>#VALUE!</v>
      </c>
      <c r="BD77" t="e">
        <f>AND('Planilla_General_07-12-2012_8_3'!L1148,"AAAAACHT/zc=")</f>
        <v>#VALUE!</v>
      </c>
      <c r="BE77" t="e">
        <f>AND('Planilla_General_07-12-2012_8_3'!M1148,"AAAAACHT/zg=")</f>
        <v>#VALUE!</v>
      </c>
      <c r="BF77" t="e">
        <f>AND('Planilla_General_07-12-2012_8_3'!N1148,"AAAAACHT/zk=")</f>
        <v>#VALUE!</v>
      </c>
      <c r="BG77" t="e">
        <f>AND('Planilla_General_07-12-2012_8_3'!O1148,"AAAAACHT/zo=")</f>
        <v>#VALUE!</v>
      </c>
      <c r="BH77" t="e">
        <f>AND('Planilla_General_07-12-2012_8_3'!P1148,"AAAAACHT/zs=")</f>
        <v>#VALUE!</v>
      </c>
      <c r="BI77">
        <f>IF('Planilla_General_07-12-2012_8_3'!1149:1149,"AAAAACHT/zw=",0)</f>
        <v>0</v>
      </c>
      <c r="BJ77" t="e">
        <f>AND('Planilla_General_07-12-2012_8_3'!A1149,"AAAAACHT/z0=")</f>
        <v>#VALUE!</v>
      </c>
      <c r="BK77" t="e">
        <f>AND('Planilla_General_07-12-2012_8_3'!B1149,"AAAAACHT/z4=")</f>
        <v>#VALUE!</v>
      </c>
      <c r="BL77" t="e">
        <f>AND('Planilla_General_07-12-2012_8_3'!C1149,"AAAAACHT/z8=")</f>
        <v>#VALUE!</v>
      </c>
      <c r="BM77" t="e">
        <f>AND('Planilla_General_07-12-2012_8_3'!D1149,"AAAAACHT/0A=")</f>
        <v>#VALUE!</v>
      </c>
      <c r="BN77" t="e">
        <f>AND('Planilla_General_07-12-2012_8_3'!E1149,"AAAAACHT/0E=")</f>
        <v>#VALUE!</v>
      </c>
      <c r="BO77" t="e">
        <f>AND('Planilla_General_07-12-2012_8_3'!F1149,"AAAAACHT/0I=")</f>
        <v>#VALUE!</v>
      </c>
      <c r="BP77" t="e">
        <f>AND('Planilla_General_07-12-2012_8_3'!G1149,"AAAAACHT/0M=")</f>
        <v>#VALUE!</v>
      </c>
      <c r="BQ77" t="e">
        <f>AND('Planilla_General_07-12-2012_8_3'!H1149,"AAAAACHT/0Q=")</f>
        <v>#VALUE!</v>
      </c>
      <c r="BR77" t="e">
        <f>AND('Planilla_General_07-12-2012_8_3'!I1149,"AAAAACHT/0U=")</f>
        <v>#VALUE!</v>
      </c>
      <c r="BS77" t="e">
        <f>AND('Planilla_General_07-12-2012_8_3'!J1149,"AAAAACHT/0Y=")</f>
        <v>#VALUE!</v>
      </c>
      <c r="BT77" t="e">
        <f>AND('Planilla_General_07-12-2012_8_3'!K1149,"AAAAACHT/0c=")</f>
        <v>#VALUE!</v>
      </c>
      <c r="BU77" t="e">
        <f>AND('Planilla_General_07-12-2012_8_3'!L1149,"AAAAACHT/0g=")</f>
        <v>#VALUE!</v>
      </c>
      <c r="BV77" t="e">
        <f>AND('Planilla_General_07-12-2012_8_3'!M1149,"AAAAACHT/0k=")</f>
        <v>#VALUE!</v>
      </c>
      <c r="BW77" t="e">
        <f>AND('Planilla_General_07-12-2012_8_3'!N1149,"AAAAACHT/0o=")</f>
        <v>#VALUE!</v>
      </c>
      <c r="BX77" t="e">
        <f>AND('Planilla_General_07-12-2012_8_3'!O1149,"AAAAACHT/0s=")</f>
        <v>#VALUE!</v>
      </c>
      <c r="BY77" t="e">
        <f>AND('Planilla_General_07-12-2012_8_3'!P1149,"AAAAACHT/0w=")</f>
        <v>#VALUE!</v>
      </c>
      <c r="BZ77">
        <f>IF('Planilla_General_07-12-2012_8_3'!1150:1150,"AAAAACHT/00=",0)</f>
        <v>0</v>
      </c>
      <c r="CA77" t="e">
        <f>AND('Planilla_General_07-12-2012_8_3'!A1150,"AAAAACHT/04=")</f>
        <v>#VALUE!</v>
      </c>
      <c r="CB77" t="e">
        <f>AND('Planilla_General_07-12-2012_8_3'!B1150,"AAAAACHT/08=")</f>
        <v>#VALUE!</v>
      </c>
      <c r="CC77" t="e">
        <f>AND('Planilla_General_07-12-2012_8_3'!C1150,"AAAAACHT/1A=")</f>
        <v>#VALUE!</v>
      </c>
      <c r="CD77" t="e">
        <f>AND('Planilla_General_07-12-2012_8_3'!D1150,"AAAAACHT/1E=")</f>
        <v>#VALUE!</v>
      </c>
      <c r="CE77" t="e">
        <f>AND('Planilla_General_07-12-2012_8_3'!E1150,"AAAAACHT/1I=")</f>
        <v>#VALUE!</v>
      </c>
      <c r="CF77" t="e">
        <f>AND('Planilla_General_07-12-2012_8_3'!F1150,"AAAAACHT/1M=")</f>
        <v>#VALUE!</v>
      </c>
      <c r="CG77" t="e">
        <f>AND('Planilla_General_07-12-2012_8_3'!G1150,"AAAAACHT/1Q=")</f>
        <v>#VALUE!</v>
      </c>
      <c r="CH77" t="e">
        <f>AND('Planilla_General_07-12-2012_8_3'!H1150,"AAAAACHT/1U=")</f>
        <v>#VALUE!</v>
      </c>
      <c r="CI77" t="e">
        <f>AND('Planilla_General_07-12-2012_8_3'!I1150,"AAAAACHT/1Y=")</f>
        <v>#VALUE!</v>
      </c>
      <c r="CJ77" t="e">
        <f>AND('Planilla_General_07-12-2012_8_3'!J1150,"AAAAACHT/1c=")</f>
        <v>#VALUE!</v>
      </c>
      <c r="CK77" t="e">
        <f>AND('Planilla_General_07-12-2012_8_3'!K1150,"AAAAACHT/1g=")</f>
        <v>#VALUE!</v>
      </c>
      <c r="CL77" t="e">
        <f>AND('Planilla_General_07-12-2012_8_3'!L1150,"AAAAACHT/1k=")</f>
        <v>#VALUE!</v>
      </c>
      <c r="CM77" t="e">
        <f>AND('Planilla_General_07-12-2012_8_3'!M1150,"AAAAACHT/1o=")</f>
        <v>#VALUE!</v>
      </c>
      <c r="CN77" t="e">
        <f>AND('Planilla_General_07-12-2012_8_3'!N1150,"AAAAACHT/1s=")</f>
        <v>#VALUE!</v>
      </c>
      <c r="CO77" t="e">
        <f>AND('Planilla_General_07-12-2012_8_3'!O1150,"AAAAACHT/1w=")</f>
        <v>#VALUE!</v>
      </c>
      <c r="CP77" t="e">
        <f>AND('Planilla_General_07-12-2012_8_3'!P1150,"AAAAACHT/10=")</f>
        <v>#VALUE!</v>
      </c>
      <c r="CQ77">
        <f>IF('Planilla_General_07-12-2012_8_3'!1151:1151,"AAAAACHT/14=",0)</f>
        <v>0</v>
      </c>
      <c r="CR77" t="e">
        <f>AND('Planilla_General_07-12-2012_8_3'!A1151,"AAAAACHT/18=")</f>
        <v>#VALUE!</v>
      </c>
      <c r="CS77" t="e">
        <f>AND('Planilla_General_07-12-2012_8_3'!B1151,"AAAAACHT/2A=")</f>
        <v>#VALUE!</v>
      </c>
      <c r="CT77" t="e">
        <f>AND('Planilla_General_07-12-2012_8_3'!C1151,"AAAAACHT/2E=")</f>
        <v>#VALUE!</v>
      </c>
      <c r="CU77" t="e">
        <f>AND('Planilla_General_07-12-2012_8_3'!D1151,"AAAAACHT/2I=")</f>
        <v>#VALUE!</v>
      </c>
      <c r="CV77" t="e">
        <f>AND('Planilla_General_07-12-2012_8_3'!E1151,"AAAAACHT/2M=")</f>
        <v>#VALUE!</v>
      </c>
      <c r="CW77" t="e">
        <f>AND('Planilla_General_07-12-2012_8_3'!F1151,"AAAAACHT/2Q=")</f>
        <v>#VALUE!</v>
      </c>
      <c r="CX77" t="e">
        <f>AND('Planilla_General_07-12-2012_8_3'!G1151,"AAAAACHT/2U=")</f>
        <v>#VALUE!</v>
      </c>
      <c r="CY77" t="e">
        <f>AND('Planilla_General_07-12-2012_8_3'!H1151,"AAAAACHT/2Y=")</f>
        <v>#VALUE!</v>
      </c>
      <c r="CZ77" t="e">
        <f>AND('Planilla_General_07-12-2012_8_3'!I1151,"AAAAACHT/2c=")</f>
        <v>#VALUE!</v>
      </c>
      <c r="DA77" t="e">
        <f>AND('Planilla_General_07-12-2012_8_3'!J1151,"AAAAACHT/2g=")</f>
        <v>#VALUE!</v>
      </c>
      <c r="DB77" t="e">
        <f>AND('Planilla_General_07-12-2012_8_3'!K1151,"AAAAACHT/2k=")</f>
        <v>#VALUE!</v>
      </c>
      <c r="DC77" t="e">
        <f>AND('Planilla_General_07-12-2012_8_3'!L1151,"AAAAACHT/2o=")</f>
        <v>#VALUE!</v>
      </c>
      <c r="DD77" t="e">
        <f>AND('Planilla_General_07-12-2012_8_3'!M1151,"AAAAACHT/2s=")</f>
        <v>#VALUE!</v>
      </c>
      <c r="DE77" t="e">
        <f>AND('Planilla_General_07-12-2012_8_3'!N1151,"AAAAACHT/2w=")</f>
        <v>#VALUE!</v>
      </c>
      <c r="DF77" t="e">
        <f>AND('Planilla_General_07-12-2012_8_3'!O1151,"AAAAACHT/20=")</f>
        <v>#VALUE!</v>
      </c>
      <c r="DG77" t="e">
        <f>AND('Planilla_General_07-12-2012_8_3'!P1151,"AAAAACHT/24=")</f>
        <v>#VALUE!</v>
      </c>
      <c r="DH77">
        <f>IF('Planilla_General_07-12-2012_8_3'!1152:1152,"AAAAACHT/28=",0)</f>
        <v>0</v>
      </c>
      <c r="DI77" t="e">
        <f>AND('Planilla_General_07-12-2012_8_3'!A1152,"AAAAACHT/3A=")</f>
        <v>#VALUE!</v>
      </c>
      <c r="DJ77" t="e">
        <f>AND('Planilla_General_07-12-2012_8_3'!B1152,"AAAAACHT/3E=")</f>
        <v>#VALUE!</v>
      </c>
      <c r="DK77" t="e">
        <f>AND('Planilla_General_07-12-2012_8_3'!C1152,"AAAAACHT/3I=")</f>
        <v>#VALUE!</v>
      </c>
      <c r="DL77" t="e">
        <f>AND('Planilla_General_07-12-2012_8_3'!D1152,"AAAAACHT/3M=")</f>
        <v>#VALUE!</v>
      </c>
      <c r="DM77" t="e">
        <f>AND('Planilla_General_07-12-2012_8_3'!E1152,"AAAAACHT/3Q=")</f>
        <v>#VALUE!</v>
      </c>
      <c r="DN77" t="e">
        <f>AND('Planilla_General_07-12-2012_8_3'!F1152,"AAAAACHT/3U=")</f>
        <v>#VALUE!</v>
      </c>
      <c r="DO77" t="e">
        <f>AND('Planilla_General_07-12-2012_8_3'!G1152,"AAAAACHT/3Y=")</f>
        <v>#VALUE!</v>
      </c>
      <c r="DP77" t="e">
        <f>AND('Planilla_General_07-12-2012_8_3'!H1152,"AAAAACHT/3c=")</f>
        <v>#VALUE!</v>
      </c>
      <c r="DQ77" t="e">
        <f>AND('Planilla_General_07-12-2012_8_3'!I1152,"AAAAACHT/3g=")</f>
        <v>#VALUE!</v>
      </c>
      <c r="DR77" t="e">
        <f>AND('Planilla_General_07-12-2012_8_3'!J1152,"AAAAACHT/3k=")</f>
        <v>#VALUE!</v>
      </c>
      <c r="DS77" t="e">
        <f>AND('Planilla_General_07-12-2012_8_3'!K1152,"AAAAACHT/3o=")</f>
        <v>#VALUE!</v>
      </c>
      <c r="DT77" t="e">
        <f>AND('Planilla_General_07-12-2012_8_3'!L1152,"AAAAACHT/3s=")</f>
        <v>#VALUE!</v>
      </c>
      <c r="DU77" t="e">
        <f>AND('Planilla_General_07-12-2012_8_3'!M1152,"AAAAACHT/3w=")</f>
        <v>#VALUE!</v>
      </c>
      <c r="DV77" t="e">
        <f>AND('Planilla_General_07-12-2012_8_3'!N1152,"AAAAACHT/30=")</f>
        <v>#VALUE!</v>
      </c>
      <c r="DW77" t="e">
        <f>AND('Planilla_General_07-12-2012_8_3'!O1152,"AAAAACHT/34=")</f>
        <v>#VALUE!</v>
      </c>
      <c r="DX77" t="e">
        <f>AND('Planilla_General_07-12-2012_8_3'!P1152,"AAAAACHT/38=")</f>
        <v>#VALUE!</v>
      </c>
      <c r="DY77">
        <f>IF('Planilla_General_07-12-2012_8_3'!1153:1153,"AAAAACHT/4A=",0)</f>
        <v>0</v>
      </c>
      <c r="DZ77" t="e">
        <f>AND('Planilla_General_07-12-2012_8_3'!A1153,"AAAAACHT/4E=")</f>
        <v>#VALUE!</v>
      </c>
      <c r="EA77" t="e">
        <f>AND('Planilla_General_07-12-2012_8_3'!B1153,"AAAAACHT/4I=")</f>
        <v>#VALUE!</v>
      </c>
      <c r="EB77" t="e">
        <f>AND('Planilla_General_07-12-2012_8_3'!C1153,"AAAAACHT/4M=")</f>
        <v>#VALUE!</v>
      </c>
      <c r="EC77" t="e">
        <f>AND('Planilla_General_07-12-2012_8_3'!D1153,"AAAAACHT/4Q=")</f>
        <v>#VALUE!</v>
      </c>
      <c r="ED77" t="e">
        <f>AND('Planilla_General_07-12-2012_8_3'!E1153,"AAAAACHT/4U=")</f>
        <v>#VALUE!</v>
      </c>
      <c r="EE77" t="e">
        <f>AND('Planilla_General_07-12-2012_8_3'!F1153,"AAAAACHT/4Y=")</f>
        <v>#VALUE!</v>
      </c>
      <c r="EF77" t="e">
        <f>AND('Planilla_General_07-12-2012_8_3'!G1153,"AAAAACHT/4c=")</f>
        <v>#VALUE!</v>
      </c>
      <c r="EG77" t="e">
        <f>AND('Planilla_General_07-12-2012_8_3'!H1153,"AAAAACHT/4g=")</f>
        <v>#VALUE!</v>
      </c>
      <c r="EH77" t="e">
        <f>AND('Planilla_General_07-12-2012_8_3'!I1153,"AAAAACHT/4k=")</f>
        <v>#VALUE!</v>
      </c>
      <c r="EI77" t="e">
        <f>AND('Planilla_General_07-12-2012_8_3'!J1153,"AAAAACHT/4o=")</f>
        <v>#VALUE!</v>
      </c>
      <c r="EJ77" t="e">
        <f>AND('Planilla_General_07-12-2012_8_3'!K1153,"AAAAACHT/4s=")</f>
        <v>#VALUE!</v>
      </c>
      <c r="EK77" t="e">
        <f>AND('Planilla_General_07-12-2012_8_3'!L1153,"AAAAACHT/4w=")</f>
        <v>#VALUE!</v>
      </c>
      <c r="EL77" t="e">
        <f>AND('Planilla_General_07-12-2012_8_3'!M1153,"AAAAACHT/40=")</f>
        <v>#VALUE!</v>
      </c>
      <c r="EM77" t="e">
        <f>AND('Planilla_General_07-12-2012_8_3'!N1153,"AAAAACHT/44=")</f>
        <v>#VALUE!</v>
      </c>
      <c r="EN77" t="e">
        <f>AND('Planilla_General_07-12-2012_8_3'!O1153,"AAAAACHT/48=")</f>
        <v>#VALUE!</v>
      </c>
      <c r="EO77" t="e">
        <f>AND('Planilla_General_07-12-2012_8_3'!P1153,"AAAAACHT/5A=")</f>
        <v>#VALUE!</v>
      </c>
      <c r="EP77">
        <f>IF('Planilla_General_07-12-2012_8_3'!1154:1154,"AAAAACHT/5E=",0)</f>
        <v>0</v>
      </c>
      <c r="EQ77" t="e">
        <f>AND('Planilla_General_07-12-2012_8_3'!A1154,"AAAAACHT/5I=")</f>
        <v>#VALUE!</v>
      </c>
      <c r="ER77" t="e">
        <f>AND('Planilla_General_07-12-2012_8_3'!B1154,"AAAAACHT/5M=")</f>
        <v>#VALUE!</v>
      </c>
      <c r="ES77" t="e">
        <f>AND('Planilla_General_07-12-2012_8_3'!C1154,"AAAAACHT/5Q=")</f>
        <v>#VALUE!</v>
      </c>
      <c r="ET77" t="e">
        <f>AND('Planilla_General_07-12-2012_8_3'!D1154,"AAAAACHT/5U=")</f>
        <v>#VALUE!</v>
      </c>
      <c r="EU77" t="e">
        <f>AND('Planilla_General_07-12-2012_8_3'!E1154,"AAAAACHT/5Y=")</f>
        <v>#VALUE!</v>
      </c>
      <c r="EV77" t="e">
        <f>AND('Planilla_General_07-12-2012_8_3'!F1154,"AAAAACHT/5c=")</f>
        <v>#VALUE!</v>
      </c>
      <c r="EW77" t="e">
        <f>AND('Planilla_General_07-12-2012_8_3'!G1154,"AAAAACHT/5g=")</f>
        <v>#VALUE!</v>
      </c>
      <c r="EX77" t="e">
        <f>AND('Planilla_General_07-12-2012_8_3'!H1154,"AAAAACHT/5k=")</f>
        <v>#VALUE!</v>
      </c>
      <c r="EY77" t="e">
        <f>AND('Planilla_General_07-12-2012_8_3'!I1154,"AAAAACHT/5o=")</f>
        <v>#VALUE!</v>
      </c>
      <c r="EZ77" t="e">
        <f>AND('Planilla_General_07-12-2012_8_3'!J1154,"AAAAACHT/5s=")</f>
        <v>#VALUE!</v>
      </c>
      <c r="FA77" t="e">
        <f>AND('Planilla_General_07-12-2012_8_3'!K1154,"AAAAACHT/5w=")</f>
        <v>#VALUE!</v>
      </c>
      <c r="FB77" t="e">
        <f>AND('Planilla_General_07-12-2012_8_3'!L1154,"AAAAACHT/50=")</f>
        <v>#VALUE!</v>
      </c>
      <c r="FC77" t="e">
        <f>AND('Planilla_General_07-12-2012_8_3'!M1154,"AAAAACHT/54=")</f>
        <v>#VALUE!</v>
      </c>
      <c r="FD77" t="e">
        <f>AND('Planilla_General_07-12-2012_8_3'!N1154,"AAAAACHT/58=")</f>
        <v>#VALUE!</v>
      </c>
      <c r="FE77" t="e">
        <f>AND('Planilla_General_07-12-2012_8_3'!O1154,"AAAAACHT/6A=")</f>
        <v>#VALUE!</v>
      </c>
      <c r="FF77" t="e">
        <f>AND('Planilla_General_07-12-2012_8_3'!P1154,"AAAAACHT/6E=")</f>
        <v>#VALUE!</v>
      </c>
      <c r="FG77">
        <f>IF('Planilla_General_07-12-2012_8_3'!1155:1155,"AAAAACHT/6I=",0)</f>
        <v>0</v>
      </c>
      <c r="FH77" t="e">
        <f>AND('Planilla_General_07-12-2012_8_3'!A1155,"AAAAACHT/6M=")</f>
        <v>#VALUE!</v>
      </c>
      <c r="FI77" t="e">
        <f>AND('Planilla_General_07-12-2012_8_3'!B1155,"AAAAACHT/6Q=")</f>
        <v>#VALUE!</v>
      </c>
      <c r="FJ77" t="e">
        <f>AND('Planilla_General_07-12-2012_8_3'!C1155,"AAAAACHT/6U=")</f>
        <v>#VALUE!</v>
      </c>
      <c r="FK77" t="e">
        <f>AND('Planilla_General_07-12-2012_8_3'!D1155,"AAAAACHT/6Y=")</f>
        <v>#VALUE!</v>
      </c>
      <c r="FL77" t="e">
        <f>AND('Planilla_General_07-12-2012_8_3'!E1155,"AAAAACHT/6c=")</f>
        <v>#VALUE!</v>
      </c>
      <c r="FM77" t="e">
        <f>AND('Planilla_General_07-12-2012_8_3'!F1155,"AAAAACHT/6g=")</f>
        <v>#VALUE!</v>
      </c>
      <c r="FN77" t="e">
        <f>AND('Planilla_General_07-12-2012_8_3'!G1155,"AAAAACHT/6k=")</f>
        <v>#VALUE!</v>
      </c>
      <c r="FO77" t="e">
        <f>AND('Planilla_General_07-12-2012_8_3'!H1155,"AAAAACHT/6o=")</f>
        <v>#VALUE!</v>
      </c>
      <c r="FP77" t="e">
        <f>AND('Planilla_General_07-12-2012_8_3'!I1155,"AAAAACHT/6s=")</f>
        <v>#VALUE!</v>
      </c>
      <c r="FQ77" t="e">
        <f>AND('Planilla_General_07-12-2012_8_3'!J1155,"AAAAACHT/6w=")</f>
        <v>#VALUE!</v>
      </c>
      <c r="FR77" t="e">
        <f>AND('Planilla_General_07-12-2012_8_3'!K1155,"AAAAACHT/60=")</f>
        <v>#VALUE!</v>
      </c>
      <c r="FS77" t="e">
        <f>AND('Planilla_General_07-12-2012_8_3'!L1155,"AAAAACHT/64=")</f>
        <v>#VALUE!</v>
      </c>
      <c r="FT77" t="e">
        <f>AND('Planilla_General_07-12-2012_8_3'!M1155,"AAAAACHT/68=")</f>
        <v>#VALUE!</v>
      </c>
      <c r="FU77" t="e">
        <f>AND('Planilla_General_07-12-2012_8_3'!N1155,"AAAAACHT/7A=")</f>
        <v>#VALUE!</v>
      </c>
      <c r="FV77" t="e">
        <f>AND('Planilla_General_07-12-2012_8_3'!O1155,"AAAAACHT/7E=")</f>
        <v>#VALUE!</v>
      </c>
      <c r="FW77" t="e">
        <f>AND('Planilla_General_07-12-2012_8_3'!P1155,"AAAAACHT/7I=")</f>
        <v>#VALUE!</v>
      </c>
      <c r="FX77">
        <f>IF('Planilla_General_07-12-2012_8_3'!1156:1156,"AAAAACHT/7M=",0)</f>
        <v>0</v>
      </c>
      <c r="FY77" t="e">
        <f>AND('Planilla_General_07-12-2012_8_3'!A1156,"AAAAACHT/7Q=")</f>
        <v>#VALUE!</v>
      </c>
      <c r="FZ77" t="e">
        <f>AND('Planilla_General_07-12-2012_8_3'!B1156,"AAAAACHT/7U=")</f>
        <v>#VALUE!</v>
      </c>
      <c r="GA77" t="e">
        <f>AND('Planilla_General_07-12-2012_8_3'!C1156,"AAAAACHT/7Y=")</f>
        <v>#VALUE!</v>
      </c>
      <c r="GB77" t="e">
        <f>AND('Planilla_General_07-12-2012_8_3'!D1156,"AAAAACHT/7c=")</f>
        <v>#VALUE!</v>
      </c>
      <c r="GC77" t="e">
        <f>AND('Planilla_General_07-12-2012_8_3'!E1156,"AAAAACHT/7g=")</f>
        <v>#VALUE!</v>
      </c>
      <c r="GD77" t="e">
        <f>AND('Planilla_General_07-12-2012_8_3'!F1156,"AAAAACHT/7k=")</f>
        <v>#VALUE!</v>
      </c>
      <c r="GE77" t="e">
        <f>AND('Planilla_General_07-12-2012_8_3'!G1156,"AAAAACHT/7o=")</f>
        <v>#VALUE!</v>
      </c>
      <c r="GF77" t="e">
        <f>AND('Planilla_General_07-12-2012_8_3'!H1156,"AAAAACHT/7s=")</f>
        <v>#VALUE!</v>
      </c>
      <c r="GG77" t="e">
        <f>AND('Planilla_General_07-12-2012_8_3'!I1156,"AAAAACHT/7w=")</f>
        <v>#VALUE!</v>
      </c>
      <c r="GH77" t="e">
        <f>AND('Planilla_General_07-12-2012_8_3'!J1156,"AAAAACHT/70=")</f>
        <v>#VALUE!</v>
      </c>
      <c r="GI77" t="e">
        <f>AND('Planilla_General_07-12-2012_8_3'!K1156,"AAAAACHT/74=")</f>
        <v>#VALUE!</v>
      </c>
      <c r="GJ77" t="e">
        <f>AND('Planilla_General_07-12-2012_8_3'!L1156,"AAAAACHT/78=")</f>
        <v>#VALUE!</v>
      </c>
      <c r="GK77" t="e">
        <f>AND('Planilla_General_07-12-2012_8_3'!M1156,"AAAAACHT/8A=")</f>
        <v>#VALUE!</v>
      </c>
      <c r="GL77" t="e">
        <f>AND('Planilla_General_07-12-2012_8_3'!N1156,"AAAAACHT/8E=")</f>
        <v>#VALUE!</v>
      </c>
      <c r="GM77" t="e">
        <f>AND('Planilla_General_07-12-2012_8_3'!O1156,"AAAAACHT/8I=")</f>
        <v>#VALUE!</v>
      </c>
      <c r="GN77" t="e">
        <f>AND('Planilla_General_07-12-2012_8_3'!P1156,"AAAAACHT/8M=")</f>
        <v>#VALUE!</v>
      </c>
      <c r="GO77">
        <f>IF('Planilla_General_07-12-2012_8_3'!1157:1157,"AAAAACHT/8Q=",0)</f>
        <v>0</v>
      </c>
      <c r="GP77" t="e">
        <f>AND('Planilla_General_07-12-2012_8_3'!A1157,"AAAAACHT/8U=")</f>
        <v>#VALUE!</v>
      </c>
      <c r="GQ77" t="e">
        <f>AND('Planilla_General_07-12-2012_8_3'!B1157,"AAAAACHT/8Y=")</f>
        <v>#VALUE!</v>
      </c>
      <c r="GR77" t="e">
        <f>AND('Planilla_General_07-12-2012_8_3'!C1157,"AAAAACHT/8c=")</f>
        <v>#VALUE!</v>
      </c>
      <c r="GS77" t="e">
        <f>AND('Planilla_General_07-12-2012_8_3'!D1157,"AAAAACHT/8g=")</f>
        <v>#VALUE!</v>
      </c>
      <c r="GT77" t="e">
        <f>AND('Planilla_General_07-12-2012_8_3'!E1157,"AAAAACHT/8k=")</f>
        <v>#VALUE!</v>
      </c>
      <c r="GU77" t="e">
        <f>AND('Planilla_General_07-12-2012_8_3'!F1157,"AAAAACHT/8o=")</f>
        <v>#VALUE!</v>
      </c>
      <c r="GV77" t="e">
        <f>AND('Planilla_General_07-12-2012_8_3'!G1157,"AAAAACHT/8s=")</f>
        <v>#VALUE!</v>
      </c>
      <c r="GW77" t="e">
        <f>AND('Planilla_General_07-12-2012_8_3'!H1157,"AAAAACHT/8w=")</f>
        <v>#VALUE!</v>
      </c>
      <c r="GX77" t="e">
        <f>AND('Planilla_General_07-12-2012_8_3'!I1157,"AAAAACHT/80=")</f>
        <v>#VALUE!</v>
      </c>
      <c r="GY77" t="e">
        <f>AND('Planilla_General_07-12-2012_8_3'!J1157,"AAAAACHT/84=")</f>
        <v>#VALUE!</v>
      </c>
      <c r="GZ77" t="e">
        <f>AND('Planilla_General_07-12-2012_8_3'!K1157,"AAAAACHT/88=")</f>
        <v>#VALUE!</v>
      </c>
      <c r="HA77" t="e">
        <f>AND('Planilla_General_07-12-2012_8_3'!L1157,"AAAAACHT/9A=")</f>
        <v>#VALUE!</v>
      </c>
      <c r="HB77" t="e">
        <f>AND('Planilla_General_07-12-2012_8_3'!M1157,"AAAAACHT/9E=")</f>
        <v>#VALUE!</v>
      </c>
      <c r="HC77" t="e">
        <f>AND('Planilla_General_07-12-2012_8_3'!N1157,"AAAAACHT/9I=")</f>
        <v>#VALUE!</v>
      </c>
      <c r="HD77" t="e">
        <f>AND('Planilla_General_07-12-2012_8_3'!O1157,"AAAAACHT/9M=")</f>
        <v>#VALUE!</v>
      </c>
      <c r="HE77" t="e">
        <f>AND('Planilla_General_07-12-2012_8_3'!P1157,"AAAAACHT/9Q=")</f>
        <v>#VALUE!</v>
      </c>
      <c r="HF77">
        <f>IF('Planilla_General_07-12-2012_8_3'!1158:1158,"AAAAACHT/9U=",0)</f>
        <v>0</v>
      </c>
      <c r="HG77" t="e">
        <f>AND('Planilla_General_07-12-2012_8_3'!A1158,"AAAAACHT/9Y=")</f>
        <v>#VALUE!</v>
      </c>
      <c r="HH77" t="e">
        <f>AND('Planilla_General_07-12-2012_8_3'!B1158,"AAAAACHT/9c=")</f>
        <v>#VALUE!</v>
      </c>
      <c r="HI77" t="e">
        <f>AND('Planilla_General_07-12-2012_8_3'!C1158,"AAAAACHT/9g=")</f>
        <v>#VALUE!</v>
      </c>
      <c r="HJ77" t="e">
        <f>AND('Planilla_General_07-12-2012_8_3'!D1158,"AAAAACHT/9k=")</f>
        <v>#VALUE!</v>
      </c>
      <c r="HK77" t="e">
        <f>AND('Planilla_General_07-12-2012_8_3'!E1158,"AAAAACHT/9o=")</f>
        <v>#VALUE!</v>
      </c>
      <c r="HL77" t="e">
        <f>AND('Planilla_General_07-12-2012_8_3'!F1158,"AAAAACHT/9s=")</f>
        <v>#VALUE!</v>
      </c>
      <c r="HM77" t="e">
        <f>AND('Planilla_General_07-12-2012_8_3'!G1158,"AAAAACHT/9w=")</f>
        <v>#VALUE!</v>
      </c>
      <c r="HN77" t="e">
        <f>AND('Planilla_General_07-12-2012_8_3'!H1158,"AAAAACHT/90=")</f>
        <v>#VALUE!</v>
      </c>
      <c r="HO77" t="e">
        <f>AND('Planilla_General_07-12-2012_8_3'!I1158,"AAAAACHT/94=")</f>
        <v>#VALUE!</v>
      </c>
      <c r="HP77" t="e">
        <f>AND('Planilla_General_07-12-2012_8_3'!J1158,"AAAAACHT/98=")</f>
        <v>#VALUE!</v>
      </c>
      <c r="HQ77" t="e">
        <f>AND('Planilla_General_07-12-2012_8_3'!K1158,"AAAAACHT/+A=")</f>
        <v>#VALUE!</v>
      </c>
      <c r="HR77" t="e">
        <f>AND('Planilla_General_07-12-2012_8_3'!L1158,"AAAAACHT/+E=")</f>
        <v>#VALUE!</v>
      </c>
      <c r="HS77" t="e">
        <f>AND('Planilla_General_07-12-2012_8_3'!M1158,"AAAAACHT/+I=")</f>
        <v>#VALUE!</v>
      </c>
      <c r="HT77" t="e">
        <f>AND('Planilla_General_07-12-2012_8_3'!N1158,"AAAAACHT/+M=")</f>
        <v>#VALUE!</v>
      </c>
      <c r="HU77" t="e">
        <f>AND('Planilla_General_07-12-2012_8_3'!O1158,"AAAAACHT/+Q=")</f>
        <v>#VALUE!</v>
      </c>
      <c r="HV77" t="e">
        <f>AND('Planilla_General_07-12-2012_8_3'!P1158,"AAAAACHT/+U=")</f>
        <v>#VALUE!</v>
      </c>
      <c r="HW77">
        <f>IF('Planilla_General_07-12-2012_8_3'!1159:1159,"AAAAACHT/+Y=",0)</f>
        <v>0</v>
      </c>
      <c r="HX77" t="e">
        <f>AND('Planilla_General_07-12-2012_8_3'!A1159,"AAAAACHT/+c=")</f>
        <v>#VALUE!</v>
      </c>
      <c r="HY77" t="e">
        <f>AND('Planilla_General_07-12-2012_8_3'!B1159,"AAAAACHT/+g=")</f>
        <v>#VALUE!</v>
      </c>
      <c r="HZ77" t="e">
        <f>AND('Planilla_General_07-12-2012_8_3'!C1159,"AAAAACHT/+k=")</f>
        <v>#VALUE!</v>
      </c>
      <c r="IA77" t="e">
        <f>AND('Planilla_General_07-12-2012_8_3'!D1159,"AAAAACHT/+o=")</f>
        <v>#VALUE!</v>
      </c>
      <c r="IB77" t="e">
        <f>AND('Planilla_General_07-12-2012_8_3'!E1159,"AAAAACHT/+s=")</f>
        <v>#VALUE!</v>
      </c>
      <c r="IC77" t="e">
        <f>AND('Planilla_General_07-12-2012_8_3'!F1159,"AAAAACHT/+w=")</f>
        <v>#VALUE!</v>
      </c>
      <c r="ID77" t="e">
        <f>AND('Planilla_General_07-12-2012_8_3'!G1159,"AAAAACHT/+0=")</f>
        <v>#VALUE!</v>
      </c>
      <c r="IE77" t="e">
        <f>AND('Planilla_General_07-12-2012_8_3'!H1159,"AAAAACHT/+4=")</f>
        <v>#VALUE!</v>
      </c>
      <c r="IF77" t="e">
        <f>AND('Planilla_General_07-12-2012_8_3'!I1159,"AAAAACHT/+8=")</f>
        <v>#VALUE!</v>
      </c>
      <c r="IG77" t="e">
        <f>AND('Planilla_General_07-12-2012_8_3'!J1159,"AAAAACHT//A=")</f>
        <v>#VALUE!</v>
      </c>
      <c r="IH77" t="e">
        <f>AND('Planilla_General_07-12-2012_8_3'!K1159,"AAAAACHT//E=")</f>
        <v>#VALUE!</v>
      </c>
      <c r="II77" t="e">
        <f>AND('Planilla_General_07-12-2012_8_3'!L1159,"AAAAACHT//I=")</f>
        <v>#VALUE!</v>
      </c>
      <c r="IJ77" t="e">
        <f>AND('Planilla_General_07-12-2012_8_3'!M1159,"AAAAACHT//M=")</f>
        <v>#VALUE!</v>
      </c>
      <c r="IK77" t="e">
        <f>AND('Planilla_General_07-12-2012_8_3'!N1159,"AAAAACHT//Q=")</f>
        <v>#VALUE!</v>
      </c>
      <c r="IL77" t="e">
        <f>AND('Planilla_General_07-12-2012_8_3'!O1159,"AAAAACHT//U=")</f>
        <v>#VALUE!</v>
      </c>
      <c r="IM77" t="e">
        <f>AND('Planilla_General_07-12-2012_8_3'!P1159,"AAAAACHT//Y=")</f>
        <v>#VALUE!</v>
      </c>
      <c r="IN77">
        <f>IF('Planilla_General_07-12-2012_8_3'!1160:1160,"AAAAACHT//c=",0)</f>
        <v>0</v>
      </c>
      <c r="IO77" t="e">
        <f>AND('Planilla_General_07-12-2012_8_3'!A1160,"AAAAACHT//g=")</f>
        <v>#VALUE!</v>
      </c>
      <c r="IP77" t="e">
        <f>AND('Planilla_General_07-12-2012_8_3'!B1160,"AAAAACHT//k=")</f>
        <v>#VALUE!</v>
      </c>
      <c r="IQ77" t="e">
        <f>AND('Planilla_General_07-12-2012_8_3'!C1160,"AAAAACHT//o=")</f>
        <v>#VALUE!</v>
      </c>
      <c r="IR77" t="e">
        <f>AND('Planilla_General_07-12-2012_8_3'!D1160,"AAAAACHT//s=")</f>
        <v>#VALUE!</v>
      </c>
      <c r="IS77" t="e">
        <f>AND('Planilla_General_07-12-2012_8_3'!E1160,"AAAAACHT//w=")</f>
        <v>#VALUE!</v>
      </c>
      <c r="IT77" t="e">
        <f>AND('Planilla_General_07-12-2012_8_3'!F1160,"AAAAACHT//0=")</f>
        <v>#VALUE!</v>
      </c>
      <c r="IU77" t="e">
        <f>AND('Planilla_General_07-12-2012_8_3'!G1160,"AAAAACHT//4=")</f>
        <v>#VALUE!</v>
      </c>
      <c r="IV77" t="e">
        <f>AND('Planilla_General_07-12-2012_8_3'!H1160,"AAAAACHT//8=")</f>
        <v>#VALUE!</v>
      </c>
    </row>
    <row r="78" spans="1:256" x14ac:dyDescent="0.25">
      <c r="A78" t="e">
        <f>AND('Planilla_General_07-12-2012_8_3'!I1160,"AAAAAH6z7wA=")</f>
        <v>#VALUE!</v>
      </c>
      <c r="B78" t="e">
        <f>AND('Planilla_General_07-12-2012_8_3'!J1160,"AAAAAH6z7wE=")</f>
        <v>#VALUE!</v>
      </c>
      <c r="C78" t="e">
        <f>AND('Planilla_General_07-12-2012_8_3'!K1160,"AAAAAH6z7wI=")</f>
        <v>#VALUE!</v>
      </c>
      <c r="D78" t="e">
        <f>AND('Planilla_General_07-12-2012_8_3'!L1160,"AAAAAH6z7wM=")</f>
        <v>#VALUE!</v>
      </c>
      <c r="E78" t="e">
        <f>AND('Planilla_General_07-12-2012_8_3'!M1160,"AAAAAH6z7wQ=")</f>
        <v>#VALUE!</v>
      </c>
      <c r="F78" t="e">
        <f>AND('Planilla_General_07-12-2012_8_3'!N1160,"AAAAAH6z7wU=")</f>
        <v>#VALUE!</v>
      </c>
      <c r="G78" t="e">
        <f>AND('Planilla_General_07-12-2012_8_3'!O1160,"AAAAAH6z7wY=")</f>
        <v>#VALUE!</v>
      </c>
      <c r="H78" t="e">
        <f>AND('Planilla_General_07-12-2012_8_3'!P1160,"AAAAAH6z7wc=")</f>
        <v>#VALUE!</v>
      </c>
      <c r="I78" t="e">
        <f>IF('Planilla_General_07-12-2012_8_3'!1161:1161,"AAAAAH6z7wg=",0)</f>
        <v>#VALUE!</v>
      </c>
      <c r="J78" t="e">
        <f>AND('Planilla_General_07-12-2012_8_3'!A1161,"AAAAAH6z7wk=")</f>
        <v>#VALUE!</v>
      </c>
      <c r="K78" t="e">
        <f>AND('Planilla_General_07-12-2012_8_3'!B1161,"AAAAAH6z7wo=")</f>
        <v>#VALUE!</v>
      </c>
      <c r="L78" t="e">
        <f>AND('Planilla_General_07-12-2012_8_3'!C1161,"AAAAAH6z7ws=")</f>
        <v>#VALUE!</v>
      </c>
      <c r="M78" t="e">
        <f>AND('Planilla_General_07-12-2012_8_3'!D1161,"AAAAAH6z7ww=")</f>
        <v>#VALUE!</v>
      </c>
      <c r="N78" t="e">
        <f>AND('Planilla_General_07-12-2012_8_3'!E1161,"AAAAAH6z7w0=")</f>
        <v>#VALUE!</v>
      </c>
      <c r="O78" t="e">
        <f>AND('Planilla_General_07-12-2012_8_3'!F1161,"AAAAAH6z7w4=")</f>
        <v>#VALUE!</v>
      </c>
      <c r="P78" t="e">
        <f>AND('Planilla_General_07-12-2012_8_3'!G1161,"AAAAAH6z7w8=")</f>
        <v>#VALUE!</v>
      </c>
      <c r="Q78" t="e">
        <f>AND('Planilla_General_07-12-2012_8_3'!H1161,"AAAAAH6z7xA=")</f>
        <v>#VALUE!</v>
      </c>
      <c r="R78" t="e">
        <f>AND('Planilla_General_07-12-2012_8_3'!I1161,"AAAAAH6z7xE=")</f>
        <v>#VALUE!</v>
      </c>
      <c r="S78" t="e">
        <f>AND('Planilla_General_07-12-2012_8_3'!J1161,"AAAAAH6z7xI=")</f>
        <v>#VALUE!</v>
      </c>
      <c r="T78" t="e">
        <f>AND('Planilla_General_07-12-2012_8_3'!K1161,"AAAAAH6z7xM=")</f>
        <v>#VALUE!</v>
      </c>
      <c r="U78" t="e">
        <f>AND('Planilla_General_07-12-2012_8_3'!L1161,"AAAAAH6z7xQ=")</f>
        <v>#VALUE!</v>
      </c>
      <c r="V78" t="e">
        <f>AND('Planilla_General_07-12-2012_8_3'!M1161,"AAAAAH6z7xU=")</f>
        <v>#VALUE!</v>
      </c>
      <c r="W78" t="e">
        <f>AND('Planilla_General_07-12-2012_8_3'!N1161,"AAAAAH6z7xY=")</f>
        <v>#VALUE!</v>
      </c>
      <c r="X78" t="e">
        <f>AND('Planilla_General_07-12-2012_8_3'!O1161,"AAAAAH6z7xc=")</f>
        <v>#VALUE!</v>
      </c>
      <c r="Y78" t="e">
        <f>AND('Planilla_General_07-12-2012_8_3'!P1161,"AAAAAH6z7xg=")</f>
        <v>#VALUE!</v>
      </c>
      <c r="Z78">
        <f>IF('Planilla_General_07-12-2012_8_3'!1162:1162,"AAAAAH6z7xk=",0)</f>
        <v>0</v>
      </c>
      <c r="AA78" t="e">
        <f>AND('Planilla_General_07-12-2012_8_3'!A1162,"AAAAAH6z7xo=")</f>
        <v>#VALUE!</v>
      </c>
      <c r="AB78" t="e">
        <f>AND('Planilla_General_07-12-2012_8_3'!B1162,"AAAAAH6z7xs=")</f>
        <v>#VALUE!</v>
      </c>
      <c r="AC78" t="e">
        <f>AND('Planilla_General_07-12-2012_8_3'!C1162,"AAAAAH6z7xw=")</f>
        <v>#VALUE!</v>
      </c>
      <c r="AD78" t="e">
        <f>AND('Planilla_General_07-12-2012_8_3'!D1162,"AAAAAH6z7x0=")</f>
        <v>#VALUE!</v>
      </c>
      <c r="AE78" t="e">
        <f>AND('Planilla_General_07-12-2012_8_3'!E1162,"AAAAAH6z7x4=")</f>
        <v>#VALUE!</v>
      </c>
      <c r="AF78" t="e">
        <f>AND('Planilla_General_07-12-2012_8_3'!F1162,"AAAAAH6z7x8=")</f>
        <v>#VALUE!</v>
      </c>
      <c r="AG78" t="e">
        <f>AND('Planilla_General_07-12-2012_8_3'!G1162,"AAAAAH6z7yA=")</f>
        <v>#VALUE!</v>
      </c>
      <c r="AH78" t="e">
        <f>AND('Planilla_General_07-12-2012_8_3'!H1162,"AAAAAH6z7yE=")</f>
        <v>#VALUE!</v>
      </c>
      <c r="AI78" t="e">
        <f>AND('Planilla_General_07-12-2012_8_3'!I1162,"AAAAAH6z7yI=")</f>
        <v>#VALUE!</v>
      </c>
      <c r="AJ78" t="e">
        <f>AND('Planilla_General_07-12-2012_8_3'!J1162,"AAAAAH6z7yM=")</f>
        <v>#VALUE!</v>
      </c>
      <c r="AK78" t="e">
        <f>AND('Planilla_General_07-12-2012_8_3'!K1162,"AAAAAH6z7yQ=")</f>
        <v>#VALUE!</v>
      </c>
      <c r="AL78" t="e">
        <f>AND('Planilla_General_07-12-2012_8_3'!L1162,"AAAAAH6z7yU=")</f>
        <v>#VALUE!</v>
      </c>
      <c r="AM78" t="e">
        <f>AND('Planilla_General_07-12-2012_8_3'!M1162,"AAAAAH6z7yY=")</f>
        <v>#VALUE!</v>
      </c>
      <c r="AN78" t="e">
        <f>AND('Planilla_General_07-12-2012_8_3'!N1162,"AAAAAH6z7yc=")</f>
        <v>#VALUE!</v>
      </c>
      <c r="AO78" t="e">
        <f>AND('Planilla_General_07-12-2012_8_3'!O1162,"AAAAAH6z7yg=")</f>
        <v>#VALUE!</v>
      </c>
      <c r="AP78" t="e">
        <f>AND('Planilla_General_07-12-2012_8_3'!P1162,"AAAAAH6z7yk=")</f>
        <v>#VALUE!</v>
      </c>
      <c r="AQ78">
        <f>IF('Planilla_General_07-12-2012_8_3'!1163:1163,"AAAAAH6z7yo=",0)</f>
        <v>0</v>
      </c>
      <c r="AR78" t="e">
        <f>AND('Planilla_General_07-12-2012_8_3'!A1163,"AAAAAH6z7ys=")</f>
        <v>#VALUE!</v>
      </c>
      <c r="AS78" t="e">
        <f>AND('Planilla_General_07-12-2012_8_3'!B1163,"AAAAAH6z7yw=")</f>
        <v>#VALUE!</v>
      </c>
      <c r="AT78" t="e">
        <f>AND('Planilla_General_07-12-2012_8_3'!C1163,"AAAAAH6z7y0=")</f>
        <v>#VALUE!</v>
      </c>
      <c r="AU78" t="e">
        <f>AND('Planilla_General_07-12-2012_8_3'!D1163,"AAAAAH6z7y4=")</f>
        <v>#VALUE!</v>
      </c>
      <c r="AV78" t="e">
        <f>AND('Planilla_General_07-12-2012_8_3'!E1163,"AAAAAH6z7y8=")</f>
        <v>#VALUE!</v>
      </c>
      <c r="AW78" t="e">
        <f>AND('Planilla_General_07-12-2012_8_3'!F1163,"AAAAAH6z7zA=")</f>
        <v>#VALUE!</v>
      </c>
      <c r="AX78" t="e">
        <f>AND('Planilla_General_07-12-2012_8_3'!G1163,"AAAAAH6z7zE=")</f>
        <v>#VALUE!</v>
      </c>
      <c r="AY78" t="e">
        <f>AND('Planilla_General_07-12-2012_8_3'!H1163,"AAAAAH6z7zI=")</f>
        <v>#VALUE!</v>
      </c>
      <c r="AZ78" t="e">
        <f>AND('Planilla_General_07-12-2012_8_3'!I1163,"AAAAAH6z7zM=")</f>
        <v>#VALUE!</v>
      </c>
      <c r="BA78" t="e">
        <f>AND('Planilla_General_07-12-2012_8_3'!J1163,"AAAAAH6z7zQ=")</f>
        <v>#VALUE!</v>
      </c>
      <c r="BB78" t="e">
        <f>AND('Planilla_General_07-12-2012_8_3'!K1163,"AAAAAH6z7zU=")</f>
        <v>#VALUE!</v>
      </c>
      <c r="BC78" t="e">
        <f>AND('Planilla_General_07-12-2012_8_3'!L1163,"AAAAAH6z7zY=")</f>
        <v>#VALUE!</v>
      </c>
      <c r="BD78" t="e">
        <f>AND('Planilla_General_07-12-2012_8_3'!M1163,"AAAAAH6z7zc=")</f>
        <v>#VALUE!</v>
      </c>
      <c r="BE78" t="e">
        <f>AND('Planilla_General_07-12-2012_8_3'!N1163,"AAAAAH6z7zg=")</f>
        <v>#VALUE!</v>
      </c>
      <c r="BF78" t="e">
        <f>AND('Planilla_General_07-12-2012_8_3'!O1163,"AAAAAH6z7zk=")</f>
        <v>#VALUE!</v>
      </c>
      <c r="BG78" t="e">
        <f>AND('Planilla_General_07-12-2012_8_3'!P1163,"AAAAAH6z7zo=")</f>
        <v>#VALUE!</v>
      </c>
      <c r="BH78">
        <f>IF('Planilla_General_07-12-2012_8_3'!1164:1164,"AAAAAH6z7zs=",0)</f>
        <v>0</v>
      </c>
      <c r="BI78" t="e">
        <f>AND('Planilla_General_07-12-2012_8_3'!A1164,"AAAAAH6z7zw=")</f>
        <v>#VALUE!</v>
      </c>
      <c r="BJ78" t="e">
        <f>AND('Planilla_General_07-12-2012_8_3'!B1164,"AAAAAH6z7z0=")</f>
        <v>#VALUE!</v>
      </c>
      <c r="BK78" t="e">
        <f>AND('Planilla_General_07-12-2012_8_3'!C1164,"AAAAAH6z7z4=")</f>
        <v>#VALUE!</v>
      </c>
      <c r="BL78" t="e">
        <f>AND('Planilla_General_07-12-2012_8_3'!D1164,"AAAAAH6z7z8=")</f>
        <v>#VALUE!</v>
      </c>
      <c r="BM78" t="e">
        <f>AND('Planilla_General_07-12-2012_8_3'!E1164,"AAAAAH6z70A=")</f>
        <v>#VALUE!</v>
      </c>
      <c r="BN78" t="e">
        <f>AND('Planilla_General_07-12-2012_8_3'!F1164,"AAAAAH6z70E=")</f>
        <v>#VALUE!</v>
      </c>
      <c r="BO78" t="e">
        <f>AND('Planilla_General_07-12-2012_8_3'!G1164,"AAAAAH6z70I=")</f>
        <v>#VALUE!</v>
      </c>
      <c r="BP78" t="e">
        <f>AND('Planilla_General_07-12-2012_8_3'!H1164,"AAAAAH6z70M=")</f>
        <v>#VALUE!</v>
      </c>
      <c r="BQ78" t="e">
        <f>AND('Planilla_General_07-12-2012_8_3'!I1164,"AAAAAH6z70Q=")</f>
        <v>#VALUE!</v>
      </c>
      <c r="BR78" t="e">
        <f>AND('Planilla_General_07-12-2012_8_3'!J1164,"AAAAAH6z70U=")</f>
        <v>#VALUE!</v>
      </c>
      <c r="BS78" t="e">
        <f>AND('Planilla_General_07-12-2012_8_3'!K1164,"AAAAAH6z70Y=")</f>
        <v>#VALUE!</v>
      </c>
      <c r="BT78" t="e">
        <f>AND('Planilla_General_07-12-2012_8_3'!L1164,"AAAAAH6z70c=")</f>
        <v>#VALUE!</v>
      </c>
      <c r="BU78" t="e">
        <f>AND('Planilla_General_07-12-2012_8_3'!M1164,"AAAAAH6z70g=")</f>
        <v>#VALUE!</v>
      </c>
      <c r="BV78" t="e">
        <f>AND('Planilla_General_07-12-2012_8_3'!N1164,"AAAAAH6z70k=")</f>
        <v>#VALUE!</v>
      </c>
      <c r="BW78" t="e">
        <f>AND('Planilla_General_07-12-2012_8_3'!O1164,"AAAAAH6z70o=")</f>
        <v>#VALUE!</v>
      </c>
      <c r="BX78" t="e">
        <f>AND('Planilla_General_07-12-2012_8_3'!P1164,"AAAAAH6z70s=")</f>
        <v>#VALUE!</v>
      </c>
      <c r="BY78">
        <f>IF('Planilla_General_07-12-2012_8_3'!1165:1165,"AAAAAH6z70w=",0)</f>
        <v>0</v>
      </c>
      <c r="BZ78" t="e">
        <f>AND('Planilla_General_07-12-2012_8_3'!A1165,"AAAAAH6z700=")</f>
        <v>#VALUE!</v>
      </c>
      <c r="CA78" t="e">
        <f>AND('Planilla_General_07-12-2012_8_3'!B1165,"AAAAAH6z704=")</f>
        <v>#VALUE!</v>
      </c>
      <c r="CB78" t="e">
        <f>AND('Planilla_General_07-12-2012_8_3'!C1165,"AAAAAH6z708=")</f>
        <v>#VALUE!</v>
      </c>
      <c r="CC78" t="e">
        <f>AND('Planilla_General_07-12-2012_8_3'!D1165,"AAAAAH6z71A=")</f>
        <v>#VALUE!</v>
      </c>
      <c r="CD78" t="e">
        <f>AND('Planilla_General_07-12-2012_8_3'!E1165,"AAAAAH6z71E=")</f>
        <v>#VALUE!</v>
      </c>
      <c r="CE78" t="e">
        <f>AND('Planilla_General_07-12-2012_8_3'!F1165,"AAAAAH6z71I=")</f>
        <v>#VALUE!</v>
      </c>
      <c r="CF78" t="e">
        <f>AND('Planilla_General_07-12-2012_8_3'!G1165,"AAAAAH6z71M=")</f>
        <v>#VALUE!</v>
      </c>
      <c r="CG78" t="e">
        <f>AND('Planilla_General_07-12-2012_8_3'!H1165,"AAAAAH6z71Q=")</f>
        <v>#VALUE!</v>
      </c>
      <c r="CH78" t="e">
        <f>AND('Planilla_General_07-12-2012_8_3'!I1165,"AAAAAH6z71U=")</f>
        <v>#VALUE!</v>
      </c>
      <c r="CI78" t="e">
        <f>AND('Planilla_General_07-12-2012_8_3'!J1165,"AAAAAH6z71Y=")</f>
        <v>#VALUE!</v>
      </c>
      <c r="CJ78" t="e">
        <f>AND('Planilla_General_07-12-2012_8_3'!K1165,"AAAAAH6z71c=")</f>
        <v>#VALUE!</v>
      </c>
      <c r="CK78" t="e">
        <f>AND('Planilla_General_07-12-2012_8_3'!L1165,"AAAAAH6z71g=")</f>
        <v>#VALUE!</v>
      </c>
      <c r="CL78" t="e">
        <f>AND('Planilla_General_07-12-2012_8_3'!M1165,"AAAAAH6z71k=")</f>
        <v>#VALUE!</v>
      </c>
      <c r="CM78" t="e">
        <f>AND('Planilla_General_07-12-2012_8_3'!N1165,"AAAAAH6z71o=")</f>
        <v>#VALUE!</v>
      </c>
      <c r="CN78" t="e">
        <f>AND('Planilla_General_07-12-2012_8_3'!O1165,"AAAAAH6z71s=")</f>
        <v>#VALUE!</v>
      </c>
      <c r="CO78" t="e">
        <f>AND('Planilla_General_07-12-2012_8_3'!P1165,"AAAAAH6z71w=")</f>
        <v>#VALUE!</v>
      </c>
      <c r="CP78">
        <f>IF('Planilla_General_07-12-2012_8_3'!1166:1166,"AAAAAH6z710=",0)</f>
        <v>0</v>
      </c>
      <c r="CQ78" t="e">
        <f>AND('Planilla_General_07-12-2012_8_3'!A1166,"AAAAAH6z714=")</f>
        <v>#VALUE!</v>
      </c>
      <c r="CR78" t="e">
        <f>AND('Planilla_General_07-12-2012_8_3'!B1166,"AAAAAH6z718=")</f>
        <v>#VALUE!</v>
      </c>
      <c r="CS78" t="e">
        <f>AND('Planilla_General_07-12-2012_8_3'!C1166,"AAAAAH6z72A=")</f>
        <v>#VALUE!</v>
      </c>
      <c r="CT78" t="e">
        <f>AND('Planilla_General_07-12-2012_8_3'!D1166,"AAAAAH6z72E=")</f>
        <v>#VALUE!</v>
      </c>
      <c r="CU78" t="e">
        <f>AND('Planilla_General_07-12-2012_8_3'!E1166,"AAAAAH6z72I=")</f>
        <v>#VALUE!</v>
      </c>
      <c r="CV78" t="e">
        <f>AND('Planilla_General_07-12-2012_8_3'!F1166,"AAAAAH6z72M=")</f>
        <v>#VALUE!</v>
      </c>
      <c r="CW78" t="e">
        <f>AND('Planilla_General_07-12-2012_8_3'!G1166,"AAAAAH6z72Q=")</f>
        <v>#VALUE!</v>
      </c>
      <c r="CX78" t="e">
        <f>AND('Planilla_General_07-12-2012_8_3'!H1166,"AAAAAH6z72U=")</f>
        <v>#VALUE!</v>
      </c>
      <c r="CY78" t="e">
        <f>AND('Planilla_General_07-12-2012_8_3'!I1166,"AAAAAH6z72Y=")</f>
        <v>#VALUE!</v>
      </c>
      <c r="CZ78" t="e">
        <f>AND('Planilla_General_07-12-2012_8_3'!J1166,"AAAAAH6z72c=")</f>
        <v>#VALUE!</v>
      </c>
      <c r="DA78" t="e">
        <f>AND('Planilla_General_07-12-2012_8_3'!K1166,"AAAAAH6z72g=")</f>
        <v>#VALUE!</v>
      </c>
      <c r="DB78" t="e">
        <f>AND('Planilla_General_07-12-2012_8_3'!L1166,"AAAAAH6z72k=")</f>
        <v>#VALUE!</v>
      </c>
      <c r="DC78" t="e">
        <f>AND('Planilla_General_07-12-2012_8_3'!M1166,"AAAAAH6z72o=")</f>
        <v>#VALUE!</v>
      </c>
      <c r="DD78" t="e">
        <f>AND('Planilla_General_07-12-2012_8_3'!N1166,"AAAAAH6z72s=")</f>
        <v>#VALUE!</v>
      </c>
      <c r="DE78" t="e">
        <f>AND('Planilla_General_07-12-2012_8_3'!O1166,"AAAAAH6z72w=")</f>
        <v>#VALUE!</v>
      </c>
      <c r="DF78" t="e">
        <f>AND('Planilla_General_07-12-2012_8_3'!P1166,"AAAAAH6z720=")</f>
        <v>#VALUE!</v>
      </c>
      <c r="DG78">
        <f>IF('Planilla_General_07-12-2012_8_3'!1167:1167,"AAAAAH6z724=",0)</f>
        <v>0</v>
      </c>
      <c r="DH78" t="e">
        <f>AND('Planilla_General_07-12-2012_8_3'!A1167,"AAAAAH6z728=")</f>
        <v>#VALUE!</v>
      </c>
      <c r="DI78" t="e">
        <f>AND('Planilla_General_07-12-2012_8_3'!B1167,"AAAAAH6z73A=")</f>
        <v>#VALUE!</v>
      </c>
      <c r="DJ78" t="e">
        <f>AND('Planilla_General_07-12-2012_8_3'!C1167,"AAAAAH6z73E=")</f>
        <v>#VALUE!</v>
      </c>
      <c r="DK78" t="e">
        <f>AND('Planilla_General_07-12-2012_8_3'!D1167,"AAAAAH6z73I=")</f>
        <v>#VALUE!</v>
      </c>
      <c r="DL78" t="e">
        <f>AND('Planilla_General_07-12-2012_8_3'!E1167,"AAAAAH6z73M=")</f>
        <v>#VALUE!</v>
      </c>
      <c r="DM78" t="e">
        <f>AND('Planilla_General_07-12-2012_8_3'!F1167,"AAAAAH6z73Q=")</f>
        <v>#VALUE!</v>
      </c>
      <c r="DN78" t="e">
        <f>AND('Planilla_General_07-12-2012_8_3'!G1167,"AAAAAH6z73U=")</f>
        <v>#VALUE!</v>
      </c>
      <c r="DO78" t="e">
        <f>AND('Planilla_General_07-12-2012_8_3'!H1167,"AAAAAH6z73Y=")</f>
        <v>#VALUE!</v>
      </c>
      <c r="DP78" t="e">
        <f>AND('Planilla_General_07-12-2012_8_3'!I1167,"AAAAAH6z73c=")</f>
        <v>#VALUE!</v>
      </c>
      <c r="DQ78" t="e">
        <f>AND('Planilla_General_07-12-2012_8_3'!J1167,"AAAAAH6z73g=")</f>
        <v>#VALUE!</v>
      </c>
      <c r="DR78" t="e">
        <f>AND('Planilla_General_07-12-2012_8_3'!K1167,"AAAAAH6z73k=")</f>
        <v>#VALUE!</v>
      </c>
      <c r="DS78" t="e">
        <f>AND('Planilla_General_07-12-2012_8_3'!L1167,"AAAAAH6z73o=")</f>
        <v>#VALUE!</v>
      </c>
      <c r="DT78" t="e">
        <f>AND('Planilla_General_07-12-2012_8_3'!M1167,"AAAAAH6z73s=")</f>
        <v>#VALUE!</v>
      </c>
      <c r="DU78" t="e">
        <f>AND('Planilla_General_07-12-2012_8_3'!N1167,"AAAAAH6z73w=")</f>
        <v>#VALUE!</v>
      </c>
      <c r="DV78" t="e">
        <f>AND('Planilla_General_07-12-2012_8_3'!O1167,"AAAAAH6z730=")</f>
        <v>#VALUE!</v>
      </c>
      <c r="DW78" t="e">
        <f>AND('Planilla_General_07-12-2012_8_3'!P1167,"AAAAAH6z734=")</f>
        <v>#VALUE!</v>
      </c>
      <c r="DX78">
        <f>IF('Planilla_General_07-12-2012_8_3'!1168:1168,"AAAAAH6z738=",0)</f>
        <v>0</v>
      </c>
      <c r="DY78" t="e">
        <f>AND('Planilla_General_07-12-2012_8_3'!A1168,"AAAAAH6z74A=")</f>
        <v>#VALUE!</v>
      </c>
      <c r="DZ78" t="e">
        <f>AND('Planilla_General_07-12-2012_8_3'!B1168,"AAAAAH6z74E=")</f>
        <v>#VALUE!</v>
      </c>
      <c r="EA78" t="e">
        <f>AND('Planilla_General_07-12-2012_8_3'!C1168,"AAAAAH6z74I=")</f>
        <v>#VALUE!</v>
      </c>
      <c r="EB78" t="e">
        <f>AND('Planilla_General_07-12-2012_8_3'!D1168,"AAAAAH6z74M=")</f>
        <v>#VALUE!</v>
      </c>
      <c r="EC78" t="e">
        <f>AND('Planilla_General_07-12-2012_8_3'!E1168,"AAAAAH6z74Q=")</f>
        <v>#VALUE!</v>
      </c>
      <c r="ED78" t="e">
        <f>AND('Planilla_General_07-12-2012_8_3'!F1168,"AAAAAH6z74U=")</f>
        <v>#VALUE!</v>
      </c>
      <c r="EE78" t="e">
        <f>AND('Planilla_General_07-12-2012_8_3'!G1168,"AAAAAH6z74Y=")</f>
        <v>#VALUE!</v>
      </c>
      <c r="EF78" t="e">
        <f>AND('Planilla_General_07-12-2012_8_3'!H1168,"AAAAAH6z74c=")</f>
        <v>#VALUE!</v>
      </c>
      <c r="EG78" t="e">
        <f>AND('Planilla_General_07-12-2012_8_3'!I1168,"AAAAAH6z74g=")</f>
        <v>#VALUE!</v>
      </c>
      <c r="EH78" t="e">
        <f>AND('Planilla_General_07-12-2012_8_3'!J1168,"AAAAAH6z74k=")</f>
        <v>#VALUE!</v>
      </c>
      <c r="EI78" t="e">
        <f>AND('Planilla_General_07-12-2012_8_3'!K1168,"AAAAAH6z74o=")</f>
        <v>#VALUE!</v>
      </c>
      <c r="EJ78" t="e">
        <f>AND('Planilla_General_07-12-2012_8_3'!L1168,"AAAAAH6z74s=")</f>
        <v>#VALUE!</v>
      </c>
      <c r="EK78" t="e">
        <f>AND('Planilla_General_07-12-2012_8_3'!M1168,"AAAAAH6z74w=")</f>
        <v>#VALUE!</v>
      </c>
      <c r="EL78" t="e">
        <f>AND('Planilla_General_07-12-2012_8_3'!N1168,"AAAAAH6z740=")</f>
        <v>#VALUE!</v>
      </c>
      <c r="EM78" t="e">
        <f>AND('Planilla_General_07-12-2012_8_3'!O1168,"AAAAAH6z744=")</f>
        <v>#VALUE!</v>
      </c>
      <c r="EN78" t="e">
        <f>AND('Planilla_General_07-12-2012_8_3'!P1168,"AAAAAH6z748=")</f>
        <v>#VALUE!</v>
      </c>
      <c r="EO78">
        <f>IF('Planilla_General_07-12-2012_8_3'!1169:1169,"AAAAAH6z75A=",0)</f>
        <v>0</v>
      </c>
      <c r="EP78" t="e">
        <f>AND('Planilla_General_07-12-2012_8_3'!A1169,"AAAAAH6z75E=")</f>
        <v>#VALUE!</v>
      </c>
      <c r="EQ78" t="e">
        <f>AND('Planilla_General_07-12-2012_8_3'!B1169,"AAAAAH6z75I=")</f>
        <v>#VALUE!</v>
      </c>
      <c r="ER78" t="e">
        <f>AND('Planilla_General_07-12-2012_8_3'!C1169,"AAAAAH6z75M=")</f>
        <v>#VALUE!</v>
      </c>
      <c r="ES78" t="e">
        <f>AND('Planilla_General_07-12-2012_8_3'!D1169,"AAAAAH6z75Q=")</f>
        <v>#VALUE!</v>
      </c>
      <c r="ET78" t="e">
        <f>AND('Planilla_General_07-12-2012_8_3'!E1169,"AAAAAH6z75U=")</f>
        <v>#VALUE!</v>
      </c>
      <c r="EU78" t="e">
        <f>AND('Planilla_General_07-12-2012_8_3'!F1169,"AAAAAH6z75Y=")</f>
        <v>#VALUE!</v>
      </c>
      <c r="EV78" t="e">
        <f>AND('Planilla_General_07-12-2012_8_3'!G1169,"AAAAAH6z75c=")</f>
        <v>#VALUE!</v>
      </c>
      <c r="EW78" t="e">
        <f>AND('Planilla_General_07-12-2012_8_3'!H1169,"AAAAAH6z75g=")</f>
        <v>#VALUE!</v>
      </c>
      <c r="EX78" t="e">
        <f>AND('Planilla_General_07-12-2012_8_3'!I1169,"AAAAAH6z75k=")</f>
        <v>#VALUE!</v>
      </c>
      <c r="EY78" t="e">
        <f>AND('Planilla_General_07-12-2012_8_3'!J1169,"AAAAAH6z75o=")</f>
        <v>#VALUE!</v>
      </c>
      <c r="EZ78" t="e">
        <f>AND('Planilla_General_07-12-2012_8_3'!K1169,"AAAAAH6z75s=")</f>
        <v>#VALUE!</v>
      </c>
      <c r="FA78" t="e">
        <f>AND('Planilla_General_07-12-2012_8_3'!L1169,"AAAAAH6z75w=")</f>
        <v>#VALUE!</v>
      </c>
      <c r="FB78" t="e">
        <f>AND('Planilla_General_07-12-2012_8_3'!M1169,"AAAAAH6z750=")</f>
        <v>#VALUE!</v>
      </c>
      <c r="FC78" t="e">
        <f>AND('Planilla_General_07-12-2012_8_3'!N1169,"AAAAAH6z754=")</f>
        <v>#VALUE!</v>
      </c>
      <c r="FD78" t="e">
        <f>AND('Planilla_General_07-12-2012_8_3'!O1169,"AAAAAH6z758=")</f>
        <v>#VALUE!</v>
      </c>
      <c r="FE78" t="e">
        <f>AND('Planilla_General_07-12-2012_8_3'!P1169,"AAAAAH6z76A=")</f>
        <v>#VALUE!</v>
      </c>
      <c r="FF78">
        <f>IF('Planilla_General_07-12-2012_8_3'!1170:1170,"AAAAAH6z76E=",0)</f>
        <v>0</v>
      </c>
      <c r="FG78" t="e">
        <f>AND('Planilla_General_07-12-2012_8_3'!A1170,"AAAAAH6z76I=")</f>
        <v>#VALUE!</v>
      </c>
      <c r="FH78" t="e">
        <f>AND('Planilla_General_07-12-2012_8_3'!B1170,"AAAAAH6z76M=")</f>
        <v>#VALUE!</v>
      </c>
      <c r="FI78" t="e">
        <f>AND('Planilla_General_07-12-2012_8_3'!C1170,"AAAAAH6z76Q=")</f>
        <v>#VALUE!</v>
      </c>
      <c r="FJ78" t="e">
        <f>AND('Planilla_General_07-12-2012_8_3'!D1170,"AAAAAH6z76U=")</f>
        <v>#VALUE!</v>
      </c>
      <c r="FK78" t="e">
        <f>AND('Planilla_General_07-12-2012_8_3'!E1170,"AAAAAH6z76Y=")</f>
        <v>#VALUE!</v>
      </c>
      <c r="FL78" t="e">
        <f>AND('Planilla_General_07-12-2012_8_3'!F1170,"AAAAAH6z76c=")</f>
        <v>#VALUE!</v>
      </c>
      <c r="FM78" t="e">
        <f>AND('Planilla_General_07-12-2012_8_3'!G1170,"AAAAAH6z76g=")</f>
        <v>#VALUE!</v>
      </c>
      <c r="FN78" t="e">
        <f>AND('Planilla_General_07-12-2012_8_3'!H1170,"AAAAAH6z76k=")</f>
        <v>#VALUE!</v>
      </c>
      <c r="FO78" t="e">
        <f>AND('Planilla_General_07-12-2012_8_3'!I1170,"AAAAAH6z76o=")</f>
        <v>#VALUE!</v>
      </c>
      <c r="FP78" t="e">
        <f>AND('Planilla_General_07-12-2012_8_3'!J1170,"AAAAAH6z76s=")</f>
        <v>#VALUE!</v>
      </c>
      <c r="FQ78" t="e">
        <f>AND('Planilla_General_07-12-2012_8_3'!K1170,"AAAAAH6z76w=")</f>
        <v>#VALUE!</v>
      </c>
      <c r="FR78" t="e">
        <f>AND('Planilla_General_07-12-2012_8_3'!L1170,"AAAAAH6z760=")</f>
        <v>#VALUE!</v>
      </c>
      <c r="FS78" t="e">
        <f>AND('Planilla_General_07-12-2012_8_3'!M1170,"AAAAAH6z764=")</f>
        <v>#VALUE!</v>
      </c>
      <c r="FT78" t="e">
        <f>AND('Planilla_General_07-12-2012_8_3'!N1170,"AAAAAH6z768=")</f>
        <v>#VALUE!</v>
      </c>
      <c r="FU78" t="e">
        <f>AND('Planilla_General_07-12-2012_8_3'!O1170,"AAAAAH6z77A=")</f>
        <v>#VALUE!</v>
      </c>
      <c r="FV78" t="e">
        <f>AND('Planilla_General_07-12-2012_8_3'!P1170,"AAAAAH6z77E=")</f>
        <v>#VALUE!</v>
      </c>
      <c r="FW78">
        <f>IF('Planilla_General_07-12-2012_8_3'!1171:1171,"AAAAAH6z77I=",0)</f>
        <v>0</v>
      </c>
      <c r="FX78" t="e">
        <f>AND('Planilla_General_07-12-2012_8_3'!A1171,"AAAAAH6z77M=")</f>
        <v>#VALUE!</v>
      </c>
      <c r="FY78" t="e">
        <f>AND('Planilla_General_07-12-2012_8_3'!B1171,"AAAAAH6z77Q=")</f>
        <v>#VALUE!</v>
      </c>
      <c r="FZ78" t="e">
        <f>AND('Planilla_General_07-12-2012_8_3'!C1171,"AAAAAH6z77U=")</f>
        <v>#VALUE!</v>
      </c>
      <c r="GA78" t="e">
        <f>AND('Planilla_General_07-12-2012_8_3'!D1171,"AAAAAH6z77Y=")</f>
        <v>#VALUE!</v>
      </c>
      <c r="GB78" t="e">
        <f>AND('Planilla_General_07-12-2012_8_3'!E1171,"AAAAAH6z77c=")</f>
        <v>#VALUE!</v>
      </c>
      <c r="GC78" t="e">
        <f>AND('Planilla_General_07-12-2012_8_3'!F1171,"AAAAAH6z77g=")</f>
        <v>#VALUE!</v>
      </c>
      <c r="GD78" t="e">
        <f>AND('Planilla_General_07-12-2012_8_3'!G1171,"AAAAAH6z77k=")</f>
        <v>#VALUE!</v>
      </c>
      <c r="GE78" t="e">
        <f>AND('Planilla_General_07-12-2012_8_3'!H1171,"AAAAAH6z77o=")</f>
        <v>#VALUE!</v>
      </c>
      <c r="GF78" t="e">
        <f>AND('Planilla_General_07-12-2012_8_3'!I1171,"AAAAAH6z77s=")</f>
        <v>#VALUE!</v>
      </c>
      <c r="GG78" t="e">
        <f>AND('Planilla_General_07-12-2012_8_3'!J1171,"AAAAAH6z77w=")</f>
        <v>#VALUE!</v>
      </c>
      <c r="GH78" t="e">
        <f>AND('Planilla_General_07-12-2012_8_3'!K1171,"AAAAAH6z770=")</f>
        <v>#VALUE!</v>
      </c>
      <c r="GI78" t="e">
        <f>AND('Planilla_General_07-12-2012_8_3'!L1171,"AAAAAH6z774=")</f>
        <v>#VALUE!</v>
      </c>
      <c r="GJ78" t="e">
        <f>AND('Planilla_General_07-12-2012_8_3'!M1171,"AAAAAH6z778=")</f>
        <v>#VALUE!</v>
      </c>
      <c r="GK78" t="e">
        <f>AND('Planilla_General_07-12-2012_8_3'!N1171,"AAAAAH6z78A=")</f>
        <v>#VALUE!</v>
      </c>
      <c r="GL78" t="e">
        <f>AND('Planilla_General_07-12-2012_8_3'!O1171,"AAAAAH6z78E=")</f>
        <v>#VALUE!</v>
      </c>
      <c r="GM78" t="e">
        <f>AND('Planilla_General_07-12-2012_8_3'!P1171,"AAAAAH6z78I=")</f>
        <v>#VALUE!</v>
      </c>
      <c r="GN78">
        <f>IF('Planilla_General_07-12-2012_8_3'!1172:1172,"AAAAAH6z78M=",0)</f>
        <v>0</v>
      </c>
      <c r="GO78" t="e">
        <f>AND('Planilla_General_07-12-2012_8_3'!A1172,"AAAAAH6z78Q=")</f>
        <v>#VALUE!</v>
      </c>
      <c r="GP78" t="e">
        <f>AND('Planilla_General_07-12-2012_8_3'!B1172,"AAAAAH6z78U=")</f>
        <v>#VALUE!</v>
      </c>
      <c r="GQ78" t="e">
        <f>AND('Planilla_General_07-12-2012_8_3'!C1172,"AAAAAH6z78Y=")</f>
        <v>#VALUE!</v>
      </c>
      <c r="GR78" t="e">
        <f>AND('Planilla_General_07-12-2012_8_3'!D1172,"AAAAAH6z78c=")</f>
        <v>#VALUE!</v>
      </c>
      <c r="GS78" t="e">
        <f>AND('Planilla_General_07-12-2012_8_3'!E1172,"AAAAAH6z78g=")</f>
        <v>#VALUE!</v>
      </c>
      <c r="GT78" t="e">
        <f>AND('Planilla_General_07-12-2012_8_3'!F1172,"AAAAAH6z78k=")</f>
        <v>#VALUE!</v>
      </c>
      <c r="GU78" t="e">
        <f>AND('Planilla_General_07-12-2012_8_3'!G1172,"AAAAAH6z78o=")</f>
        <v>#VALUE!</v>
      </c>
      <c r="GV78" t="e">
        <f>AND('Planilla_General_07-12-2012_8_3'!H1172,"AAAAAH6z78s=")</f>
        <v>#VALUE!</v>
      </c>
      <c r="GW78" t="e">
        <f>AND('Planilla_General_07-12-2012_8_3'!I1172,"AAAAAH6z78w=")</f>
        <v>#VALUE!</v>
      </c>
      <c r="GX78" t="e">
        <f>AND('Planilla_General_07-12-2012_8_3'!J1172,"AAAAAH6z780=")</f>
        <v>#VALUE!</v>
      </c>
      <c r="GY78" t="e">
        <f>AND('Planilla_General_07-12-2012_8_3'!K1172,"AAAAAH6z784=")</f>
        <v>#VALUE!</v>
      </c>
      <c r="GZ78" t="e">
        <f>AND('Planilla_General_07-12-2012_8_3'!L1172,"AAAAAH6z788=")</f>
        <v>#VALUE!</v>
      </c>
      <c r="HA78" t="e">
        <f>AND('Planilla_General_07-12-2012_8_3'!M1172,"AAAAAH6z79A=")</f>
        <v>#VALUE!</v>
      </c>
      <c r="HB78" t="e">
        <f>AND('Planilla_General_07-12-2012_8_3'!N1172,"AAAAAH6z79E=")</f>
        <v>#VALUE!</v>
      </c>
      <c r="HC78" t="e">
        <f>AND('Planilla_General_07-12-2012_8_3'!O1172,"AAAAAH6z79I=")</f>
        <v>#VALUE!</v>
      </c>
      <c r="HD78" t="e">
        <f>AND('Planilla_General_07-12-2012_8_3'!P1172,"AAAAAH6z79M=")</f>
        <v>#VALUE!</v>
      </c>
      <c r="HE78">
        <f>IF('Planilla_General_07-12-2012_8_3'!1173:1173,"AAAAAH6z79Q=",0)</f>
        <v>0</v>
      </c>
      <c r="HF78" t="e">
        <f>AND('Planilla_General_07-12-2012_8_3'!A1173,"AAAAAH6z79U=")</f>
        <v>#VALUE!</v>
      </c>
      <c r="HG78" t="e">
        <f>AND('Planilla_General_07-12-2012_8_3'!B1173,"AAAAAH6z79Y=")</f>
        <v>#VALUE!</v>
      </c>
      <c r="HH78" t="e">
        <f>AND('Planilla_General_07-12-2012_8_3'!C1173,"AAAAAH6z79c=")</f>
        <v>#VALUE!</v>
      </c>
      <c r="HI78" t="e">
        <f>AND('Planilla_General_07-12-2012_8_3'!D1173,"AAAAAH6z79g=")</f>
        <v>#VALUE!</v>
      </c>
      <c r="HJ78" t="e">
        <f>AND('Planilla_General_07-12-2012_8_3'!E1173,"AAAAAH6z79k=")</f>
        <v>#VALUE!</v>
      </c>
      <c r="HK78" t="e">
        <f>AND('Planilla_General_07-12-2012_8_3'!F1173,"AAAAAH6z79o=")</f>
        <v>#VALUE!</v>
      </c>
      <c r="HL78" t="e">
        <f>AND('Planilla_General_07-12-2012_8_3'!G1173,"AAAAAH6z79s=")</f>
        <v>#VALUE!</v>
      </c>
      <c r="HM78" t="e">
        <f>AND('Planilla_General_07-12-2012_8_3'!H1173,"AAAAAH6z79w=")</f>
        <v>#VALUE!</v>
      </c>
      <c r="HN78" t="e">
        <f>AND('Planilla_General_07-12-2012_8_3'!I1173,"AAAAAH6z790=")</f>
        <v>#VALUE!</v>
      </c>
      <c r="HO78" t="e">
        <f>AND('Planilla_General_07-12-2012_8_3'!J1173,"AAAAAH6z794=")</f>
        <v>#VALUE!</v>
      </c>
      <c r="HP78" t="e">
        <f>AND('Planilla_General_07-12-2012_8_3'!K1173,"AAAAAH6z798=")</f>
        <v>#VALUE!</v>
      </c>
      <c r="HQ78" t="e">
        <f>AND('Planilla_General_07-12-2012_8_3'!L1173,"AAAAAH6z7+A=")</f>
        <v>#VALUE!</v>
      </c>
      <c r="HR78" t="e">
        <f>AND('Planilla_General_07-12-2012_8_3'!M1173,"AAAAAH6z7+E=")</f>
        <v>#VALUE!</v>
      </c>
      <c r="HS78" t="e">
        <f>AND('Planilla_General_07-12-2012_8_3'!N1173,"AAAAAH6z7+I=")</f>
        <v>#VALUE!</v>
      </c>
      <c r="HT78" t="e">
        <f>AND('Planilla_General_07-12-2012_8_3'!O1173,"AAAAAH6z7+M=")</f>
        <v>#VALUE!</v>
      </c>
      <c r="HU78" t="e">
        <f>AND('Planilla_General_07-12-2012_8_3'!P1173,"AAAAAH6z7+Q=")</f>
        <v>#VALUE!</v>
      </c>
      <c r="HV78">
        <f>IF('Planilla_General_07-12-2012_8_3'!1174:1174,"AAAAAH6z7+U=",0)</f>
        <v>0</v>
      </c>
      <c r="HW78" t="e">
        <f>AND('Planilla_General_07-12-2012_8_3'!A1174,"AAAAAH6z7+Y=")</f>
        <v>#VALUE!</v>
      </c>
      <c r="HX78" t="e">
        <f>AND('Planilla_General_07-12-2012_8_3'!B1174,"AAAAAH6z7+c=")</f>
        <v>#VALUE!</v>
      </c>
      <c r="HY78" t="e">
        <f>AND('Planilla_General_07-12-2012_8_3'!C1174,"AAAAAH6z7+g=")</f>
        <v>#VALUE!</v>
      </c>
      <c r="HZ78" t="e">
        <f>AND('Planilla_General_07-12-2012_8_3'!D1174,"AAAAAH6z7+k=")</f>
        <v>#VALUE!</v>
      </c>
      <c r="IA78" t="e">
        <f>AND('Planilla_General_07-12-2012_8_3'!E1174,"AAAAAH6z7+o=")</f>
        <v>#VALUE!</v>
      </c>
      <c r="IB78" t="e">
        <f>AND('Planilla_General_07-12-2012_8_3'!F1174,"AAAAAH6z7+s=")</f>
        <v>#VALUE!</v>
      </c>
      <c r="IC78" t="e">
        <f>AND('Planilla_General_07-12-2012_8_3'!G1174,"AAAAAH6z7+w=")</f>
        <v>#VALUE!</v>
      </c>
      <c r="ID78" t="e">
        <f>AND('Planilla_General_07-12-2012_8_3'!H1174,"AAAAAH6z7+0=")</f>
        <v>#VALUE!</v>
      </c>
      <c r="IE78" t="e">
        <f>AND('Planilla_General_07-12-2012_8_3'!I1174,"AAAAAH6z7+4=")</f>
        <v>#VALUE!</v>
      </c>
      <c r="IF78" t="e">
        <f>AND('Planilla_General_07-12-2012_8_3'!J1174,"AAAAAH6z7+8=")</f>
        <v>#VALUE!</v>
      </c>
      <c r="IG78" t="e">
        <f>AND('Planilla_General_07-12-2012_8_3'!K1174,"AAAAAH6z7/A=")</f>
        <v>#VALUE!</v>
      </c>
      <c r="IH78" t="e">
        <f>AND('Planilla_General_07-12-2012_8_3'!L1174,"AAAAAH6z7/E=")</f>
        <v>#VALUE!</v>
      </c>
      <c r="II78" t="e">
        <f>AND('Planilla_General_07-12-2012_8_3'!M1174,"AAAAAH6z7/I=")</f>
        <v>#VALUE!</v>
      </c>
      <c r="IJ78" t="e">
        <f>AND('Planilla_General_07-12-2012_8_3'!N1174,"AAAAAH6z7/M=")</f>
        <v>#VALUE!</v>
      </c>
      <c r="IK78" t="e">
        <f>AND('Planilla_General_07-12-2012_8_3'!O1174,"AAAAAH6z7/Q=")</f>
        <v>#VALUE!</v>
      </c>
      <c r="IL78" t="e">
        <f>AND('Planilla_General_07-12-2012_8_3'!P1174,"AAAAAH6z7/U=")</f>
        <v>#VALUE!</v>
      </c>
      <c r="IM78">
        <f>IF('Planilla_General_07-12-2012_8_3'!1175:1175,"AAAAAH6z7/Y=",0)</f>
        <v>0</v>
      </c>
      <c r="IN78" t="e">
        <f>AND('Planilla_General_07-12-2012_8_3'!A1175,"AAAAAH6z7/c=")</f>
        <v>#VALUE!</v>
      </c>
      <c r="IO78" t="e">
        <f>AND('Planilla_General_07-12-2012_8_3'!B1175,"AAAAAH6z7/g=")</f>
        <v>#VALUE!</v>
      </c>
      <c r="IP78" t="e">
        <f>AND('Planilla_General_07-12-2012_8_3'!C1175,"AAAAAH6z7/k=")</f>
        <v>#VALUE!</v>
      </c>
      <c r="IQ78" t="e">
        <f>AND('Planilla_General_07-12-2012_8_3'!D1175,"AAAAAH6z7/o=")</f>
        <v>#VALUE!</v>
      </c>
      <c r="IR78" t="e">
        <f>AND('Planilla_General_07-12-2012_8_3'!E1175,"AAAAAH6z7/s=")</f>
        <v>#VALUE!</v>
      </c>
      <c r="IS78" t="e">
        <f>AND('Planilla_General_07-12-2012_8_3'!F1175,"AAAAAH6z7/w=")</f>
        <v>#VALUE!</v>
      </c>
      <c r="IT78" t="e">
        <f>AND('Planilla_General_07-12-2012_8_3'!G1175,"AAAAAH6z7/0=")</f>
        <v>#VALUE!</v>
      </c>
      <c r="IU78" t="e">
        <f>AND('Planilla_General_07-12-2012_8_3'!H1175,"AAAAAH6z7/4=")</f>
        <v>#VALUE!</v>
      </c>
      <c r="IV78" t="e">
        <f>AND('Planilla_General_07-12-2012_8_3'!I1175,"AAAAAH6z7/8=")</f>
        <v>#VALUE!</v>
      </c>
    </row>
    <row r="79" spans="1:256" x14ac:dyDescent="0.25">
      <c r="A79" t="e">
        <f>AND('Planilla_General_07-12-2012_8_3'!J1175,"AAAAAD1fdwA=")</f>
        <v>#VALUE!</v>
      </c>
      <c r="B79" t="e">
        <f>AND('Planilla_General_07-12-2012_8_3'!K1175,"AAAAAD1fdwE=")</f>
        <v>#VALUE!</v>
      </c>
      <c r="C79" t="e">
        <f>AND('Planilla_General_07-12-2012_8_3'!L1175,"AAAAAD1fdwI=")</f>
        <v>#VALUE!</v>
      </c>
      <c r="D79" t="e">
        <f>AND('Planilla_General_07-12-2012_8_3'!M1175,"AAAAAD1fdwM=")</f>
        <v>#VALUE!</v>
      </c>
      <c r="E79" t="e">
        <f>AND('Planilla_General_07-12-2012_8_3'!N1175,"AAAAAD1fdwQ=")</f>
        <v>#VALUE!</v>
      </c>
      <c r="F79" t="e">
        <f>AND('Planilla_General_07-12-2012_8_3'!O1175,"AAAAAD1fdwU=")</f>
        <v>#VALUE!</v>
      </c>
      <c r="G79" t="e">
        <f>AND('Planilla_General_07-12-2012_8_3'!P1175,"AAAAAD1fdwY=")</f>
        <v>#VALUE!</v>
      </c>
      <c r="H79" t="e">
        <f>IF('Planilla_General_07-12-2012_8_3'!1176:1176,"AAAAAD1fdwc=",0)</f>
        <v>#VALUE!</v>
      </c>
      <c r="I79" t="e">
        <f>AND('Planilla_General_07-12-2012_8_3'!A1176,"AAAAAD1fdwg=")</f>
        <v>#VALUE!</v>
      </c>
      <c r="J79" t="e">
        <f>AND('Planilla_General_07-12-2012_8_3'!B1176,"AAAAAD1fdwk=")</f>
        <v>#VALUE!</v>
      </c>
      <c r="K79" t="e">
        <f>AND('Planilla_General_07-12-2012_8_3'!C1176,"AAAAAD1fdwo=")</f>
        <v>#VALUE!</v>
      </c>
      <c r="L79" t="e">
        <f>AND('Planilla_General_07-12-2012_8_3'!D1176,"AAAAAD1fdws=")</f>
        <v>#VALUE!</v>
      </c>
      <c r="M79" t="e">
        <f>AND('Planilla_General_07-12-2012_8_3'!E1176,"AAAAAD1fdww=")</f>
        <v>#VALUE!</v>
      </c>
      <c r="N79" t="e">
        <f>AND('Planilla_General_07-12-2012_8_3'!F1176,"AAAAAD1fdw0=")</f>
        <v>#VALUE!</v>
      </c>
      <c r="O79" t="e">
        <f>AND('Planilla_General_07-12-2012_8_3'!G1176,"AAAAAD1fdw4=")</f>
        <v>#VALUE!</v>
      </c>
      <c r="P79" t="e">
        <f>AND('Planilla_General_07-12-2012_8_3'!H1176,"AAAAAD1fdw8=")</f>
        <v>#VALUE!</v>
      </c>
      <c r="Q79" t="e">
        <f>AND('Planilla_General_07-12-2012_8_3'!I1176,"AAAAAD1fdxA=")</f>
        <v>#VALUE!</v>
      </c>
      <c r="R79" t="e">
        <f>AND('Planilla_General_07-12-2012_8_3'!J1176,"AAAAAD1fdxE=")</f>
        <v>#VALUE!</v>
      </c>
      <c r="S79" t="e">
        <f>AND('Planilla_General_07-12-2012_8_3'!K1176,"AAAAAD1fdxI=")</f>
        <v>#VALUE!</v>
      </c>
      <c r="T79" t="e">
        <f>AND('Planilla_General_07-12-2012_8_3'!L1176,"AAAAAD1fdxM=")</f>
        <v>#VALUE!</v>
      </c>
      <c r="U79" t="e">
        <f>AND('Planilla_General_07-12-2012_8_3'!M1176,"AAAAAD1fdxQ=")</f>
        <v>#VALUE!</v>
      </c>
      <c r="V79" t="e">
        <f>AND('Planilla_General_07-12-2012_8_3'!N1176,"AAAAAD1fdxU=")</f>
        <v>#VALUE!</v>
      </c>
      <c r="W79" t="e">
        <f>AND('Planilla_General_07-12-2012_8_3'!O1176,"AAAAAD1fdxY=")</f>
        <v>#VALUE!</v>
      </c>
      <c r="X79" t="e">
        <f>AND('Planilla_General_07-12-2012_8_3'!P1176,"AAAAAD1fdxc=")</f>
        <v>#VALUE!</v>
      </c>
      <c r="Y79">
        <f>IF('Planilla_General_07-12-2012_8_3'!1177:1177,"AAAAAD1fdxg=",0)</f>
        <v>0</v>
      </c>
      <c r="Z79" t="e">
        <f>AND('Planilla_General_07-12-2012_8_3'!A1177,"AAAAAD1fdxk=")</f>
        <v>#VALUE!</v>
      </c>
      <c r="AA79" t="e">
        <f>AND('Planilla_General_07-12-2012_8_3'!B1177,"AAAAAD1fdxo=")</f>
        <v>#VALUE!</v>
      </c>
      <c r="AB79" t="e">
        <f>AND('Planilla_General_07-12-2012_8_3'!C1177,"AAAAAD1fdxs=")</f>
        <v>#VALUE!</v>
      </c>
      <c r="AC79" t="e">
        <f>AND('Planilla_General_07-12-2012_8_3'!D1177,"AAAAAD1fdxw=")</f>
        <v>#VALUE!</v>
      </c>
      <c r="AD79" t="e">
        <f>AND('Planilla_General_07-12-2012_8_3'!E1177,"AAAAAD1fdx0=")</f>
        <v>#VALUE!</v>
      </c>
      <c r="AE79" t="e">
        <f>AND('Planilla_General_07-12-2012_8_3'!F1177,"AAAAAD1fdx4=")</f>
        <v>#VALUE!</v>
      </c>
      <c r="AF79" t="e">
        <f>AND('Planilla_General_07-12-2012_8_3'!G1177,"AAAAAD1fdx8=")</f>
        <v>#VALUE!</v>
      </c>
      <c r="AG79" t="e">
        <f>AND('Planilla_General_07-12-2012_8_3'!H1177,"AAAAAD1fdyA=")</f>
        <v>#VALUE!</v>
      </c>
      <c r="AH79" t="e">
        <f>AND('Planilla_General_07-12-2012_8_3'!I1177,"AAAAAD1fdyE=")</f>
        <v>#VALUE!</v>
      </c>
      <c r="AI79" t="e">
        <f>AND('Planilla_General_07-12-2012_8_3'!J1177,"AAAAAD1fdyI=")</f>
        <v>#VALUE!</v>
      </c>
      <c r="AJ79" t="e">
        <f>AND('Planilla_General_07-12-2012_8_3'!K1177,"AAAAAD1fdyM=")</f>
        <v>#VALUE!</v>
      </c>
      <c r="AK79" t="e">
        <f>AND('Planilla_General_07-12-2012_8_3'!L1177,"AAAAAD1fdyQ=")</f>
        <v>#VALUE!</v>
      </c>
      <c r="AL79" t="e">
        <f>AND('Planilla_General_07-12-2012_8_3'!M1177,"AAAAAD1fdyU=")</f>
        <v>#VALUE!</v>
      </c>
      <c r="AM79" t="e">
        <f>AND('Planilla_General_07-12-2012_8_3'!N1177,"AAAAAD1fdyY=")</f>
        <v>#VALUE!</v>
      </c>
      <c r="AN79" t="e">
        <f>AND('Planilla_General_07-12-2012_8_3'!O1177,"AAAAAD1fdyc=")</f>
        <v>#VALUE!</v>
      </c>
      <c r="AO79" t="e">
        <f>AND('Planilla_General_07-12-2012_8_3'!P1177,"AAAAAD1fdyg=")</f>
        <v>#VALUE!</v>
      </c>
      <c r="AP79">
        <f>IF('Planilla_General_07-12-2012_8_3'!1178:1178,"AAAAAD1fdyk=",0)</f>
        <v>0</v>
      </c>
      <c r="AQ79" t="e">
        <f>AND('Planilla_General_07-12-2012_8_3'!A1178,"AAAAAD1fdyo=")</f>
        <v>#VALUE!</v>
      </c>
      <c r="AR79" t="e">
        <f>AND('Planilla_General_07-12-2012_8_3'!B1178,"AAAAAD1fdys=")</f>
        <v>#VALUE!</v>
      </c>
      <c r="AS79" t="e">
        <f>AND('Planilla_General_07-12-2012_8_3'!C1178,"AAAAAD1fdyw=")</f>
        <v>#VALUE!</v>
      </c>
      <c r="AT79" t="e">
        <f>AND('Planilla_General_07-12-2012_8_3'!D1178,"AAAAAD1fdy0=")</f>
        <v>#VALUE!</v>
      </c>
      <c r="AU79" t="e">
        <f>AND('Planilla_General_07-12-2012_8_3'!E1178,"AAAAAD1fdy4=")</f>
        <v>#VALUE!</v>
      </c>
      <c r="AV79" t="e">
        <f>AND('Planilla_General_07-12-2012_8_3'!F1178,"AAAAAD1fdy8=")</f>
        <v>#VALUE!</v>
      </c>
      <c r="AW79" t="e">
        <f>AND('Planilla_General_07-12-2012_8_3'!G1178,"AAAAAD1fdzA=")</f>
        <v>#VALUE!</v>
      </c>
      <c r="AX79" t="e">
        <f>AND('Planilla_General_07-12-2012_8_3'!H1178,"AAAAAD1fdzE=")</f>
        <v>#VALUE!</v>
      </c>
      <c r="AY79" t="e">
        <f>AND('Planilla_General_07-12-2012_8_3'!I1178,"AAAAAD1fdzI=")</f>
        <v>#VALUE!</v>
      </c>
      <c r="AZ79" t="e">
        <f>AND('Planilla_General_07-12-2012_8_3'!J1178,"AAAAAD1fdzM=")</f>
        <v>#VALUE!</v>
      </c>
      <c r="BA79" t="e">
        <f>AND('Planilla_General_07-12-2012_8_3'!K1178,"AAAAAD1fdzQ=")</f>
        <v>#VALUE!</v>
      </c>
      <c r="BB79" t="e">
        <f>AND('Planilla_General_07-12-2012_8_3'!L1178,"AAAAAD1fdzU=")</f>
        <v>#VALUE!</v>
      </c>
      <c r="BC79" t="e">
        <f>AND('Planilla_General_07-12-2012_8_3'!M1178,"AAAAAD1fdzY=")</f>
        <v>#VALUE!</v>
      </c>
      <c r="BD79" t="e">
        <f>AND('Planilla_General_07-12-2012_8_3'!N1178,"AAAAAD1fdzc=")</f>
        <v>#VALUE!</v>
      </c>
      <c r="BE79" t="e">
        <f>AND('Planilla_General_07-12-2012_8_3'!O1178,"AAAAAD1fdzg=")</f>
        <v>#VALUE!</v>
      </c>
      <c r="BF79" t="e">
        <f>AND('Planilla_General_07-12-2012_8_3'!P1178,"AAAAAD1fdzk=")</f>
        <v>#VALUE!</v>
      </c>
      <c r="BG79">
        <f>IF('Planilla_General_07-12-2012_8_3'!1179:1179,"AAAAAD1fdzo=",0)</f>
        <v>0</v>
      </c>
      <c r="BH79" t="e">
        <f>AND('Planilla_General_07-12-2012_8_3'!A1179,"AAAAAD1fdzs=")</f>
        <v>#VALUE!</v>
      </c>
      <c r="BI79" t="e">
        <f>AND('Planilla_General_07-12-2012_8_3'!B1179,"AAAAAD1fdzw=")</f>
        <v>#VALUE!</v>
      </c>
      <c r="BJ79" t="e">
        <f>AND('Planilla_General_07-12-2012_8_3'!C1179,"AAAAAD1fdz0=")</f>
        <v>#VALUE!</v>
      </c>
      <c r="BK79" t="e">
        <f>AND('Planilla_General_07-12-2012_8_3'!D1179,"AAAAAD1fdz4=")</f>
        <v>#VALUE!</v>
      </c>
      <c r="BL79" t="e">
        <f>AND('Planilla_General_07-12-2012_8_3'!E1179,"AAAAAD1fdz8=")</f>
        <v>#VALUE!</v>
      </c>
      <c r="BM79" t="e">
        <f>AND('Planilla_General_07-12-2012_8_3'!F1179,"AAAAAD1fd0A=")</f>
        <v>#VALUE!</v>
      </c>
      <c r="BN79" t="e">
        <f>AND('Planilla_General_07-12-2012_8_3'!G1179,"AAAAAD1fd0E=")</f>
        <v>#VALUE!</v>
      </c>
      <c r="BO79" t="e">
        <f>AND('Planilla_General_07-12-2012_8_3'!H1179,"AAAAAD1fd0I=")</f>
        <v>#VALUE!</v>
      </c>
      <c r="BP79" t="e">
        <f>AND('Planilla_General_07-12-2012_8_3'!I1179,"AAAAAD1fd0M=")</f>
        <v>#VALUE!</v>
      </c>
      <c r="BQ79" t="e">
        <f>AND('Planilla_General_07-12-2012_8_3'!J1179,"AAAAAD1fd0Q=")</f>
        <v>#VALUE!</v>
      </c>
      <c r="BR79" t="e">
        <f>AND('Planilla_General_07-12-2012_8_3'!K1179,"AAAAAD1fd0U=")</f>
        <v>#VALUE!</v>
      </c>
      <c r="BS79" t="e">
        <f>AND('Planilla_General_07-12-2012_8_3'!L1179,"AAAAAD1fd0Y=")</f>
        <v>#VALUE!</v>
      </c>
      <c r="BT79" t="e">
        <f>AND('Planilla_General_07-12-2012_8_3'!M1179,"AAAAAD1fd0c=")</f>
        <v>#VALUE!</v>
      </c>
      <c r="BU79" t="e">
        <f>AND('Planilla_General_07-12-2012_8_3'!N1179,"AAAAAD1fd0g=")</f>
        <v>#VALUE!</v>
      </c>
      <c r="BV79" t="e">
        <f>AND('Planilla_General_07-12-2012_8_3'!O1179,"AAAAAD1fd0k=")</f>
        <v>#VALUE!</v>
      </c>
      <c r="BW79" t="e">
        <f>AND('Planilla_General_07-12-2012_8_3'!P1179,"AAAAAD1fd0o=")</f>
        <v>#VALUE!</v>
      </c>
      <c r="BX79">
        <f>IF('Planilla_General_07-12-2012_8_3'!1180:1180,"AAAAAD1fd0s=",0)</f>
        <v>0</v>
      </c>
      <c r="BY79" t="e">
        <f>AND('Planilla_General_07-12-2012_8_3'!A1180,"AAAAAD1fd0w=")</f>
        <v>#VALUE!</v>
      </c>
      <c r="BZ79" t="e">
        <f>AND('Planilla_General_07-12-2012_8_3'!B1180,"AAAAAD1fd00=")</f>
        <v>#VALUE!</v>
      </c>
      <c r="CA79" t="e">
        <f>AND('Planilla_General_07-12-2012_8_3'!C1180,"AAAAAD1fd04=")</f>
        <v>#VALUE!</v>
      </c>
      <c r="CB79" t="e">
        <f>AND('Planilla_General_07-12-2012_8_3'!D1180,"AAAAAD1fd08=")</f>
        <v>#VALUE!</v>
      </c>
      <c r="CC79" t="e">
        <f>AND('Planilla_General_07-12-2012_8_3'!E1180,"AAAAAD1fd1A=")</f>
        <v>#VALUE!</v>
      </c>
      <c r="CD79" t="e">
        <f>AND('Planilla_General_07-12-2012_8_3'!F1180,"AAAAAD1fd1E=")</f>
        <v>#VALUE!</v>
      </c>
      <c r="CE79" t="e">
        <f>AND('Planilla_General_07-12-2012_8_3'!G1180,"AAAAAD1fd1I=")</f>
        <v>#VALUE!</v>
      </c>
      <c r="CF79" t="e">
        <f>AND('Planilla_General_07-12-2012_8_3'!H1180,"AAAAAD1fd1M=")</f>
        <v>#VALUE!</v>
      </c>
      <c r="CG79" t="e">
        <f>AND('Planilla_General_07-12-2012_8_3'!I1180,"AAAAAD1fd1Q=")</f>
        <v>#VALUE!</v>
      </c>
      <c r="CH79" t="e">
        <f>AND('Planilla_General_07-12-2012_8_3'!J1180,"AAAAAD1fd1U=")</f>
        <v>#VALUE!</v>
      </c>
      <c r="CI79" t="e">
        <f>AND('Planilla_General_07-12-2012_8_3'!K1180,"AAAAAD1fd1Y=")</f>
        <v>#VALUE!</v>
      </c>
      <c r="CJ79" t="e">
        <f>AND('Planilla_General_07-12-2012_8_3'!L1180,"AAAAAD1fd1c=")</f>
        <v>#VALUE!</v>
      </c>
      <c r="CK79" t="e">
        <f>AND('Planilla_General_07-12-2012_8_3'!M1180,"AAAAAD1fd1g=")</f>
        <v>#VALUE!</v>
      </c>
      <c r="CL79" t="e">
        <f>AND('Planilla_General_07-12-2012_8_3'!N1180,"AAAAAD1fd1k=")</f>
        <v>#VALUE!</v>
      </c>
      <c r="CM79" t="e">
        <f>AND('Planilla_General_07-12-2012_8_3'!O1180,"AAAAAD1fd1o=")</f>
        <v>#VALUE!</v>
      </c>
      <c r="CN79" t="e">
        <f>AND('Planilla_General_07-12-2012_8_3'!P1180,"AAAAAD1fd1s=")</f>
        <v>#VALUE!</v>
      </c>
      <c r="CO79">
        <f>IF('Planilla_General_07-12-2012_8_3'!1181:1181,"AAAAAD1fd1w=",0)</f>
        <v>0</v>
      </c>
      <c r="CP79" t="e">
        <f>AND('Planilla_General_07-12-2012_8_3'!A1181,"AAAAAD1fd10=")</f>
        <v>#VALUE!</v>
      </c>
      <c r="CQ79" t="e">
        <f>AND('Planilla_General_07-12-2012_8_3'!B1181,"AAAAAD1fd14=")</f>
        <v>#VALUE!</v>
      </c>
      <c r="CR79" t="e">
        <f>AND('Planilla_General_07-12-2012_8_3'!C1181,"AAAAAD1fd18=")</f>
        <v>#VALUE!</v>
      </c>
      <c r="CS79" t="e">
        <f>AND('Planilla_General_07-12-2012_8_3'!D1181,"AAAAAD1fd2A=")</f>
        <v>#VALUE!</v>
      </c>
      <c r="CT79" t="e">
        <f>AND('Planilla_General_07-12-2012_8_3'!E1181,"AAAAAD1fd2E=")</f>
        <v>#VALUE!</v>
      </c>
      <c r="CU79" t="e">
        <f>AND('Planilla_General_07-12-2012_8_3'!F1181,"AAAAAD1fd2I=")</f>
        <v>#VALUE!</v>
      </c>
      <c r="CV79" t="e">
        <f>AND('Planilla_General_07-12-2012_8_3'!G1181,"AAAAAD1fd2M=")</f>
        <v>#VALUE!</v>
      </c>
      <c r="CW79" t="e">
        <f>AND('Planilla_General_07-12-2012_8_3'!H1181,"AAAAAD1fd2Q=")</f>
        <v>#VALUE!</v>
      </c>
      <c r="CX79" t="e">
        <f>AND('Planilla_General_07-12-2012_8_3'!I1181,"AAAAAD1fd2U=")</f>
        <v>#VALUE!</v>
      </c>
      <c r="CY79" t="e">
        <f>AND('Planilla_General_07-12-2012_8_3'!J1181,"AAAAAD1fd2Y=")</f>
        <v>#VALUE!</v>
      </c>
      <c r="CZ79" t="e">
        <f>AND('Planilla_General_07-12-2012_8_3'!K1181,"AAAAAD1fd2c=")</f>
        <v>#VALUE!</v>
      </c>
      <c r="DA79" t="e">
        <f>AND('Planilla_General_07-12-2012_8_3'!L1181,"AAAAAD1fd2g=")</f>
        <v>#VALUE!</v>
      </c>
      <c r="DB79" t="e">
        <f>AND('Planilla_General_07-12-2012_8_3'!M1181,"AAAAAD1fd2k=")</f>
        <v>#VALUE!</v>
      </c>
      <c r="DC79" t="e">
        <f>AND('Planilla_General_07-12-2012_8_3'!N1181,"AAAAAD1fd2o=")</f>
        <v>#VALUE!</v>
      </c>
      <c r="DD79" t="e">
        <f>AND('Planilla_General_07-12-2012_8_3'!O1181,"AAAAAD1fd2s=")</f>
        <v>#VALUE!</v>
      </c>
      <c r="DE79" t="e">
        <f>AND('Planilla_General_07-12-2012_8_3'!P1181,"AAAAAD1fd2w=")</f>
        <v>#VALUE!</v>
      </c>
      <c r="DF79">
        <f>IF('Planilla_General_07-12-2012_8_3'!1182:1182,"AAAAAD1fd20=",0)</f>
        <v>0</v>
      </c>
      <c r="DG79" t="e">
        <f>AND('Planilla_General_07-12-2012_8_3'!A1182,"AAAAAD1fd24=")</f>
        <v>#VALUE!</v>
      </c>
      <c r="DH79" t="e">
        <f>AND('Planilla_General_07-12-2012_8_3'!B1182,"AAAAAD1fd28=")</f>
        <v>#VALUE!</v>
      </c>
      <c r="DI79" t="e">
        <f>AND('Planilla_General_07-12-2012_8_3'!C1182,"AAAAAD1fd3A=")</f>
        <v>#VALUE!</v>
      </c>
      <c r="DJ79" t="e">
        <f>AND('Planilla_General_07-12-2012_8_3'!D1182,"AAAAAD1fd3E=")</f>
        <v>#VALUE!</v>
      </c>
      <c r="DK79" t="e">
        <f>AND('Planilla_General_07-12-2012_8_3'!E1182,"AAAAAD1fd3I=")</f>
        <v>#VALUE!</v>
      </c>
      <c r="DL79" t="e">
        <f>AND('Planilla_General_07-12-2012_8_3'!F1182,"AAAAAD1fd3M=")</f>
        <v>#VALUE!</v>
      </c>
      <c r="DM79" t="e">
        <f>AND('Planilla_General_07-12-2012_8_3'!G1182,"AAAAAD1fd3Q=")</f>
        <v>#VALUE!</v>
      </c>
      <c r="DN79" t="e">
        <f>AND('Planilla_General_07-12-2012_8_3'!H1182,"AAAAAD1fd3U=")</f>
        <v>#VALUE!</v>
      </c>
      <c r="DO79" t="e">
        <f>AND('Planilla_General_07-12-2012_8_3'!I1182,"AAAAAD1fd3Y=")</f>
        <v>#VALUE!</v>
      </c>
      <c r="DP79" t="e">
        <f>AND('Planilla_General_07-12-2012_8_3'!J1182,"AAAAAD1fd3c=")</f>
        <v>#VALUE!</v>
      </c>
      <c r="DQ79" t="e">
        <f>AND('Planilla_General_07-12-2012_8_3'!K1182,"AAAAAD1fd3g=")</f>
        <v>#VALUE!</v>
      </c>
      <c r="DR79" t="e">
        <f>AND('Planilla_General_07-12-2012_8_3'!L1182,"AAAAAD1fd3k=")</f>
        <v>#VALUE!</v>
      </c>
      <c r="DS79" t="e">
        <f>AND('Planilla_General_07-12-2012_8_3'!M1182,"AAAAAD1fd3o=")</f>
        <v>#VALUE!</v>
      </c>
      <c r="DT79" t="e">
        <f>AND('Planilla_General_07-12-2012_8_3'!N1182,"AAAAAD1fd3s=")</f>
        <v>#VALUE!</v>
      </c>
      <c r="DU79" t="e">
        <f>AND('Planilla_General_07-12-2012_8_3'!O1182,"AAAAAD1fd3w=")</f>
        <v>#VALUE!</v>
      </c>
      <c r="DV79" t="e">
        <f>AND('Planilla_General_07-12-2012_8_3'!P1182,"AAAAAD1fd30=")</f>
        <v>#VALUE!</v>
      </c>
      <c r="DW79">
        <f>IF('Planilla_General_07-12-2012_8_3'!1183:1183,"AAAAAD1fd34=",0)</f>
        <v>0</v>
      </c>
      <c r="DX79" t="e">
        <f>AND('Planilla_General_07-12-2012_8_3'!A1183,"AAAAAD1fd38=")</f>
        <v>#VALUE!</v>
      </c>
      <c r="DY79" t="e">
        <f>AND('Planilla_General_07-12-2012_8_3'!B1183,"AAAAAD1fd4A=")</f>
        <v>#VALUE!</v>
      </c>
      <c r="DZ79" t="e">
        <f>AND('Planilla_General_07-12-2012_8_3'!C1183,"AAAAAD1fd4E=")</f>
        <v>#VALUE!</v>
      </c>
      <c r="EA79" t="e">
        <f>AND('Planilla_General_07-12-2012_8_3'!D1183,"AAAAAD1fd4I=")</f>
        <v>#VALUE!</v>
      </c>
      <c r="EB79" t="e">
        <f>AND('Planilla_General_07-12-2012_8_3'!E1183,"AAAAAD1fd4M=")</f>
        <v>#VALUE!</v>
      </c>
      <c r="EC79" t="e">
        <f>AND('Planilla_General_07-12-2012_8_3'!F1183,"AAAAAD1fd4Q=")</f>
        <v>#VALUE!</v>
      </c>
      <c r="ED79" t="e">
        <f>AND('Planilla_General_07-12-2012_8_3'!G1183,"AAAAAD1fd4U=")</f>
        <v>#VALUE!</v>
      </c>
      <c r="EE79" t="e">
        <f>AND('Planilla_General_07-12-2012_8_3'!H1183,"AAAAAD1fd4Y=")</f>
        <v>#VALUE!</v>
      </c>
      <c r="EF79" t="e">
        <f>AND('Planilla_General_07-12-2012_8_3'!I1183,"AAAAAD1fd4c=")</f>
        <v>#VALUE!</v>
      </c>
      <c r="EG79" t="e">
        <f>AND('Planilla_General_07-12-2012_8_3'!J1183,"AAAAAD1fd4g=")</f>
        <v>#VALUE!</v>
      </c>
      <c r="EH79" t="e">
        <f>AND('Planilla_General_07-12-2012_8_3'!K1183,"AAAAAD1fd4k=")</f>
        <v>#VALUE!</v>
      </c>
      <c r="EI79" t="e">
        <f>AND('Planilla_General_07-12-2012_8_3'!L1183,"AAAAAD1fd4o=")</f>
        <v>#VALUE!</v>
      </c>
      <c r="EJ79" t="e">
        <f>AND('Planilla_General_07-12-2012_8_3'!M1183,"AAAAAD1fd4s=")</f>
        <v>#VALUE!</v>
      </c>
      <c r="EK79" t="e">
        <f>AND('Planilla_General_07-12-2012_8_3'!N1183,"AAAAAD1fd4w=")</f>
        <v>#VALUE!</v>
      </c>
      <c r="EL79" t="e">
        <f>AND('Planilla_General_07-12-2012_8_3'!O1183,"AAAAAD1fd40=")</f>
        <v>#VALUE!</v>
      </c>
      <c r="EM79" t="e">
        <f>AND('Planilla_General_07-12-2012_8_3'!P1183,"AAAAAD1fd44=")</f>
        <v>#VALUE!</v>
      </c>
      <c r="EN79">
        <f>IF('Planilla_General_07-12-2012_8_3'!1184:1184,"AAAAAD1fd48=",0)</f>
        <v>0</v>
      </c>
      <c r="EO79" t="e">
        <f>AND('Planilla_General_07-12-2012_8_3'!A1184,"AAAAAD1fd5A=")</f>
        <v>#VALUE!</v>
      </c>
      <c r="EP79" t="e">
        <f>AND('Planilla_General_07-12-2012_8_3'!B1184,"AAAAAD1fd5E=")</f>
        <v>#VALUE!</v>
      </c>
      <c r="EQ79" t="e">
        <f>AND('Planilla_General_07-12-2012_8_3'!C1184,"AAAAAD1fd5I=")</f>
        <v>#VALUE!</v>
      </c>
      <c r="ER79" t="e">
        <f>AND('Planilla_General_07-12-2012_8_3'!D1184,"AAAAAD1fd5M=")</f>
        <v>#VALUE!</v>
      </c>
      <c r="ES79" t="e">
        <f>AND('Planilla_General_07-12-2012_8_3'!E1184,"AAAAAD1fd5Q=")</f>
        <v>#VALUE!</v>
      </c>
      <c r="ET79" t="e">
        <f>AND('Planilla_General_07-12-2012_8_3'!F1184,"AAAAAD1fd5U=")</f>
        <v>#VALUE!</v>
      </c>
      <c r="EU79" t="e">
        <f>AND('Planilla_General_07-12-2012_8_3'!G1184,"AAAAAD1fd5Y=")</f>
        <v>#VALUE!</v>
      </c>
      <c r="EV79" t="e">
        <f>AND('Planilla_General_07-12-2012_8_3'!H1184,"AAAAAD1fd5c=")</f>
        <v>#VALUE!</v>
      </c>
      <c r="EW79" t="e">
        <f>AND('Planilla_General_07-12-2012_8_3'!I1184,"AAAAAD1fd5g=")</f>
        <v>#VALUE!</v>
      </c>
      <c r="EX79" t="e">
        <f>AND('Planilla_General_07-12-2012_8_3'!J1184,"AAAAAD1fd5k=")</f>
        <v>#VALUE!</v>
      </c>
      <c r="EY79" t="e">
        <f>AND('Planilla_General_07-12-2012_8_3'!K1184,"AAAAAD1fd5o=")</f>
        <v>#VALUE!</v>
      </c>
      <c r="EZ79" t="e">
        <f>AND('Planilla_General_07-12-2012_8_3'!L1184,"AAAAAD1fd5s=")</f>
        <v>#VALUE!</v>
      </c>
      <c r="FA79" t="e">
        <f>AND('Planilla_General_07-12-2012_8_3'!M1184,"AAAAAD1fd5w=")</f>
        <v>#VALUE!</v>
      </c>
      <c r="FB79" t="e">
        <f>AND('Planilla_General_07-12-2012_8_3'!N1184,"AAAAAD1fd50=")</f>
        <v>#VALUE!</v>
      </c>
      <c r="FC79" t="e">
        <f>AND('Planilla_General_07-12-2012_8_3'!O1184,"AAAAAD1fd54=")</f>
        <v>#VALUE!</v>
      </c>
      <c r="FD79" t="e">
        <f>AND('Planilla_General_07-12-2012_8_3'!P1184,"AAAAAD1fd58=")</f>
        <v>#VALUE!</v>
      </c>
      <c r="FE79">
        <f>IF('Planilla_General_07-12-2012_8_3'!1185:1185,"AAAAAD1fd6A=",0)</f>
        <v>0</v>
      </c>
      <c r="FF79" t="e">
        <f>AND('Planilla_General_07-12-2012_8_3'!A1185,"AAAAAD1fd6E=")</f>
        <v>#VALUE!</v>
      </c>
      <c r="FG79" t="e">
        <f>AND('Planilla_General_07-12-2012_8_3'!B1185,"AAAAAD1fd6I=")</f>
        <v>#VALUE!</v>
      </c>
      <c r="FH79" t="e">
        <f>AND('Planilla_General_07-12-2012_8_3'!C1185,"AAAAAD1fd6M=")</f>
        <v>#VALUE!</v>
      </c>
      <c r="FI79" t="e">
        <f>AND('Planilla_General_07-12-2012_8_3'!D1185,"AAAAAD1fd6Q=")</f>
        <v>#VALUE!</v>
      </c>
      <c r="FJ79" t="e">
        <f>AND('Planilla_General_07-12-2012_8_3'!E1185,"AAAAAD1fd6U=")</f>
        <v>#VALUE!</v>
      </c>
      <c r="FK79" t="e">
        <f>AND('Planilla_General_07-12-2012_8_3'!F1185,"AAAAAD1fd6Y=")</f>
        <v>#VALUE!</v>
      </c>
      <c r="FL79" t="e">
        <f>AND('Planilla_General_07-12-2012_8_3'!G1185,"AAAAAD1fd6c=")</f>
        <v>#VALUE!</v>
      </c>
      <c r="FM79" t="e">
        <f>AND('Planilla_General_07-12-2012_8_3'!H1185,"AAAAAD1fd6g=")</f>
        <v>#VALUE!</v>
      </c>
      <c r="FN79" t="e">
        <f>AND('Planilla_General_07-12-2012_8_3'!I1185,"AAAAAD1fd6k=")</f>
        <v>#VALUE!</v>
      </c>
      <c r="FO79" t="e">
        <f>AND('Planilla_General_07-12-2012_8_3'!J1185,"AAAAAD1fd6o=")</f>
        <v>#VALUE!</v>
      </c>
      <c r="FP79" t="e">
        <f>AND('Planilla_General_07-12-2012_8_3'!K1185,"AAAAAD1fd6s=")</f>
        <v>#VALUE!</v>
      </c>
      <c r="FQ79" t="e">
        <f>AND('Planilla_General_07-12-2012_8_3'!L1185,"AAAAAD1fd6w=")</f>
        <v>#VALUE!</v>
      </c>
      <c r="FR79" t="e">
        <f>AND('Planilla_General_07-12-2012_8_3'!M1185,"AAAAAD1fd60=")</f>
        <v>#VALUE!</v>
      </c>
      <c r="FS79" t="e">
        <f>AND('Planilla_General_07-12-2012_8_3'!N1185,"AAAAAD1fd64=")</f>
        <v>#VALUE!</v>
      </c>
      <c r="FT79" t="e">
        <f>AND('Planilla_General_07-12-2012_8_3'!O1185,"AAAAAD1fd68=")</f>
        <v>#VALUE!</v>
      </c>
      <c r="FU79" t="e">
        <f>AND('Planilla_General_07-12-2012_8_3'!P1185,"AAAAAD1fd7A=")</f>
        <v>#VALUE!</v>
      </c>
      <c r="FV79">
        <f>IF('Planilla_General_07-12-2012_8_3'!1186:1186,"AAAAAD1fd7E=",0)</f>
        <v>0</v>
      </c>
      <c r="FW79" t="e">
        <f>AND('Planilla_General_07-12-2012_8_3'!A1186,"AAAAAD1fd7I=")</f>
        <v>#VALUE!</v>
      </c>
      <c r="FX79" t="e">
        <f>AND('Planilla_General_07-12-2012_8_3'!B1186,"AAAAAD1fd7M=")</f>
        <v>#VALUE!</v>
      </c>
      <c r="FY79" t="e">
        <f>AND('Planilla_General_07-12-2012_8_3'!C1186,"AAAAAD1fd7Q=")</f>
        <v>#VALUE!</v>
      </c>
      <c r="FZ79" t="e">
        <f>AND('Planilla_General_07-12-2012_8_3'!D1186,"AAAAAD1fd7U=")</f>
        <v>#VALUE!</v>
      </c>
      <c r="GA79" t="e">
        <f>AND('Planilla_General_07-12-2012_8_3'!E1186,"AAAAAD1fd7Y=")</f>
        <v>#VALUE!</v>
      </c>
      <c r="GB79" t="e">
        <f>AND('Planilla_General_07-12-2012_8_3'!F1186,"AAAAAD1fd7c=")</f>
        <v>#VALUE!</v>
      </c>
      <c r="GC79" t="e">
        <f>AND('Planilla_General_07-12-2012_8_3'!G1186,"AAAAAD1fd7g=")</f>
        <v>#VALUE!</v>
      </c>
      <c r="GD79" t="e">
        <f>AND('Planilla_General_07-12-2012_8_3'!H1186,"AAAAAD1fd7k=")</f>
        <v>#VALUE!</v>
      </c>
      <c r="GE79" t="e">
        <f>AND('Planilla_General_07-12-2012_8_3'!I1186,"AAAAAD1fd7o=")</f>
        <v>#VALUE!</v>
      </c>
      <c r="GF79" t="e">
        <f>AND('Planilla_General_07-12-2012_8_3'!J1186,"AAAAAD1fd7s=")</f>
        <v>#VALUE!</v>
      </c>
      <c r="GG79" t="e">
        <f>AND('Planilla_General_07-12-2012_8_3'!K1186,"AAAAAD1fd7w=")</f>
        <v>#VALUE!</v>
      </c>
      <c r="GH79" t="e">
        <f>AND('Planilla_General_07-12-2012_8_3'!L1186,"AAAAAD1fd70=")</f>
        <v>#VALUE!</v>
      </c>
      <c r="GI79" t="e">
        <f>AND('Planilla_General_07-12-2012_8_3'!M1186,"AAAAAD1fd74=")</f>
        <v>#VALUE!</v>
      </c>
      <c r="GJ79" t="e">
        <f>AND('Planilla_General_07-12-2012_8_3'!N1186,"AAAAAD1fd78=")</f>
        <v>#VALUE!</v>
      </c>
      <c r="GK79" t="e">
        <f>AND('Planilla_General_07-12-2012_8_3'!O1186,"AAAAAD1fd8A=")</f>
        <v>#VALUE!</v>
      </c>
      <c r="GL79" t="e">
        <f>AND('Planilla_General_07-12-2012_8_3'!P1186,"AAAAAD1fd8E=")</f>
        <v>#VALUE!</v>
      </c>
      <c r="GM79">
        <f>IF('Planilla_General_07-12-2012_8_3'!1187:1187,"AAAAAD1fd8I=",0)</f>
        <v>0</v>
      </c>
      <c r="GN79" t="e">
        <f>AND('Planilla_General_07-12-2012_8_3'!A1187,"AAAAAD1fd8M=")</f>
        <v>#VALUE!</v>
      </c>
      <c r="GO79" t="e">
        <f>AND('Planilla_General_07-12-2012_8_3'!B1187,"AAAAAD1fd8Q=")</f>
        <v>#VALUE!</v>
      </c>
      <c r="GP79" t="e">
        <f>AND('Planilla_General_07-12-2012_8_3'!C1187,"AAAAAD1fd8U=")</f>
        <v>#VALUE!</v>
      </c>
      <c r="GQ79" t="e">
        <f>AND('Planilla_General_07-12-2012_8_3'!D1187,"AAAAAD1fd8Y=")</f>
        <v>#VALUE!</v>
      </c>
      <c r="GR79" t="e">
        <f>AND('Planilla_General_07-12-2012_8_3'!E1187,"AAAAAD1fd8c=")</f>
        <v>#VALUE!</v>
      </c>
      <c r="GS79" t="e">
        <f>AND('Planilla_General_07-12-2012_8_3'!F1187,"AAAAAD1fd8g=")</f>
        <v>#VALUE!</v>
      </c>
      <c r="GT79" t="e">
        <f>AND('Planilla_General_07-12-2012_8_3'!G1187,"AAAAAD1fd8k=")</f>
        <v>#VALUE!</v>
      </c>
      <c r="GU79" t="e">
        <f>AND('Planilla_General_07-12-2012_8_3'!H1187,"AAAAAD1fd8o=")</f>
        <v>#VALUE!</v>
      </c>
      <c r="GV79" t="e">
        <f>AND('Planilla_General_07-12-2012_8_3'!I1187,"AAAAAD1fd8s=")</f>
        <v>#VALUE!</v>
      </c>
      <c r="GW79" t="e">
        <f>AND('Planilla_General_07-12-2012_8_3'!J1187,"AAAAAD1fd8w=")</f>
        <v>#VALUE!</v>
      </c>
      <c r="GX79" t="e">
        <f>AND('Planilla_General_07-12-2012_8_3'!K1187,"AAAAAD1fd80=")</f>
        <v>#VALUE!</v>
      </c>
      <c r="GY79" t="e">
        <f>AND('Planilla_General_07-12-2012_8_3'!L1187,"AAAAAD1fd84=")</f>
        <v>#VALUE!</v>
      </c>
      <c r="GZ79" t="e">
        <f>AND('Planilla_General_07-12-2012_8_3'!M1187,"AAAAAD1fd88=")</f>
        <v>#VALUE!</v>
      </c>
      <c r="HA79" t="e">
        <f>AND('Planilla_General_07-12-2012_8_3'!N1187,"AAAAAD1fd9A=")</f>
        <v>#VALUE!</v>
      </c>
      <c r="HB79" t="e">
        <f>AND('Planilla_General_07-12-2012_8_3'!O1187,"AAAAAD1fd9E=")</f>
        <v>#VALUE!</v>
      </c>
      <c r="HC79" t="e">
        <f>AND('Planilla_General_07-12-2012_8_3'!P1187,"AAAAAD1fd9I=")</f>
        <v>#VALUE!</v>
      </c>
      <c r="HD79">
        <f>IF('Planilla_General_07-12-2012_8_3'!1188:1188,"AAAAAD1fd9M=",0)</f>
        <v>0</v>
      </c>
      <c r="HE79" t="e">
        <f>AND('Planilla_General_07-12-2012_8_3'!A1188,"AAAAAD1fd9Q=")</f>
        <v>#VALUE!</v>
      </c>
      <c r="HF79" t="e">
        <f>AND('Planilla_General_07-12-2012_8_3'!B1188,"AAAAAD1fd9U=")</f>
        <v>#VALUE!</v>
      </c>
      <c r="HG79" t="e">
        <f>AND('Planilla_General_07-12-2012_8_3'!C1188,"AAAAAD1fd9Y=")</f>
        <v>#VALUE!</v>
      </c>
      <c r="HH79" t="e">
        <f>AND('Planilla_General_07-12-2012_8_3'!D1188,"AAAAAD1fd9c=")</f>
        <v>#VALUE!</v>
      </c>
      <c r="HI79" t="e">
        <f>AND('Planilla_General_07-12-2012_8_3'!E1188,"AAAAAD1fd9g=")</f>
        <v>#VALUE!</v>
      </c>
      <c r="HJ79" t="e">
        <f>AND('Planilla_General_07-12-2012_8_3'!F1188,"AAAAAD1fd9k=")</f>
        <v>#VALUE!</v>
      </c>
      <c r="HK79" t="e">
        <f>AND('Planilla_General_07-12-2012_8_3'!G1188,"AAAAAD1fd9o=")</f>
        <v>#VALUE!</v>
      </c>
      <c r="HL79" t="e">
        <f>AND('Planilla_General_07-12-2012_8_3'!H1188,"AAAAAD1fd9s=")</f>
        <v>#VALUE!</v>
      </c>
      <c r="HM79" t="e">
        <f>AND('Planilla_General_07-12-2012_8_3'!I1188,"AAAAAD1fd9w=")</f>
        <v>#VALUE!</v>
      </c>
      <c r="HN79" t="e">
        <f>AND('Planilla_General_07-12-2012_8_3'!J1188,"AAAAAD1fd90=")</f>
        <v>#VALUE!</v>
      </c>
      <c r="HO79" t="e">
        <f>AND('Planilla_General_07-12-2012_8_3'!K1188,"AAAAAD1fd94=")</f>
        <v>#VALUE!</v>
      </c>
      <c r="HP79" t="e">
        <f>AND('Planilla_General_07-12-2012_8_3'!L1188,"AAAAAD1fd98=")</f>
        <v>#VALUE!</v>
      </c>
      <c r="HQ79" t="e">
        <f>AND('Planilla_General_07-12-2012_8_3'!M1188,"AAAAAD1fd+A=")</f>
        <v>#VALUE!</v>
      </c>
      <c r="HR79" t="e">
        <f>AND('Planilla_General_07-12-2012_8_3'!N1188,"AAAAAD1fd+E=")</f>
        <v>#VALUE!</v>
      </c>
      <c r="HS79" t="e">
        <f>AND('Planilla_General_07-12-2012_8_3'!O1188,"AAAAAD1fd+I=")</f>
        <v>#VALUE!</v>
      </c>
      <c r="HT79" t="e">
        <f>AND('Planilla_General_07-12-2012_8_3'!P1188,"AAAAAD1fd+M=")</f>
        <v>#VALUE!</v>
      </c>
      <c r="HU79">
        <f>IF('Planilla_General_07-12-2012_8_3'!1189:1189,"AAAAAD1fd+Q=",0)</f>
        <v>0</v>
      </c>
      <c r="HV79" t="e">
        <f>AND('Planilla_General_07-12-2012_8_3'!A1189,"AAAAAD1fd+U=")</f>
        <v>#VALUE!</v>
      </c>
      <c r="HW79" t="e">
        <f>AND('Planilla_General_07-12-2012_8_3'!B1189,"AAAAAD1fd+Y=")</f>
        <v>#VALUE!</v>
      </c>
      <c r="HX79" t="e">
        <f>AND('Planilla_General_07-12-2012_8_3'!C1189,"AAAAAD1fd+c=")</f>
        <v>#VALUE!</v>
      </c>
      <c r="HY79" t="e">
        <f>AND('Planilla_General_07-12-2012_8_3'!D1189,"AAAAAD1fd+g=")</f>
        <v>#VALUE!</v>
      </c>
      <c r="HZ79" t="e">
        <f>AND('Planilla_General_07-12-2012_8_3'!E1189,"AAAAAD1fd+k=")</f>
        <v>#VALUE!</v>
      </c>
      <c r="IA79" t="e">
        <f>AND('Planilla_General_07-12-2012_8_3'!F1189,"AAAAAD1fd+o=")</f>
        <v>#VALUE!</v>
      </c>
      <c r="IB79" t="e">
        <f>AND('Planilla_General_07-12-2012_8_3'!G1189,"AAAAAD1fd+s=")</f>
        <v>#VALUE!</v>
      </c>
      <c r="IC79" t="e">
        <f>AND('Planilla_General_07-12-2012_8_3'!H1189,"AAAAAD1fd+w=")</f>
        <v>#VALUE!</v>
      </c>
      <c r="ID79" t="e">
        <f>AND('Planilla_General_07-12-2012_8_3'!I1189,"AAAAAD1fd+0=")</f>
        <v>#VALUE!</v>
      </c>
      <c r="IE79" t="e">
        <f>AND('Planilla_General_07-12-2012_8_3'!J1189,"AAAAAD1fd+4=")</f>
        <v>#VALUE!</v>
      </c>
      <c r="IF79" t="e">
        <f>AND('Planilla_General_07-12-2012_8_3'!K1189,"AAAAAD1fd+8=")</f>
        <v>#VALUE!</v>
      </c>
      <c r="IG79" t="e">
        <f>AND('Planilla_General_07-12-2012_8_3'!L1189,"AAAAAD1fd/A=")</f>
        <v>#VALUE!</v>
      </c>
      <c r="IH79" t="e">
        <f>AND('Planilla_General_07-12-2012_8_3'!M1189,"AAAAAD1fd/E=")</f>
        <v>#VALUE!</v>
      </c>
      <c r="II79" t="e">
        <f>AND('Planilla_General_07-12-2012_8_3'!N1189,"AAAAAD1fd/I=")</f>
        <v>#VALUE!</v>
      </c>
      <c r="IJ79" t="e">
        <f>AND('Planilla_General_07-12-2012_8_3'!O1189,"AAAAAD1fd/M=")</f>
        <v>#VALUE!</v>
      </c>
      <c r="IK79" t="e">
        <f>AND('Planilla_General_07-12-2012_8_3'!P1189,"AAAAAD1fd/Q=")</f>
        <v>#VALUE!</v>
      </c>
      <c r="IL79">
        <f>IF('Planilla_General_07-12-2012_8_3'!1190:1190,"AAAAAD1fd/U=",0)</f>
        <v>0</v>
      </c>
      <c r="IM79" t="e">
        <f>AND('Planilla_General_07-12-2012_8_3'!A1190,"AAAAAD1fd/Y=")</f>
        <v>#VALUE!</v>
      </c>
      <c r="IN79" t="e">
        <f>AND('Planilla_General_07-12-2012_8_3'!B1190,"AAAAAD1fd/c=")</f>
        <v>#VALUE!</v>
      </c>
      <c r="IO79" t="e">
        <f>AND('Planilla_General_07-12-2012_8_3'!C1190,"AAAAAD1fd/g=")</f>
        <v>#VALUE!</v>
      </c>
      <c r="IP79" t="e">
        <f>AND('Planilla_General_07-12-2012_8_3'!D1190,"AAAAAD1fd/k=")</f>
        <v>#VALUE!</v>
      </c>
      <c r="IQ79" t="e">
        <f>AND('Planilla_General_07-12-2012_8_3'!E1190,"AAAAAD1fd/o=")</f>
        <v>#VALUE!</v>
      </c>
      <c r="IR79" t="e">
        <f>AND('Planilla_General_07-12-2012_8_3'!F1190,"AAAAAD1fd/s=")</f>
        <v>#VALUE!</v>
      </c>
      <c r="IS79" t="e">
        <f>AND('Planilla_General_07-12-2012_8_3'!G1190,"AAAAAD1fd/w=")</f>
        <v>#VALUE!</v>
      </c>
      <c r="IT79" t="e">
        <f>AND('Planilla_General_07-12-2012_8_3'!H1190,"AAAAAD1fd/0=")</f>
        <v>#VALUE!</v>
      </c>
      <c r="IU79" t="e">
        <f>AND('Planilla_General_07-12-2012_8_3'!I1190,"AAAAAD1fd/4=")</f>
        <v>#VALUE!</v>
      </c>
      <c r="IV79" t="e">
        <f>AND('Planilla_General_07-12-2012_8_3'!J1190,"AAAAAD1fd/8=")</f>
        <v>#VALUE!</v>
      </c>
    </row>
    <row r="80" spans="1:256" x14ac:dyDescent="0.25">
      <c r="A80" t="e">
        <f>AND('Planilla_General_07-12-2012_8_3'!K1190,"AAAAAG+/QwA=")</f>
        <v>#VALUE!</v>
      </c>
      <c r="B80" t="e">
        <f>AND('Planilla_General_07-12-2012_8_3'!L1190,"AAAAAG+/QwE=")</f>
        <v>#VALUE!</v>
      </c>
      <c r="C80" t="e">
        <f>AND('Planilla_General_07-12-2012_8_3'!M1190,"AAAAAG+/QwI=")</f>
        <v>#VALUE!</v>
      </c>
      <c r="D80" t="e">
        <f>AND('Planilla_General_07-12-2012_8_3'!N1190,"AAAAAG+/QwM=")</f>
        <v>#VALUE!</v>
      </c>
      <c r="E80" t="e">
        <f>AND('Planilla_General_07-12-2012_8_3'!O1190,"AAAAAG+/QwQ=")</f>
        <v>#VALUE!</v>
      </c>
      <c r="F80" t="e">
        <f>AND('Planilla_General_07-12-2012_8_3'!P1190,"AAAAAG+/QwU=")</f>
        <v>#VALUE!</v>
      </c>
      <c r="G80" t="e">
        <f>IF('Planilla_General_07-12-2012_8_3'!1191:1191,"AAAAAG+/QwY=",0)</f>
        <v>#VALUE!</v>
      </c>
      <c r="H80" t="e">
        <f>AND('Planilla_General_07-12-2012_8_3'!A1191,"AAAAAG+/Qwc=")</f>
        <v>#VALUE!</v>
      </c>
      <c r="I80" t="e">
        <f>AND('Planilla_General_07-12-2012_8_3'!B1191,"AAAAAG+/Qwg=")</f>
        <v>#VALUE!</v>
      </c>
      <c r="J80" t="e">
        <f>AND('Planilla_General_07-12-2012_8_3'!C1191,"AAAAAG+/Qwk=")</f>
        <v>#VALUE!</v>
      </c>
      <c r="K80" t="e">
        <f>AND('Planilla_General_07-12-2012_8_3'!D1191,"AAAAAG+/Qwo=")</f>
        <v>#VALUE!</v>
      </c>
      <c r="L80" t="e">
        <f>AND('Planilla_General_07-12-2012_8_3'!E1191,"AAAAAG+/Qws=")</f>
        <v>#VALUE!</v>
      </c>
      <c r="M80" t="e">
        <f>AND('Planilla_General_07-12-2012_8_3'!F1191,"AAAAAG+/Qww=")</f>
        <v>#VALUE!</v>
      </c>
      <c r="N80" t="e">
        <f>AND('Planilla_General_07-12-2012_8_3'!G1191,"AAAAAG+/Qw0=")</f>
        <v>#VALUE!</v>
      </c>
      <c r="O80" t="e">
        <f>AND('Planilla_General_07-12-2012_8_3'!H1191,"AAAAAG+/Qw4=")</f>
        <v>#VALUE!</v>
      </c>
      <c r="P80" t="e">
        <f>AND('Planilla_General_07-12-2012_8_3'!I1191,"AAAAAG+/Qw8=")</f>
        <v>#VALUE!</v>
      </c>
      <c r="Q80" t="e">
        <f>AND('Planilla_General_07-12-2012_8_3'!J1191,"AAAAAG+/QxA=")</f>
        <v>#VALUE!</v>
      </c>
      <c r="R80" t="e">
        <f>AND('Planilla_General_07-12-2012_8_3'!K1191,"AAAAAG+/QxE=")</f>
        <v>#VALUE!</v>
      </c>
      <c r="S80" t="e">
        <f>AND('Planilla_General_07-12-2012_8_3'!L1191,"AAAAAG+/QxI=")</f>
        <v>#VALUE!</v>
      </c>
      <c r="T80" t="e">
        <f>AND('Planilla_General_07-12-2012_8_3'!M1191,"AAAAAG+/QxM=")</f>
        <v>#VALUE!</v>
      </c>
      <c r="U80" t="e">
        <f>AND('Planilla_General_07-12-2012_8_3'!N1191,"AAAAAG+/QxQ=")</f>
        <v>#VALUE!</v>
      </c>
      <c r="V80" t="e">
        <f>AND('Planilla_General_07-12-2012_8_3'!O1191,"AAAAAG+/QxU=")</f>
        <v>#VALUE!</v>
      </c>
      <c r="W80" t="e">
        <f>AND('Planilla_General_07-12-2012_8_3'!P1191,"AAAAAG+/QxY=")</f>
        <v>#VALUE!</v>
      </c>
      <c r="X80">
        <f>IF('Planilla_General_07-12-2012_8_3'!1192:1192,"AAAAAG+/Qxc=",0)</f>
        <v>0</v>
      </c>
      <c r="Y80" t="e">
        <f>AND('Planilla_General_07-12-2012_8_3'!A1192,"AAAAAG+/Qxg=")</f>
        <v>#VALUE!</v>
      </c>
      <c r="Z80" t="e">
        <f>AND('Planilla_General_07-12-2012_8_3'!B1192,"AAAAAG+/Qxk=")</f>
        <v>#VALUE!</v>
      </c>
      <c r="AA80" t="e">
        <f>AND('Planilla_General_07-12-2012_8_3'!C1192,"AAAAAG+/Qxo=")</f>
        <v>#VALUE!</v>
      </c>
      <c r="AB80" t="e">
        <f>AND('Planilla_General_07-12-2012_8_3'!D1192,"AAAAAG+/Qxs=")</f>
        <v>#VALUE!</v>
      </c>
      <c r="AC80" t="e">
        <f>AND('Planilla_General_07-12-2012_8_3'!E1192,"AAAAAG+/Qxw=")</f>
        <v>#VALUE!</v>
      </c>
      <c r="AD80" t="e">
        <f>AND('Planilla_General_07-12-2012_8_3'!F1192,"AAAAAG+/Qx0=")</f>
        <v>#VALUE!</v>
      </c>
      <c r="AE80" t="e">
        <f>AND('Planilla_General_07-12-2012_8_3'!G1192,"AAAAAG+/Qx4=")</f>
        <v>#VALUE!</v>
      </c>
      <c r="AF80" t="e">
        <f>AND('Planilla_General_07-12-2012_8_3'!H1192,"AAAAAG+/Qx8=")</f>
        <v>#VALUE!</v>
      </c>
      <c r="AG80" t="e">
        <f>AND('Planilla_General_07-12-2012_8_3'!I1192,"AAAAAG+/QyA=")</f>
        <v>#VALUE!</v>
      </c>
      <c r="AH80" t="e">
        <f>AND('Planilla_General_07-12-2012_8_3'!J1192,"AAAAAG+/QyE=")</f>
        <v>#VALUE!</v>
      </c>
      <c r="AI80" t="e">
        <f>AND('Planilla_General_07-12-2012_8_3'!K1192,"AAAAAG+/QyI=")</f>
        <v>#VALUE!</v>
      </c>
      <c r="AJ80" t="e">
        <f>AND('Planilla_General_07-12-2012_8_3'!L1192,"AAAAAG+/QyM=")</f>
        <v>#VALUE!</v>
      </c>
      <c r="AK80" t="e">
        <f>AND('Planilla_General_07-12-2012_8_3'!M1192,"AAAAAG+/QyQ=")</f>
        <v>#VALUE!</v>
      </c>
      <c r="AL80" t="e">
        <f>AND('Planilla_General_07-12-2012_8_3'!N1192,"AAAAAG+/QyU=")</f>
        <v>#VALUE!</v>
      </c>
      <c r="AM80" t="e">
        <f>AND('Planilla_General_07-12-2012_8_3'!O1192,"AAAAAG+/QyY=")</f>
        <v>#VALUE!</v>
      </c>
      <c r="AN80" t="e">
        <f>AND('Planilla_General_07-12-2012_8_3'!P1192,"AAAAAG+/Qyc=")</f>
        <v>#VALUE!</v>
      </c>
      <c r="AO80">
        <f>IF('Planilla_General_07-12-2012_8_3'!1193:1193,"AAAAAG+/Qyg=",0)</f>
        <v>0</v>
      </c>
      <c r="AP80" t="e">
        <f>AND('Planilla_General_07-12-2012_8_3'!A1193,"AAAAAG+/Qyk=")</f>
        <v>#VALUE!</v>
      </c>
      <c r="AQ80" t="e">
        <f>AND('Planilla_General_07-12-2012_8_3'!B1193,"AAAAAG+/Qyo=")</f>
        <v>#VALUE!</v>
      </c>
      <c r="AR80" t="e">
        <f>AND('Planilla_General_07-12-2012_8_3'!C1193,"AAAAAG+/Qys=")</f>
        <v>#VALUE!</v>
      </c>
      <c r="AS80" t="e">
        <f>AND('Planilla_General_07-12-2012_8_3'!D1193,"AAAAAG+/Qyw=")</f>
        <v>#VALUE!</v>
      </c>
      <c r="AT80" t="e">
        <f>AND('Planilla_General_07-12-2012_8_3'!E1193,"AAAAAG+/Qy0=")</f>
        <v>#VALUE!</v>
      </c>
      <c r="AU80" t="e">
        <f>AND('Planilla_General_07-12-2012_8_3'!F1193,"AAAAAG+/Qy4=")</f>
        <v>#VALUE!</v>
      </c>
      <c r="AV80" t="e">
        <f>AND('Planilla_General_07-12-2012_8_3'!G1193,"AAAAAG+/Qy8=")</f>
        <v>#VALUE!</v>
      </c>
      <c r="AW80" t="e">
        <f>AND('Planilla_General_07-12-2012_8_3'!H1193,"AAAAAG+/QzA=")</f>
        <v>#VALUE!</v>
      </c>
      <c r="AX80" t="e">
        <f>AND('Planilla_General_07-12-2012_8_3'!I1193,"AAAAAG+/QzE=")</f>
        <v>#VALUE!</v>
      </c>
      <c r="AY80" t="e">
        <f>AND('Planilla_General_07-12-2012_8_3'!J1193,"AAAAAG+/QzI=")</f>
        <v>#VALUE!</v>
      </c>
      <c r="AZ80" t="e">
        <f>AND('Planilla_General_07-12-2012_8_3'!K1193,"AAAAAG+/QzM=")</f>
        <v>#VALUE!</v>
      </c>
      <c r="BA80" t="e">
        <f>AND('Planilla_General_07-12-2012_8_3'!L1193,"AAAAAG+/QzQ=")</f>
        <v>#VALUE!</v>
      </c>
      <c r="BB80" t="e">
        <f>AND('Planilla_General_07-12-2012_8_3'!M1193,"AAAAAG+/QzU=")</f>
        <v>#VALUE!</v>
      </c>
      <c r="BC80" t="e">
        <f>AND('Planilla_General_07-12-2012_8_3'!N1193,"AAAAAG+/QzY=")</f>
        <v>#VALUE!</v>
      </c>
      <c r="BD80" t="e">
        <f>AND('Planilla_General_07-12-2012_8_3'!O1193,"AAAAAG+/Qzc=")</f>
        <v>#VALUE!</v>
      </c>
      <c r="BE80" t="e">
        <f>AND('Planilla_General_07-12-2012_8_3'!P1193,"AAAAAG+/Qzg=")</f>
        <v>#VALUE!</v>
      </c>
      <c r="BF80">
        <f>IF('Planilla_General_07-12-2012_8_3'!1194:1194,"AAAAAG+/Qzk=",0)</f>
        <v>0</v>
      </c>
      <c r="BG80" t="e">
        <f>AND('Planilla_General_07-12-2012_8_3'!A1194,"AAAAAG+/Qzo=")</f>
        <v>#VALUE!</v>
      </c>
      <c r="BH80" t="e">
        <f>AND('Planilla_General_07-12-2012_8_3'!B1194,"AAAAAG+/Qzs=")</f>
        <v>#VALUE!</v>
      </c>
      <c r="BI80" t="e">
        <f>AND('Planilla_General_07-12-2012_8_3'!C1194,"AAAAAG+/Qzw=")</f>
        <v>#VALUE!</v>
      </c>
      <c r="BJ80" t="e">
        <f>AND('Planilla_General_07-12-2012_8_3'!D1194,"AAAAAG+/Qz0=")</f>
        <v>#VALUE!</v>
      </c>
      <c r="BK80" t="e">
        <f>AND('Planilla_General_07-12-2012_8_3'!E1194,"AAAAAG+/Qz4=")</f>
        <v>#VALUE!</v>
      </c>
      <c r="BL80" t="e">
        <f>AND('Planilla_General_07-12-2012_8_3'!F1194,"AAAAAG+/Qz8=")</f>
        <v>#VALUE!</v>
      </c>
      <c r="BM80" t="e">
        <f>AND('Planilla_General_07-12-2012_8_3'!G1194,"AAAAAG+/Q0A=")</f>
        <v>#VALUE!</v>
      </c>
      <c r="BN80" t="e">
        <f>AND('Planilla_General_07-12-2012_8_3'!H1194,"AAAAAG+/Q0E=")</f>
        <v>#VALUE!</v>
      </c>
      <c r="BO80" t="e">
        <f>AND('Planilla_General_07-12-2012_8_3'!I1194,"AAAAAG+/Q0I=")</f>
        <v>#VALUE!</v>
      </c>
      <c r="BP80" t="e">
        <f>AND('Planilla_General_07-12-2012_8_3'!J1194,"AAAAAG+/Q0M=")</f>
        <v>#VALUE!</v>
      </c>
      <c r="BQ80" t="e">
        <f>AND('Planilla_General_07-12-2012_8_3'!K1194,"AAAAAG+/Q0Q=")</f>
        <v>#VALUE!</v>
      </c>
      <c r="BR80" t="e">
        <f>AND('Planilla_General_07-12-2012_8_3'!L1194,"AAAAAG+/Q0U=")</f>
        <v>#VALUE!</v>
      </c>
      <c r="BS80" t="e">
        <f>AND('Planilla_General_07-12-2012_8_3'!M1194,"AAAAAG+/Q0Y=")</f>
        <v>#VALUE!</v>
      </c>
      <c r="BT80" t="e">
        <f>AND('Planilla_General_07-12-2012_8_3'!N1194,"AAAAAG+/Q0c=")</f>
        <v>#VALUE!</v>
      </c>
      <c r="BU80" t="e">
        <f>AND('Planilla_General_07-12-2012_8_3'!O1194,"AAAAAG+/Q0g=")</f>
        <v>#VALUE!</v>
      </c>
      <c r="BV80" t="e">
        <f>AND('Planilla_General_07-12-2012_8_3'!P1194,"AAAAAG+/Q0k=")</f>
        <v>#VALUE!</v>
      </c>
      <c r="BW80">
        <f>IF('Planilla_General_07-12-2012_8_3'!1195:1195,"AAAAAG+/Q0o=",0)</f>
        <v>0</v>
      </c>
      <c r="BX80" t="e">
        <f>AND('Planilla_General_07-12-2012_8_3'!A1195,"AAAAAG+/Q0s=")</f>
        <v>#VALUE!</v>
      </c>
      <c r="BY80" t="e">
        <f>AND('Planilla_General_07-12-2012_8_3'!B1195,"AAAAAG+/Q0w=")</f>
        <v>#VALUE!</v>
      </c>
      <c r="BZ80" t="e">
        <f>AND('Planilla_General_07-12-2012_8_3'!C1195,"AAAAAG+/Q00=")</f>
        <v>#VALUE!</v>
      </c>
      <c r="CA80" t="e">
        <f>AND('Planilla_General_07-12-2012_8_3'!D1195,"AAAAAG+/Q04=")</f>
        <v>#VALUE!</v>
      </c>
      <c r="CB80" t="e">
        <f>AND('Planilla_General_07-12-2012_8_3'!E1195,"AAAAAG+/Q08=")</f>
        <v>#VALUE!</v>
      </c>
      <c r="CC80" t="e">
        <f>AND('Planilla_General_07-12-2012_8_3'!F1195,"AAAAAG+/Q1A=")</f>
        <v>#VALUE!</v>
      </c>
      <c r="CD80" t="e">
        <f>AND('Planilla_General_07-12-2012_8_3'!G1195,"AAAAAG+/Q1E=")</f>
        <v>#VALUE!</v>
      </c>
      <c r="CE80" t="e">
        <f>AND('Planilla_General_07-12-2012_8_3'!H1195,"AAAAAG+/Q1I=")</f>
        <v>#VALUE!</v>
      </c>
      <c r="CF80" t="e">
        <f>AND('Planilla_General_07-12-2012_8_3'!I1195,"AAAAAG+/Q1M=")</f>
        <v>#VALUE!</v>
      </c>
      <c r="CG80" t="e">
        <f>AND('Planilla_General_07-12-2012_8_3'!J1195,"AAAAAG+/Q1Q=")</f>
        <v>#VALUE!</v>
      </c>
      <c r="CH80" t="e">
        <f>AND('Planilla_General_07-12-2012_8_3'!K1195,"AAAAAG+/Q1U=")</f>
        <v>#VALUE!</v>
      </c>
      <c r="CI80" t="e">
        <f>AND('Planilla_General_07-12-2012_8_3'!L1195,"AAAAAG+/Q1Y=")</f>
        <v>#VALUE!</v>
      </c>
      <c r="CJ80" t="e">
        <f>AND('Planilla_General_07-12-2012_8_3'!M1195,"AAAAAG+/Q1c=")</f>
        <v>#VALUE!</v>
      </c>
      <c r="CK80" t="e">
        <f>AND('Planilla_General_07-12-2012_8_3'!N1195,"AAAAAG+/Q1g=")</f>
        <v>#VALUE!</v>
      </c>
      <c r="CL80" t="e">
        <f>AND('Planilla_General_07-12-2012_8_3'!O1195,"AAAAAG+/Q1k=")</f>
        <v>#VALUE!</v>
      </c>
      <c r="CM80" t="e">
        <f>AND('Planilla_General_07-12-2012_8_3'!P1195,"AAAAAG+/Q1o=")</f>
        <v>#VALUE!</v>
      </c>
      <c r="CN80">
        <f>IF('Planilla_General_07-12-2012_8_3'!1196:1196,"AAAAAG+/Q1s=",0)</f>
        <v>0</v>
      </c>
      <c r="CO80" t="e">
        <f>AND('Planilla_General_07-12-2012_8_3'!A1196,"AAAAAG+/Q1w=")</f>
        <v>#VALUE!</v>
      </c>
      <c r="CP80" t="e">
        <f>AND('Planilla_General_07-12-2012_8_3'!B1196,"AAAAAG+/Q10=")</f>
        <v>#VALUE!</v>
      </c>
      <c r="CQ80" t="e">
        <f>AND('Planilla_General_07-12-2012_8_3'!C1196,"AAAAAG+/Q14=")</f>
        <v>#VALUE!</v>
      </c>
      <c r="CR80" t="e">
        <f>AND('Planilla_General_07-12-2012_8_3'!D1196,"AAAAAG+/Q18=")</f>
        <v>#VALUE!</v>
      </c>
      <c r="CS80" t="e">
        <f>AND('Planilla_General_07-12-2012_8_3'!E1196,"AAAAAG+/Q2A=")</f>
        <v>#VALUE!</v>
      </c>
      <c r="CT80" t="e">
        <f>AND('Planilla_General_07-12-2012_8_3'!F1196,"AAAAAG+/Q2E=")</f>
        <v>#VALUE!</v>
      </c>
      <c r="CU80" t="e">
        <f>AND('Planilla_General_07-12-2012_8_3'!G1196,"AAAAAG+/Q2I=")</f>
        <v>#VALUE!</v>
      </c>
      <c r="CV80" t="e">
        <f>AND('Planilla_General_07-12-2012_8_3'!H1196,"AAAAAG+/Q2M=")</f>
        <v>#VALUE!</v>
      </c>
      <c r="CW80" t="e">
        <f>AND('Planilla_General_07-12-2012_8_3'!I1196,"AAAAAG+/Q2Q=")</f>
        <v>#VALUE!</v>
      </c>
      <c r="CX80" t="e">
        <f>AND('Planilla_General_07-12-2012_8_3'!J1196,"AAAAAG+/Q2U=")</f>
        <v>#VALUE!</v>
      </c>
      <c r="CY80" t="e">
        <f>AND('Planilla_General_07-12-2012_8_3'!K1196,"AAAAAG+/Q2Y=")</f>
        <v>#VALUE!</v>
      </c>
      <c r="CZ80" t="e">
        <f>AND('Planilla_General_07-12-2012_8_3'!L1196,"AAAAAG+/Q2c=")</f>
        <v>#VALUE!</v>
      </c>
      <c r="DA80" t="e">
        <f>AND('Planilla_General_07-12-2012_8_3'!M1196,"AAAAAG+/Q2g=")</f>
        <v>#VALUE!</v>
      </c>
      <c r="DB80" t="e">
        <f>AND('Planilla_General_07-12-2012_8_3'!N1196,"AAAAAG+/Q2k=")</f>
        <v>#VALUE!</v>
      </c>
      <c r="DC80" t="e">
        <f>AND('Planilla_General_07-12-2012_8_3'!O1196,"AAAAAG+/Q2o=")</f>
        <v>#VALUE!</v>
      </c>
      <c r="DD80" t="e">
        <f>AND('Planilla_General_07-12-2012_8_3'!P1196,"AAAAAG+/Q2s=")</f>
        <v>#VALUE!</v>
      </c>
      <c r="DE80">
        <f>IF('Planilla_General_07-12-2012_8_3'!1197:1197,"AAAAAG+/Q2w=",0)</f>
        <v>0</v>
      </c>
      <c r="DF80" t="e">
        <f>AND('Planilla_General_07-12-2012_8_3'!A1197,"AAAAAG+/Q20=")</f>
        <v>#VALUE!</v>
      </c>
      <c r="DG80" t="e">
        <f>AND('Planilla_General_07-12-2012_8_3'!B1197,"AAAAAG+/Q24=")</f>
        <v>#VALUE!</v>
      </c>
      <c r="DH80" t="e">
        <f>AND('Planilla_General_07-12-2012_8_3'!C1197,"AAAAAG+/Q28=")</f>
        <v>#VALUE!</v>
      </c>
      <c r="DI80" t="e">
        <f>AND('Planilla_General_07-12-2012_8_3'!D1197,"AAAAAG+/Q3A=")</f>
        <v>#VALUE!</v>
      </c>
      <c r="DJ80" t="e">
        <f>AND('Planilla_General_07-12-2012_8_3'!E1197,"AAAAAG+/Q3E=")</f>
        <v>#VALUE!</v>
      </c>
      <c r="DK80" t="e">
        <f>AND('Planilla_General_07-12-2012_8_3'!F1197,"AAAAAG+/Q3I=")</f>
        <v>#VALUE!</v>
      </c>
      <c r="DL80" t="e">
        <f>AND('Planilla_General_07-12-2012_8_3'!G1197,"AAAAAG+/Q3M=")</f>
        <v>#VALUE!</v>
      </c>
      <c r="DM80" t="e">
        <f>AND('Planilla_General_07-12-2012_8_3'!H1197,"AAAAAG+/Q3Q=")</f>
        <v>#VALUE!</v>
      </c>
      <c r="DN80" t="e">
        <f>AND('Planilla_General_07-12-2012_8_3'!I1197,"AAAAAG+/Q3U=")</f>
        <v>#VALUE!</v>
      </c>
      <c r="DO80" t="e">
        <f>AND('Planilla_General_07-12-2012_8_3'!J1197,"AAAAAG+/Q3Y=")</f>
        <v>#VALUE!</v>
      </c>
      <c r="DP80" t="e">
        <f>AND('Planilla_General_07-12-2012_8_3'!K1197,"AAAAAG+/Q3c=")</f>
        <v>#VALUE!</v>
      </c>
      <c r="DQ80" t="e">
        <f>AND('Planilla_General_07-12-2012_8_3'!L1197,"AAAAAG+/Q3g=")</f>
        <v>#VALUE!</v>
      </c>
      <c r="DR80" t="e">
        <f>AND('Planilla_General_07-12-2012_8_3'!M1197,"AAAAAG+/Q3k=")</f>
        <v>#VALUE!</v>
      </c>
      <c r="DS80" t="e">
        <f>AND('Planilla_General_07-12-2012_8_3'!N1197,"AAAAAG+/Q3o=")</f>
        <v>#VALUE!</v>
      </c>
      <c r="DT80" t="e">
        <f>AND('Planilla_General_07-12-2012_8_3'!O1197,"AAAAAG+/Q3s=")</f>
        <v>#VALUE!</v>
      </c>
      <c r="DU80" t="e">
        <f>AND('Planilla_General_07-12-2012_8_3'!P1197,"AAAAAG+/Q3w=")</f>
        <v>#VALUE!</v>
      </c>
      <c r="DV80">
        <f>IF('Planilla_General_07-12-2012_8_3'!1198:1198,"AAAAAG+/Q30=",0)</f>
        <v>0</v>
      </c>
      <c r="DW80" t="e">
        <f>AND('Planilla_General_07-12-2012_8_3'!A1198,"AAAAAG+/Q34=")</f>
        <v>#VALUE!</v>
      </c>
      <c r="DX80" t="e">
        <f>AND('Planilla_General_07-12-2012_8_3'!B1198,"AAAAAG+/Q38=")</f>
        <v>#VALUE!</v>
      </c>
      <c r="DY80" t="e">
        <f>AND('Planilla_General_07-12-2012_8_3'!C1198,"AAAAAG+/Q4A=")</f>
        <v>#VALUE!</v>
      </c>
      <c r="DZ80" t="e">
        <f>AND('Planilla_General_07-12-2012_8_3'!D1198,"AAAAAG+/Q4E=")</f>
        <v>#VALUE!</v>
      </c>
      <c r="EA80" t="e">
        <f>AND('Planilla_General_07-12-2012_8_3'!E1198,"AAAAAG+/Q4I=")</f>
        <v>#VALUE!</v>
      </c>
      <c r="EB80" t="e">
        <f>AND('Planilla_General_07-12-2012_8_3'!F1198,"AAAAAG+/Q4M=")</f>
        <v>#VALUE!</v>
      </c>
      <c r="EC80" t="e">
        <f>AND('Planilla_General_07-12-2012_8_3'!G1198,"AAAAAG+/Q4Q=")</f>
        <v>#VALUE!</v>
      </c>
      <c r="ED80" t="e">
        <f>AND('Planilla_General_07-12-2012_8_3'!H1198,"AAAAAG+/Q4U=")</f>
        <v>#VALUE!</v>
      </c>
      <c r="EE80" t="e">
        <f>AND('Planilla_General_07-12-2012_8_3'!I1198,"AAAAAG+/Q4Y=")</f>
        <v>#VALUE!</v>
      </c>
      <c r="EF80" t="e">
        <f>AND('Planilla_General_07-12-2012_8_3'!J1198,"AAAAAG+/Q4c=")</f>
        <v>#VALUE!</v>
      </c>
      <c r="EG80" t="e">
        <f>AND('Planilla_General_07-12-2012_8_3'!K1198,"AAAAAG+/Q4g=")</f>
        <v>#VALUE!</v>
      </c>
      <c r="EH80" t="e">
        <f>AND('Planilla_General_07-12-2012_8_3'!L1198,"AAAAAG+/Q4k=")</f>
        <v>#VALUE!</v>
      </c>
      <c r="EI80" t="e">
        <f>AND('Planilla_General_07-12-2012_8_3'!M1198,"AAAAAG+/Q4o=")</f>
        <v>#VALUE!</v>
      </c>
      <c r="EJ80" t="e">
        <f>AND('Planilla_General_07-12-2012_8_3'!N1198,"AAAAAG+/Q4s=")</f>
        <v>#VALUE!</v>
      </c>
      <c r="EK80" t="e">
        <f>AND('Planilla_General_07-12-2012_8_3'!O1198,"AAAAAG+/Q4w=")</f>
        <v>#VALUE!</v>
      </c>
      <c r="EL80" t="e">
        <f>AND('Planilla_General_07-12-2012_8_3'!P1198,"AAAAAG+/Q40=")</f>
        <v>#VALUE!</v>
      </c>
      <c r="EM80">
        <f>IF('Planilla_General_07-12-2012_8_3'!1199:1199,"AAAAAG+/Q44=",0)</f>
        <v>0</v>
      </c>
      <c r="EN80" t="e">
        <f>AND('Planilla_General_07-12-2012_8_3'!A1199,"AAAAAG+/Q48=")</f>
        <v>#VALUE!</v>
      </c>
      <c r="EO80" t="e">
        <f>AND('Planilla_General_07-12-2012_8_3'!B1199,"AAAAAG+/Q5A=")</f>
        <v>#VALUE!</v>
      </c>
      <c r="EP80" t="e">
        <f>AND('Planilla_General_07-12-2012_8_3'!C1199,"AAAAAG+/Q5E=")</f>
        <v>#VALUE!</v>
      </c>
      <c r="EQ80" t="e">
        <f>AND('Planilla_General_07-12-2012_8_3'!D1199,"AAAAAG+/Q5I=")</f>
        <v>#VALUE!</v>
      </c>
      <c r="ER80" t="e">
        <f>AND('Planilla_General_07-12-2012_8_3'!E1199,"AAAAAG+/Q5M=")</f>
        <v>#VALUE!</v>
      </c>
      <c r="ES80" t="e">
        <f>AND('Planilla_General_07-12-2012_8_3'!F1199,"AAAAAG+/Q5Q=")</f>
        <v>#VALUE!</v>
      </c>
      <c r="ET80" t="e">
        <f>AND('Planilla_General_07-12-2012_8_3'!G1199,"AAAAAG+/Q5U=")</f>
        <v>#VALUE!</v>
      </c>
      <c r="EU80" t="e">
        <f>AND('Planilla_General_07-12-2012_8_3'!H1199,"AAAAAG+/Q5Y=")</f>
        <v>#VALUE!</v>
      </c>
      <c r="EV80" t="e">
        <f>AND('Planilla_General_07-12-2012_8_3'!I1199,"AAAAAG+/Q5c=")</f>
        <v>#VALUE!</v>
      </c>
      <c r="EW80" t="e">
        <f>AND('Planilla_General_07-12-2012_8_3'!J1199,"AAAAAG+/Q5g=")</f>
        <v>#VALUE!</v>
      </c>
      <c r="EX80" t="e">
        <f>AND('Planilla_General_07-12-2012_8_3'!K1199,"AAAAAG+/Q5k=")</f>
        <v>#VALUE!</v>
      </c>
      <c r="EY80" t="e">
        <f>AND('Planilla_General_07-12-2012_8_3'!L1199,"AAAAAG+/Q5o=")</f>
        <v>#VALUE!</v>
      </c>
      <c r="EZ80" t="e">
        <f>AND('Planilla_General_07-12-2012_8_3'!M1199,"AAAAAG+/Q5s=")</f>
        <v>#VALUE!</v>
      </c>
      <c r="FA80" t="e">
        <f>AND('Planilla_General_07-12-2012_8_3'!N1199,"AAAAAG+/Q5w=")</f>
        <v>#VALUE!</v>
      </c>
      <c r="FB80" t="e">
        <f>AND('Planilla_General_07-12-2012_8_3'!O1199,"AAAAAG+/Q50=")</f>
        <v>#VALUE!</v>
      </c>
      <c r="FC80" t="e">
        <f>AND('Planilla_General_07-12-2012_8_3'!P1199,"AAAAAG+/Q54=")</f>
        <v>#VALUE!</v>
      </c>
      <c r="FD80">
        <f>IF('Planilla_General_07-12-2012_8_3'!1200:1200,"AAAAAG+/Q58=",0)</f>
        <v>0</v>
      </c>
      <c r="FE80" t="e">
        <f>AND('Planilla_General_07-12-2012_8_3'!A1200,"AAAAAG+/Q6A=")</f>
        <v>#VALUE!</v>
      </c>
      <c r="FF80" t="e">
        <f>AND('Planilla_General_07-12-2012_8_3'!B1200,"AAAAAG+/Q6E=")</f>
        <v>#VALUE!</v>
      </c>
      <c r="FG80" t="e">
        <f>AND('Planilla_General_07-12-2012_8_3'!C1200,"AAAAAG+/Q6I=")</f>
        <v>#VALUE!</v>
      </c>
      <c r="FH80" t="e">
        <f>AND('Planilla_General_07-12-2012_8_3'!D1200,"AAAAAG+/Q6M=")</f>
        <v>#VALUE!</v>
      </c>
      <c r="FI80" t="e">
        <f>AND('Planilla_General_07-12-2012_8_3'!E1200,"AAAAAG+/Q6Q=")</f>
        <v>#VALUE!</v>
      </c>
      <c r="FJ80" t="e">
        <f>AND('Planilla_General_07-12-2012_8_3'!F1200,"AAAAAG+/Q6U=")</f>
        <v>#VALUE!</v>
      </c>
      <c r="FK80" t="e">
        <f>AND('Planilla_General_07-12-2012_8_3'!G1200,"AAAAAG+/Q6Y=")</f>
        <v>#VALUE!</v>
      </c>
      <c r="FL80" t="e">
        <f>AND('Planilla_General_07-12-2012_8_3'!H1200,"AAAAAG+/Q6c=")</f>
        <v>#VALUE!</v>
      </c>
      <c r="FM80" t="e">
        <f>AND('Planilla_General_07-12-2012_8_3'!I1200,"AAAAAG+/Q6g=")</f>
        <v>#VALUE!</v>
      </c>
      <c r="FN80" t="e">
        <f>AND('Planilla_General_07-12-2012_8_3'!J1200,"AAAAAG+/Q6k=")</f>
        <v>#VALUE!</v>
      </c>
      <c r="FO80" t="e">
        <f>AND('Planilla_General_07-12-2012_8_3'!K1200,"AAAAAG+/Q6o=")</f>
        <v>#VALUE!</v>
      </c>
      <c r="FP80" t="e">
        <f>AND('Planilla_General_07-12-2012_8_3'!L1200,"AAAAAG+/Q6s=")</f>
        <v>#VALUE!</v>
      </c>
      <c r="FQ80" t="e">
        <f>AND('Planilla_General_07-12-2012_8_3'!M1200,"AAAAAG+/Q6w=")</f>
        <v>#VALUE!</v>
      </c>
      <c r="FR80" t="e">
        <f>AND('Planilla_General_07-12-2012_8_3'!N1200,"AAAAAG+/Q60=")</f>
        <v>#VALUE!</v>
      </c>
      <c r="FS80" t="e">
        <f>AND('Planilla_General_07-12-2012_8_3'!O1200,"AAAAAG+/Q64=")</f>
        <v>#VALUE!</v>
      </c>
      <c r="FT80" t="e">
        <f>AND('Planilla_General_07-12-2012_8_3'!P1200,"AAAAAG+/Q68=")</f>
        <v>#VALUE!</v>
      </c>
      <c r="FU80">
        <f>IF('Planilla_General_07-12-2012_8_3'!1201:1201,"AAAAAG+/Q7A=",0)</f>
        <v>0</v>
      </c>
      <c r="FV80" t="e">
        <f>AND('Planilla_General_07-12-2012_8_3'!A1201,"AAAAAG+/Q7E=")</f>
        <v>#VALUE!</v>
      </c>
      <c r="FW80" t="e">
        <f>AND('Planilla_General_07-12-2012_8_3'!B1201,"AAAAAG+/Q7I=")</f>
        <v>#VALUE!</v>
      </c>
      <c r="FX80" t="e">
        <f>AND('Planilla_General_07-12-2012_8_3'!C1201,"AAAAAG+/Q7M=")</f>
        <v>#VALUE!</v>
      </c>
      <c r="FY80" t="e">
        <f>AND('Planilla_General_07-12-2012_8_3'!D1201,"AAAAAG+/Q7Q=")</f>
        <v>#VALUE!</v>
      </c>
      <c r="FZ80" t="e">
        <f>AND('Planilla_General_07-12-2012_8_3'!E1201,"AAAAAG+/Q7U=")</f>
        <v>#VALUE!</v>
      </c>
      <c r="GA80" t="e">
        <f>AND('Planilla_General_07-12-2012_8_3'!F1201,"AAAAAG+/Q7Y=")</f>
        <v>#VALUE!</v>
      </c>
      <c r="GB80" t="e">
        <f>AND('Planilla_General_07-12-2012_8_3'!G1201,"AAAAAG+/Q7c=")</f>
        <v>#VALUE!</v>
      </c>
      <c r="GC80" t="e">
        <f>AND('Planilla_General_07-12-2012_8_3'!H1201,"AAAAAG+/Q7g=")</f>
        <v>#VALUE!</v>
      </c>
      <c r="GD80" t="e">
        <f>AND('Planilla_General_07-12-2012_8_3'!I1201,"AAAAAG+/Q7k=")</f>
        <v>#VALUE!</v>
      </c>
      <c r="GE80" t="e">
        <f>AND('Planilla_General_07-12-2012_8_3'!J1201,"AAAAAG+/Q7o=")</f>
        <v>#VALUE!</v>
      </c>
      <c r="GF80" t="e">
        <f>AND('Planilla_General_07-12-2012_8_3'!K1201,"AAAAAG+/Q7s=")</f>
        <v>#VALUE!</v>
      </c>
      <c r="GG80" t="e">
        <f>AND('Planilla_General_07-12-2012_8_3'!L1201,"AAAAAG+/Q7w=")</f>
        <v>#VALUE!</v>
      </c>
      <c r="GH80" t="e">
        <f>AND('Planilla_General_07-12-2012_8_3'!M1201,"AAAAAG+/Q70=")</f>
        <v>#VALUE!</v>
      </c>
      <c r="GI80" t="e">
        <f>AND('Planilla_General_07-12-2012_8_3'!N1201,"AAAAAG+/Q74=")</f>
        <v>#VALUE!</v>
      </c>
      <c r="GJ80" t="e">
        <f>AND('Planilla_General_07-12-2012_8_3'!O1201,"AAAAAG+/Q78=")</f>
        <v>#VALUE!</v>
      </c>
      <c r="GK80" t="e">
        <f>AND('Planilla_General_07-12-2012_8_3'!P1201,"AAAAAG+/Q8A=")</f>
        <v>#VALUE!</v>
      </c>
      <c r="GL80">
        <f>IF('Planilla_General_07-12-2012_8_3'!1202:1202,"AAAAAG+/Q8E=",0)</f>
        <v>0</v>
      </c>
      <c r="GM80" t="e">
        <f>AND('Planilla_General_07-12-2012_8_3'!A1202,"AAAAAG+/Q8I=")</f>
        <v>#VALUE!</v>
      </c>
      <c r="GN80" t="e">
        <f>AND('Planilla_General_07-12-2012_8_3'!B1202,"AAAAAG+/Q8M=")</f>
        <v>#VALUE!</v>
      </c>
      <c r="GO80" t="e">
        <f>AND('Planilla_General_07-12-2012_8_3'!C1202,"AAAAAG+/Q8Q=")</f>
        <v>#VALUE!</v>
      </c>
      <c r="GP80" t="e">
        <f>AND('Planilla_General_07-12-2012_8_3'!D1202,"AAAAAG+/Q8U=")</f>
        <v>#VALUE!</v>
      </c>
      <c r="GQ80" t="e">
        <f>AND('Planilla_General_07-12-2012_8_3'!E1202,"AAAAAG+/Q8Y=")</f>
        <v>#VALUE!</v>
      </c>
      <c r="GR80" t="e">
        <f>AND('Planilla_General_07-12-2012_8_3'!F1202,"AAAAAG+/Q8c=")</f>
        <v>#VALUE!</v>
      </c>
      <c r="GS80" t="e">
        <f>AND('Planilla_General_07-12-2012_8_3'!G1202,"AAAAAG+/Q8g=")</f>
        <v>#VALUE!</v>
      </c>
      <c r="GT80" t="e">
        <f>AND('Planilla_General_07-12-2012_8_3'!H1202,"AAAAAG+/Q8k=")</f>
        <v>#VALUE!</v>
      </c>
      <c r="GU80" t="e">
        <f>AND('Planilla_General_07-12-2012_8_3'!I1202,"AAAAAG+/Q8o=")</f>
        <v>#VALUE!</v>
      </c>
      <c r="GV80" t="e">
        <f>AND('Planilla_General_07-12-2012_8_3'!J1202,"AAAAAG+/Q8s=")</f>
        <v>#VALUE!</v>
      </c>
      <c r="GW80" t="e">
        <f>AND('Planilla_General_07-12-2012_8_3'!K1202,"AAAAAG+/Q8w=")</f>
        <v>#VALUE!</v>
      </c>
      <c r="GX80" t="e">
        <f>AND('Planilla_General_07-12-2012_8_3'!L1202,"AAAAAG+/Q80=")</f>
        <v>#VALUE!</v>
      </c>
      <c r="GY80" t="e">
        <f>AND('Planilla_General_07-12-2012_8_3'!M1202,"AAAAAG+/Q84=")</f>
        <v>#VALUE!</v>
      </c>
      <c r="GZ80" t="e">
        <f>AND('Planilla_General_07-12-2012_8_3'!N1202,"AAAAAG+/Q88=")</f>
        <v>#VALUE!</v>
      </c>
      <c r="HA80" t="e">
        <f>AND('Planilla_General_07-12-2012_8_3'!O1202,"AAAAAG+/Q9A=")</f>
        <v>#VALUE!</v>
      </c>
      <c r="HB80" t="e">
        <f>AND('Planilla_General_07-12-2012_8_3'!P1202,"AAAAAG+/Q9E=")</f>
        <v>#VALUE!</v>
      </c>
      <c r="HC80">
        <f>IF('Planilla_General_07-12-2012_8_3'!1203:1203,"AAAAAG+/Q9I=",0)</f>
        <v>0</v>
      </c>
      <c r="HD80" t="e">
        <f>AND('Planilla_General_07-12-2012_8_3'!A1203,"AAAAAG+/Q9M=")</f>
        <v>#VALUE!</v>
      </c>
      <c r="HE80" t="e">
        <f>AND('Planilla_General_07-12-2012_8_3'!B1203,"AAAAAG+/Q9Q=")</f>
        <v>#VALUE!</v>
      </c>
      <c r="HF80" t="e">
        <f>AND('Planilla_General_07-12-2012_8_3'!C1203,"AAAAAG+/Q9U=")</f>
        <v>#VALUE!</v>
      </c>
      <c r="HG80" t="e">
        <f>AND('Planilla_General_07-12-2012_8_3'!D1203,"AAAAAG+/Q9Y=")</f>
        <v>#VALUE!</v>
      </c>
      <c r="HH80" t="e">
        <f>AND('Planilla_General_07-12-2012_8_3'!E1203,"AAAAAG+/Q9c=")</f>
        <v>#VALUE!</v>
      </c>
      <c r="HI80" t="e">
        <f>AND('Planilla_General_07-12-2012_8_3'!F1203,"AAAAAG+/Q9g=")</f>
        <v>#VALUE!</v>
      </c>
      <c r="HJ80" t="e">
        <f>AND('Planilla_General_07-12-2012_8_3'!G1203,"AAAAAG+/Q9k=")</f>
        <v>#VALUE!</v>
      </c>
      <c r="HK80" t="e">
        <f>AND('Planilla_General_07-12-2012_8_3'!H1203,"AAAAAG+/Q9o=")</f>
        <v>#VALUE!</v>
      </c>
      <c r="HL80" t="e">
        <f>AND('Planilla_General_07-12-2012_8_3'!I1203,"AAAAAG+/Q9s=")</f>
        <v>#VALUE!</v>
      </c>
      <c r="HM80" t="e">
        <f>AND('Planilla_General_07-12-2012_8_3'!J1203,"AAAAAG+/Q9w=")</f>
        <v>#VALUE!</v>
      </c>
      <c r="HN80" t="e">
        <f>AND('Planilla_General_07-12-2012_8_3'!K1203,"AAAAAG+/Q90=")</f>
        <v>#VALUE!</v>
      </c>
      <c r="HO80" t="e">
        <f>AND('Planilla_General_07-12-2012_8_3'!L1203,"AAAAAG+/Q94=")</f>
        <v>#VALUE!</v>
      </c>
      <c r="HP80" t="e">
        <f>AND('Planilla_General_07-12-2012_8_3'!M1203,"AAAAAG+/Q98=")</f>
        <v>#VALUE!</v>
      </c>
      <c r="HQ80" t="e">
        <f>AND('Planilla_General_07-12-2012_8_3'!N1203,"AAAAAG+/Q+A=")</f>
        <v>#VALUE!</v>
      </c>
      <c r="HR80" t="e">
        <f>AND('Planilla_General_07-12-2012_8_3'!O1203,"AAAAAG+/Q+E=")</f>
        <v>#VALUE!</v>
      </c>
      <c r="HS80" t="e">
        <f>AND('Planilla_General_07-12-2012_8_3'!P1203,"AAAAAG+/Q+I=")</f>
        <v>#VALUE!</v>
      </c>
      <c r="HT80">
        <f>IF('Planilla_General_07-12-2012_8_3'!1204:1204,"AAAAAG+/Q+M=",0)</f>
        <v>0</v>
      </c>
      <c r="HU80" t="e">
        <f>AND('Planilla_General_07-12-2012_8_3'!A1204,"AAAAAG+/Q+Q=")</f>
        <v>#VALUE!</v>
      </c>
      <c r="HV80" t="e">
        <f>AND('Planilla_General_07-12-2012_8_3'!B1204,"AAAAAG+/Q+U=")</f>
        <v>#VALUE!</v>
      </c>
      <c r="HW80" t="e">
        <f>AND('Planilla_General_07-12-2012_8_3'!C1204,"AAAAAG+/Q+Y=")</f>
        <v>#VALUE!</v>
      </c>
      <c r="HX80" t="e">
        <f>AND('Planilla_General_07-12-2012_8_3'!D1204,"AAAAAG+/Q+c=")</f>
        <v>#VALUE!</v>
      </c>
      <c r="HY80" t="e">
        <f>AND('Planilla_General_07-12-2012_8_3'!E1204,"AAAAAG+/Q+g=")</f>
        <v>#VALUE!</v>
      </c>
      <c r="HZ80" t="e">
        <f>AND('Planilla_General_07-12-2012_8_3'!F1204,"AAAAAG+/Q+k=")</f>
        <v>#VALUE!</v>
      </c>
      <c r="IA80" t="e">
        <f>AND('Planilla_General_07-12-2012_8_3'!G1204,"AAAAAG+/Q+o=")</f>
        <v>#VALUE!</v>
      </c>
      <c r="IB80" t="e">
        <f>AND('Planilla_General_07-12-2012_8_3'!H1204,"AAAAAG+/Q+s=")</f>
        <v>#VALUE!</v>
      </c>
      <c r="IC80" t="e">
        <f>AND('Planilla_General_07-12-2012_8_3'!I1204,"AAAAAG+/Q+w=")</f>
        <v>#VALUE!</v>
      </c>
      <c r="ID80" t="e">
        <f>AND('Planilla_General_07-12-2012_8_3'!J1204,"AAAAAG+/Q+0=")</f>
        <v>#VALUE!</v>
      </c>
      <c r="IE80" t="e">
        <f>AND('Planilla_General_07-12-2012_8_3'!K1204,"AAAAAG+/Q+4=")</f>
        <v>#VALUE!</v>
      </c>
      <c r="IF80" t="e">
        <f>AND('Planilla_General_07-12-2012_8_3'!L1204,"AAAAAG+/Q+8=")</f>
        <v>#VALUE!</v>
      </c>
      <c r="IG80" t="e">
        <f>AND('Planilla_General_07-12-2012_8_3'!M1204,"AAAAAG+/Q/A=")</f>
        <v>#VALUE!</v>
      </c>
      <c r="IH80" t="e">
        <f>AND('Planilla_General_07-12-2012_8_3'!N1204,"AAAAAG+/Q/E=")</f>
        <v>#VALUE!</v>
      </c>
      <c r="II80" t="e">
        <f>AND('Planilla_General_07-12-2012_8_3'!O1204,"AAAAAG+/Q/I=")</f>
        <v>#VALUE!</v>
      </c>
      <c r="IJ80" t="e">
        <f>AND('Planilla_General_07-12-2012_8_3'!P1204,"AAAAAG+/Q/M=")</f>
        <v>#VALUE!</v>
      </c>
      <c r="IK80">
        <f>IF('Planilla_General_07-12-2012_8_3'!1205:1205,"AAAAAG+/Q/Q=",0)</f>
        <v>0</v>
      </c>
      <c r="IL80" t="e">
        <f>AND('Planilla_General_07-12-2012_8_3'!A1205,"AAAAAG+/Q/U=")</f>
        <v>#VALUE!</v>
      </c>
      <c r="IM80" t="e">
        <f>AND('Planilla_General_07-12-2012_8_3'!B1205,"AAAAAG+/Q/Y=")</f>
        <v>#VALUE!</v>
      </c>
      <c r="IN80" t="e">
        <f>AND('Planilla_General_07-12-2012_8_3'!C1205,"AAAAAG+/Q/c=")</f>
        <v>#VALUE!</v>
      </c>
      <c r="IO80" t="e">
        <f>AND('Planilla_General_07-12-2012_8_3'!D1205,"AAAAAG+/Q/g=")</f>
        <v>#VALUE!</v>
      </c>
      <c r="IP80" t="e">
        <f>AND('Planilla_General_07-12-2012_8_3'!E1205,"AAAAAG+/Q/k=")</f>
        <v>#VALUE!</v>
      </c>
      <c r="IQ80" t="e">
        <f>AND('Planilla_General_07-12-2012_8_3'!F1205,"AAAAAG+/Q/o=")</f>
        <v>#VALUE!</v>
      </c>
      <c r="IR80" t="e">
        <f>AND('Planilla_General_07-12-2012_8_3'!G1205,"AAAAAG+/Q/s=")</f>
        <v>#VALUE!</v>
      </c>
      <c r="IS80" t="e">
        <f>AND('Planilla_General_07-12-2012_8_3'!H1205,"AAAAAG+/Q/w=")</f>
        <v>#VALUE!</v>
      </c>
      <c r="IT80" t="e">
        <f>AND('Planilla_General_07-12-2012_8_3'!I1205,"AAAAAG+/Q/0=")</f>
        <v>#VALUE!</v>
      </c>
      <c r="IU80" t="e">
        <f>AND('Planilla_General_07-12-2012_8_3'!J1205,"AAAAAG+/Q/4=")</f>
        <v>#VALUE!</v>
      </c>
      <c r="IV80" t="e">
        <f>AND('Planilla_General_07-12-2012_8_3'!K1205,"AAAAAG+/Q/8=")</f>
        <v>#VALUE!</v>
      </c>
    </row>
    <row r="81" spans="1:256" x14ac:dyDescent="0.25">
      <c r="A81" t="e">
        <f>AND('Planilla_General_07-12-2012_8_3'!L1205,"AAAAAHz/LAA=")</f>
        <v>#VALUE!</v>
      </c>
      <c r="B81" t="e">
        <f>AND('Planilla_General_07-12-2012_8_3'!M1205,"AAAAAHz/LAE=")</f>
        <v>#VALUE!</v>
      </c>
      <c r="C81" t="e">
        <f>AND('Planilla_General_07-12-2012_8_3'!N1205,"AAAAAHz/LAI=")</f>
        <v>#VALUE!</v>
      </c>
      <c r="D81" t="e">
        <f>AND('Planilla_General_07-12-2012_8_3'!O1205,"AAAAAHz/LAM=")</f>
        <v>#VALUE!</v>
      </c>
      <c r="E81" t="e">
        <f>AND('Planilla_General_07-12-2012_8_3'!P1205,"AAAAAHz/LAQ=")</f>
        <v>#VALUE!</v>
      </c>
      <c r="F81" t="e">
        <f>IF('Planilla_General_07-12-2012_8_3'!1206:1206,"AAAAAHz/LAU=",0)</f>
        <v>#VALUE!</v>
      </c>
      <c r="G81" t="e">
        <f>AND('Planilla_General_07-12-2012_8_3'!A1206,"AAAAAHz/LAY=")</f>
        <v>#VALUE!</v>
      </c>
      <c r="H81" t="e">
        <f>AND('Planilla_General_07-12-2012_8_3'!B1206,"AAAAAHz/LAc=")</f>
        <v>#VALUE!</v>
      </c>
      <c r="I81" t="e">
        <f>AND('Planilla_General_07-12-2012_8_3'!C1206,"AAAAAHz/LAg=")</f>
        <v>#VALUE!</v>
      </c>
      <c r="J81" t="e">
        <f>AND('Planilla_General_07-12-2012_8_3'!D1206,"AAAAAHz/LAk=")</f>
        <v>#VALUE!</v>
      </c>
      <c r="K81" t="e">
        <f>AND('Planilla_General_07-12-2012_8_3'!E1206,"AAAAAHz/LAo=")</f>
        <v>#VALUE!</v>
      </c>
      <c r="L81" t="e">
        <f>AND('Planilla_General_07-12-2012_8_3'!F1206,"AAAAAHz/LAs=")</f>
        <v>#VALUE!</v>
      </c>
      <c r="M81" t="e">
        <f>AND('Planilla_General_07-12-2012_8_3'!G1206,"AAAAAHz/LAw=")</f>
        <v>#VALUE!</v>
      </c>
      <c r="N81" t="e">
        <f>AND('Planilla_General_07-12-2012_8_3'!H1206,"AAAAAHz/LA0=")</f>
        <v>#VALUE!</v>
      </c>
      <c r="O81" t="e">
        <f>AND('Planilla_General_07-12-2012_8_3'!I1206,"AAAAAHz/LA4=")</f>
        <v>#VALUE!</v>
      </c>
      <c r="P81" t="e">
        <f>AND('Planilla_General_07-12-2012_8_3'!J1206,"AAAAAHz/LA8=")</f>
        <v>#VALUE!</v>
      </c>
      <c r="Q81" t="e">
        <f>AND('Planilla_General_07-12-2012_8_3'!K1206,"AAAAAHz/LBA=")</f>
        <v>#VALUE!</v>
      </c>
      <c r="R81" t="e">
        <f>AND('Planilla_General_07-12-2012_8_3'!L1206,"AAAAAHz/LBE=")</f>
        <v>#VALUE!</v>
      </c>
      <c r="S81" t="e">
        <f>AND('Planilla_General_07-12-2012_8_3'!M1206,"AAAAAHz/LBI=")</f>
        <v>#VALUE!</v>
      </c>
      <c r="T81" t="e">
        <f>AND('Planilla_General_07-12-2012_8_3'!N1206,"AAAAAHz/LBM=")</f>
        <v>#VALUE!</v>
      </c>
      <c r="U81" t="e">
        <f>AND('Planilla_General_07-12-2012_8_3'!O1206,"AAAAAHz/LBQ=")</f>
        <v>#VALUE!</v>
      </c>
      <c r="V81" t="e">
        <f>AND('Planilla_General_07-12-2012_8_3'!P1206,"AAAAAHz/LBU=")</f>
        <v>#VALUE!</v>
      </c>
      <c r="W81">
        <f>IF('Planilla_General_07-12-2012_8_3'!1207:1207,"AAAAAHz/LBY=",0)</f>
        <v>0</v>
      </c>
      <c r="X81" t="e">
        <f>AND('Planilla_General_07-12-2012_8_3'!A1207,"AAAAAHz/LBc=")</f>
        <v>#VALUE!</v>
      </c>
      <c r="Y81" t="e">
        <f>AND('Planilla_General_07-12-2012_8_3'!B1207,"AAAAAHz/LBg=")</f>
        <v>#VALUE!</v>
      </c>
      <c r="Z81" t="e">
        <f>AND('Planilla_General_07-12-2012_8_3'!C1207,"AAAAAHz/LBk=")</f>
        <v>#VALUE!</v>
      </c>
      <c r="AA81" t="e">
        <f>AND('Planilla_General_07-12-2012_8_3'!D1207,"AAAAAHz/LBo=")</f>
        <v>#VALUE!</v>
      </c>
      <c r="AB81" t="e">
        <f>AND('Planilla_General_07-12-2012_8_3'!E1207,"AAAAAHz/LBs=")</f>
        <v>#VALUE!</v>
      </c>
      <c r="AC81" t="e">
        <f>AND('Planilla_General_07-12-2012_8_3'!F1207,"AAAAAHz/LBw=")</f>
        <v>#VALUE!</v>
      </c>
      <c r="AD81" t="e">
        <f>AND('Planilla_General_07-12-2012_8_3'!G1207,"AAAAAHz/LB0=")</f>
        <v>#VALUE!</v>
      </c>
      <c r="AE81" t="e">
        <f>AND('Planilla_General_07-12-2012_8_3'!H1207,"AAAAAHz/LB4=")</f>
        <v>#VALUE!</v>
      </c>
      <c r="AF81" t="e">
        <f>AND('Planilla_General_07-12-2012_8_3'!I1207,"AAAAAHz/LB8=")</f>
        <v>#VALUE!</v>
      </c>
      <c r="AG81" t="e">
        <f>AND('Planilla_General_07-12-2012_8_3'!J1207,"AAAAAHz/LCA=")</f>
        <v>#VALUE!</v>
      </c>
      <c r="AH81" t="e">
        <f>AND('Planilla_General_07-12-2012_8_3'!K1207,"AAAAAHz/LCE=")</f>
        <v>#VALUE!</v>
      </c>
      <c r="AI81" t="e">
        <f>AND('Planilla_General_07-12-2012_8_3'!L1207,"AAAAAHz/LCI=")</f>
        <v>#VALUE!</v>
      </c>
      <c r="AJ81" t="e">
        <f>AND('Planilla_General_07-12-2012_8_3'!M1207,"AAAAAHz/LCM=")</f>
        <v>#VALUE!</v>
      </c>
      <c r="AK81" t="e">
        <f>AND('Planilla_General_07-12-2012_8_3'!N1207,"AAAAAHz/LCQ=")</f>
        <v>#VALUE!</v>
      </c>
      <c r="AL81" t="e">
        <f>AND('Planilla_General_07-12-2012_8_3'!O1207,"AAAAAHz/LCU=")</f>
        <v>#VALUE!</v>
      </c>
      <c r="AM81" t="e">
        <f>AND('Planilla_General_07-12-2012_8_3'!P1207,"AAAAAHz/LCY=")</f>
        <v>#VALUE!</v>
      </c>
      <c r="AN81">
        <f>IF('Planilla_General_07-12-2012_8_3'!1208:1208,"AAAAAHz/LCc=",0)</f>
        <v>0</v>
      </c>
      <c r="AO81" t="e">
        <f>AND('Planilla_General_07-12-2012_8_3'!A1208,"AAAAAHz/LCg=")</f>
        <v>#VALUE!</v>
      </c>
      <c r="AP81" t="e">
        <f>AND('Planilla_General_07-12-2012_8_3'!B1208,"AAAAAHz/LCk=")</f>
        <v>#VALUE!</v>
      </c>
      <c r="AQ81" t="e">
        <f>AND('Planilla_General_07-12-2012_8_3'!C1208,"AAAAAHz/LCo=")</f>
        <v>#VALUE!</v>
      </c>
      <c r="AR81" t="e">
        <f>AND('Planilla_General_07-12-2012_8_3'!D1208,"AAAAAHz/LCs=")</f>
        <v>#VALUE!</v>
      </c>
      <c r="AS81" t="e">
        <f>AND('Planilla_General_07-12-2012_8_3'!E1208,"AAAAAHz/LCw=")</f>
        <v>#VALUE!</v>
      </c>
      <c r="AT81" t="e">
        <f>AND('Planilla_General_07-12-2012_8_3'!F1208,"AAAAAHz/LC0=")</f>
        <v>#VALUE!</v>
      </c>
      <c r="AU81" t="e">
        <f>AND('Planilla_General_07-12-2012_8_3'!G1208,"AAAAAHz/LC4=")</f>
        <v>#VALUE!</v>
      </c>
      <c r="AV81" t="e">
        <f>AND('Planilla_General_07-12-2012_8_3'!H1208,"AAAAAHz/LC8=")</f>
        <v>#VALUE!</v>
      </c>
      <c r="AW81" t="e">
        <f>AND('Planilla_General_07-12-2012_8_3'!I1208,"AAAAAHz/LDA=")</f>
        <v>#VALUE!</v>
      </c>
      <c r="AX81" t="e">
        <f>AND('Planilla_General_07-12-2012_8_3'!J1208,"AAAAAHz/LDE=")</f>
        <v>#VALUE!</v>
      </c>
      <c r="AY81" t="e">
        <f>AND('Planilla_General_07-12-2012_8_3'!K1208,"AAAAAHz/LDI=")</f>
        <v>#VALUE!</v>
      </c>
      <c r="AZ81" t="e">
        <f>AND('Planilla_General_07-12-2012_8_3'!L1208,"AAAAAHz/LDM=")</f>
        <v>#VALUE!</v>
      </c>
      <c r="BA81" t="e">
        <f>AND('Planilla_General_07-12-2012_8_3'!M1208,"AAAAAHz/LDQ=")</f>
        <v>#VALUE!</v>
      </c>
      <c r="BB81" t="e">
        <f>AND('Planilla_General_07-12-2012_8_3'!N1208,"AAAAAHz/LDU=")</f>
        <v>#VALUE!</v>
      </c>
      <c r="BC81" t="e">
        <f>AND('Planilla_General_07-12-2012_8_3'!O1208,"AAAAAHz/LDY=")</f>
        <v>#VALUE!</v>
      </c>
      <c r="BD81" t="e">
        <f>AND('Planilla_General_07-12-2012_8_3'!P1208,"AAAAAHz/LDc=")</f>
        <v>#VALUE!</v>
      </c>
      <c r="BE81">
        <f>IF('Planilla_General_07-12-2012_8_3'!1209:1209,"AAAAAHz/LDg=",0)</f>
        <v>0</v>
      </c>
      <c r="BF81" t="e">
        <f>AND('Planilla_General_07-12-2012_8_3'!A1209,"AAAAAHz/LDk=")</f>
        <v>#VALUE!</v>
      </c>
      <c r="BG81" t="e">
        <f>AND('Planilla_General_07-12-2012_8_3'!B1209,"AAAAAHz/LDo=")</f>
        <v>#VALUE!</v>
      </c>
      <c r="BH81" t="e">
        <f>AND('Planilla_General_07-12-2012_8_3'!C1209,"AAAAAHz/LDs=")</f>
        <v>#VALUE!</v>
      </c>
      <c r="BI81" t="e">
        <f>AND('Planilla_General_07-12-2012_8_3'!D1209,"AAAAAHz/LDw=")</f>
        <v>#VALUE!</v>
      </c>
      <c r="BJ81" t="e">
        <f>AND('Planilla_General_07-12-2012_8_3'!E1209,"AAAAAHz/LD0=")</f>
        <v>#VALUE!</v>
      </c>
      <c r="BK81" t="e">
        <f>AND('Planilla_General_07-12-2012_8_3'!F1209,"AAAAAHz/LD4=")</f>
        <v>#VALUE!</v>
      </c>
      <c r="BL81" t="e">
        <f>AND('Planilla_General_07-12-2012_8_3'!G1209,"AAAAAHz/LD8=")</f>
        <v>#VALUE!</v>
      </c>
      <c r="BM81" t="e">
        <f>AND('Planilla_General_07-12-2012_8_3'!H1209,"AAAAAHz/LEA=")</f>
        <v>#VALUE!</v>
      </c>
      <c r="BN81" t="e">
        <f>AND('Planilla_General_07-12-2012_8_3'!I1209,"AAAAAHz/LEE=")</f>
        <v>#VALUE!</v>
      </c>
      <c r="BO81" t="e">
        <f>AND('Planilla_General_07-12-2012_8_3'!J1209,"AAAAAHz/LEI=")</f>
        <v>#VALUE!</v>
      </c>
      <c r="BP81" t="e">
        <f>AND('Planilla_General_07-12-2012_8_3'!K1209,"AAAAAHz/LEM=")</f>
        <v>#VALUE!</v>
      </c>
      <c r="BQ81" t="e">
        <f>AND('Planilla_General_07-12-2012_8_3'!L1209,"AAAAAHz/LEQ=")</f>
        <v>#VALUE!</v>
      </c>
      <c r="BR81" t="e">
        <f>AND('Planilla_General_07-12-2012_8_3'!M1209,"AAAAAHz/LEU=")</f>
        <v>#VALUE!</v>
      </c>
      <c r="BS81" t="e">
        <f>AND('Planilla_General_07-12-2012_8_3'!N1209,"AAAAAHz/LEY=")</f>
        <v>#VALUE!</v>
      </c>
      <c r="BT81" t="e">
        <f>AND('Planilla_General_07-12-2012_8_3'!O1209,"AAAAAHz/LEc=")</f>
        <v>#VALUE!</v>
      </c>
      <c r="BU81" t="e">
        <f>AND('Planilla_General_07-12-2012_8_3'!P1209,"AAAAAHz/LEg=")</f>
        <v>#VALUE!</v>
      </c>
      <c r="BV81">
        <f>IF('Planilla_General_07-12-2012_8_3'!1210:1210,"AAAAAHz/LEk=",0)</f>
        <v>0</v>
      </c>
      <c r="BW81" t="e">
        <f>AND('Planilla_General_07-12-2012_8_3'!A1210,"AAAAAHz/LEo=")</f>
        <v>#VALUE!</v>
      </c>
      <c r="BX81" t="e">
        <f>AND('Planilla_General_07-12-2012_8_3'!B1210,"AAAAAHz/LEs=")</f>
        <v>#VALUE!</v>
      </c>
      <c r="BY81" t="e">
        <f>AND('Planilla_General_07-12-2012_8_3'!C1210,"AAAAAHz/LEw=")</f>
        <v>#VALUE!</v>
      </c>
      <c r="BZ81" t="e">
        <f>AND('Planilla_General_07-12-2012_8_3'!D1210,"AAAAAHz/LE0=")</f>
        <v>#VALUE!</v>
      </c>
      <c r="CA81" t="e">
        <f>AND('Planilla_General_07-12-2012_8_3'!E1210,"AAAAAHz/LE4=")</f>
        <v>#VALUE!</v>
      </c>
      <c r="CB81" t="e">
        <f>AND('Planilla_General_07-12-2012_8_3'!F1210,"AAAAAHz/LE8=")</f>
        <v>#VALUE!</v>
      </c>
      <c r="CC81" t="e">
        <f>AND('Planilla_General_07-12-2012_8_3'!G1210,"AAAAAHz/LFA=")</f>
        <v>#VALUE!</v>
      </c>
      <c r="CD81" t="e">
        <f>AND('Planilla_General_07-12-2012_8_3'!H1210,"AAAAAHz/LFE=")</f>
        <v>#VALUE!</v>
      </c>
      <c r="CE81" t="e">
        <f>AND('Planilla_General_07-12-2012_8_3'!I1210,"AAAAAHz/LFI=")</f>
        <v>#VALUE!</v>
      </c>
      <c r="CF81" t="e">
        <f>AND('Planilla_General_07-12-2012_8_3'!J1210,"AAAAAHz/LFM=")</f>
        <v>#VALUE!</v>
      </c>
      <c r="CG81" t="e">
        <f>AND('Planilla_General_07-12-2012_8_3'!K1210,"AAAAAHz/LFQ=")</f>
        <v>#VALUE!</v>
      </c>
      <c r="CH81" t="e">
        <f>AND('Planilla_General_07-12-2012_8_3'!L1210,"AAAAAHz/LFU=")</f>
        <v>#VALUE!</v>
      </c>
      <c r="CI81" t="e">
        <f>AND('Planilla_General_07-12-2012_8_3'!M1210,"AAAAAHz/LFY=")</f>
        <v>#VALUE!</v>
      </c>
      <c r="CJ81" t="e">
        <f>AND('Planilla_General_07-12-2012_8_3'!N1210,"AAAAAHz/LFc=")</f>
        <v>#VALUE!</v>
      </c>
      <c r="CK81" t="e">
        <f>AND('Planilla_General_07-12-2012_8_3'!O1210,"AAAAAHz/LFg=")</f>
        <v>#VALUE!</v>
      </c>
      <c r="CL81" t="e">
        <f>AND('Planilla_General_07-12-2012_8_3'!P1210,"AAAAAHz/LFk=")</f>
        <v>#VALUE!</v>
      </c>
      <c r="CM81">
        <f>IF('Planilla_General_07-12-2012_8_3'!1211:1211,"AAAAAHz/LFo=",0)</f>
        <v>0</v>
      </c>
      <c r="CN81" t="e">
        <f>AND('Planilla_General_07-12-2012_8_3'!A1211,"AAAAAHz/LFs=")</f>
        <v>#VALUE!</v>
      </c>
      <c r="CO81" t="e">
        <f>AND('Planilla_General_07-12-2012_8_3'!B1211,"AAAAAHz/LFw=")</f>
        <v>#VALUE!</v>
      </c>
      <c r="CP81" t="e">
        <f>AND('Planilla_General_07-12-2012_8_3'!C1211,"AAAAAHz/LF0=")</f>
        <v>#VALUE!</v>
      </c>
      <c r="CQ81" t="e">
        <f>AND('Planilla_General_07-12-2012_8_3'!D1211,"AAAAAHz/LF4=")</f>
        <v>#VALUE!</v>
      </c>
      <c r="CR81" t="e">
        <f>AND('Planilla_General_07-12-2012_8_3'!E1211,"AAAAAHz/LF8=")</f>
        <v>#VALUE!</v>
      </c>
      <c r="CS81" t="e">
        <f>AND('Planilla_General_07-12-2012_8_3'!F1211,"AAAAAHz/LGA=")</f>
        <v>#VALUE!</v>
      </c>
      <c r="CT81" t="e">
        <f>AND('Planilla_General_07-12-2012_8_3'!G1211,"AAAAAHz/LGE=")</f>
        <v>#VALUE!</v>
      </c>
      <c r="CU81" t="e">
        <f>AND('Planilla_General_07-12-2012_8_3'!H1211,"AAAAAHz/LGI=")</f>
        <v>#VALUE!</v>
      </c>
      <c r="CV81" t="e">
        <f>AND('Planilla_General_07-12-2012_8_3'!I1211,"AAAAAHz/LGM=")</f>
        <v>#VALUE!</v>
      </c>
      <c r="CW81" t="e">
        <f>AND('Planilla_General_07-12-2012_8_3'!J1211,"AAAAAHz/LGQ=")</f>
        <v>#VALUE!</v>
      </c>
      <c r="CX81" t="e">
        <f>AND('Planilla_General_07-12-2012_8_3'!K1211,"AAAAAHz/LGU=")</f>
        <v>#VALUE!</v>
      </c>
      <c r="CY81" t="e">
        <f>AND('Planilla_General_07-12-2012_8_3'!L1211,"AAAAAHz/LGY=")</f>
        <v>#VALUE!</v>
      </c>
      <c r="CZ81" t="e">
        <f>AND('Planilla_General_07-12-2012_8_3'!M1211,"AAAAAHz/LGc=")</f>
        <v>#VALUE!</v>
      </c>
      <c r="DA81" t="e">
        <f>AND('Planilla_General_07-12-2012_8_3'!N1211,"AAAAAHz/LGg=")</f>
        <v>#VALUE!</v>
      </c>
      <c r="DB81" t="e">
        <f>AND('Planilla_General_07-12-2012_8_3'!O1211,"AAAAAHz/LGk=")</f>
        <v>#VALUE!</v>
      </c>
      <c r="DC81" t="e">
        <f>AND('Planilla_General_07-12-2012_8_3'!P1211,"AAAAAHz/LGo=")</f>
        <v>#VALUE!</v>
      </c>
      <c r="DD81">
        <f>IF('Planilla_General_07-12-2012_8_3'!1212:1212,"AAAAAHz/LGs=",0)</f>
        <v>0</v>
      </c>
      <c r="DE81" t="e">
        <f>AND('Planilla_General_07-12-2012_8_3'!A1212,"AAAAAHz/LGw=")</f>
        <v>#VALUE!</v>
      </c>
      <c r="DF81" t="e">
        <f>AND('Planilla_General_07-12-2012_8_3'!B1212,"AAAAAHz/LG0=")</f>
        <v>#VALUE!</v>
      </c>
      <c r="DG81" t="e">
        <f>AND('Planilla_General_07-12-2012_8_3'!C1212,"AAAAAHz/LG4=")</f>
        <v>#VALUE!</v>
      </c>
      <c r="DH81" t="e">
        <f>AND('Planilla_General_07-12-2012_8_3'!D1212,"AAAAAHz/LG8=")</f>
        <v>#VALUE!</v>
      </c>
      <c r="DI81" t="e">
        <f>AND('Planilla_General_07-12-2012_8_3'!E1212,"AAAAAHz/LHA=")</f>
        <v>#VALUE!</v>
      </c>
      <c r="DJ81" t="e">
        <f>AND('Planilla_General_07-12-2012_8_3'!F1212,"AAAAAHz/LHE=")</f>
        <v>#VALUE!</v>
      </c>
      <c r="DK81" t="e">
        <f>AND('Planilla_General_07-12-2012_8_3'!G1212,"AAAAAHz/LHI=")</f>
        <v>#VALUE!</v>
      </c>
      <c r="DL81" t="e">
        <f>AND('Planilla_General_07-12-2012_8_3'!H1212,"AAAAAHz/LHM=")</f>
        <v>#VALUE!</v>
      </c>
      <c r="DM81" t="e">
        <f>AND('Planilla_General_07-12-2012_8_3'!I1212,"AAAAAHz/LHQ=")</f>
        <v>#VALUE!</v>
      </c>
      <c r="DN81" t="e">
        <f>AND('Planilla_General_07-12-2012_8_3'!J1212,"AAAAAHz/LHU=")</f>
        <v>#VALUE!</v>
      </c>
      <c r="DO81" t="e">
        <f>AND('Planilla_General_07-12-2012_8_3'!K1212,"AAAAAHz/LHY=")</f>
        <v>#VALUE!</v>
      </c>
      <c r="DP81" t="e">
        <f>AND('Planilla_General_07-12-2012_8_3'!L1212,"AAAAAHz/LHc=")</f>
        <v>#VALUE!</v>
      </c>
      <c r="DQ81" t="e">
        <f>AND('Planilla_General_07-12-2012_8_3'!M1212,"AAAAAHz/LHg=")</f>
        <v>#VALUE!</v>
      </c>
      <c r="DR81" t="e">
        <f>AND('Planilla_General_07-12-2012_8_3'!N1212,"AAAAAHz/LHk=")</f>
        <v>#VALUE!</v>
      </c>
      <c r="DS81" t="e">
        <f>AND('Planilla_General_07-12-2012_8_3'!O1212,"AAAAAHz/LHo=")</f>
        <v>#VALUE!</v>
      </c>
      <c r="DT81" t="e">
        <f>AND('Planilla_General_07-12-2012_8_3'!P1212,"AAAAAHz/LHs=")</f>
        <v>#VALUE!</v>
      </c>
      <c r="DU81">
        <f>IF('Planilla_General_07-12-2012_8_3'!1213:1213,"AAAAAHz/LHw=",0)</f>
        <v>0</v>
      </c>
      <c r="DV81" t="e">
        <f>AND('Planilla_General_07-12-2012_8_3'!A1213,"AAAAAHz/LH0=")</f>
        <v>#VALUE!</v>
      </c>
      <c r="DW81" t="e">
        <f>AND('Planilla_General_07-12-2012_8_3'!B1213,"AAAAAHz/LH4=")</f>
        <v>#VALUE!</v>
      </c>
      <c r="DX81" t="e">
        <f>AND('Planilla_General_07-12-2012_8_3'!C1213,"AAAAAHz/LH8=")</f>
        <v>#VALUE!</v>
      </c>
      <c r="DY81" t="e">
        <f>AND('Planilla_General_07-12-2012_8_3'!D1213,"AAAAAHz/LIA=")</f>
        <v>#VALUE!</v>
      </c>
      <c r="DZ81" t="e">
        <f>AND('Planilla_General_07-12-2012_8_3'!E1213,"AAAAAHz/LIE=")</f>
        <v>#VALUE!</v>
      </c>
      <c r="EA81" t="e">
        <f>AND('Planilla_General_07-12-2012_8_3'!F1213,"AAAAAHz/LII=")</f>
        <v>#VALUE!</v>
      </c>
      <c r="EB81" t="e">
        <f>AND('Planilla_General_07-12-2012_8_3'!G1213,"AAAAAHz/LIM=")</f>
        <v>#VALUE!</v>
      </c>
      <c r="EC81" t="e">
        <f>AND('Planilla_General_07-12-2012_8_3'!H1213,"AAAAAHz/LIQ=")</f>
        <v>#VALUE!</v>
      </c>
      <c r="ED81" t="e">
        <f>AND('Planilla_General_07-12-2012_8_3'!I1213,"AAAAAHz/LIU=")</f>
        <v>#VALUE!</v>
      </c>
      <c r="EE81" t="e">
        <f>AND('Planilla_General_07-12-2012_8_3'!J1213,"AAAAAHz/LIY=")</f>
        <v>#VALUE!</v>
      </c>
      <c r="EF81" t="e">
        <f>AND('Planilla_General_07-12-2012_8_3'!K1213,"AAAAAHz/LIc=")</f>
        <v>#VALUE!</v>
      </c>
      <c r="EG81" t="e">
        <f>AND('Planilla_General_07-12-2012_8_3'!L1213,"AAAAAHz/LIg=")</f>
        <v>#VALUE!</v>
      </c>
      <c r="EH81" t="e">
        <f>AND('Planilla_General_07-12-2012_8_3'!M1213,"AAAAAHz/LIk=")</f>
        <v>#VALUE!</v>
      </c>
      <c r="EI81" t="e">
        <f>AND('Planilla_General_07-12-2012_8_3'!N1213,"AAAAAHz/LIo=")</f>
        <v>#VALUE!</v>
      </c>
      <c r="EJ81" t="e">
        <f>AND('Planilla_General_07-12-2012_8_3'!O1213,"AAAAAHz/LIs=")</f>
        <v>#VALUE!</v>
      </c>
      <c r="EK81" t="e">
        <f>AND('Planilla_General_07-12-2012_8_3'!P1213,"AAAAAHz/LIw=")</f>
        <v>#VALUE!</v>
      </c>
      <c r="EL81">
        <f>IF('Planilla_General_07-12-2012_8_3'!1214:1214,"AAAAAHz/LI0=",0)</f>
        <v>0</v>
      </c>
      <c r="EM81" t="e">
        <f>AND('Planilla_General_07-12-2012_8_3'!A1214,"AAAAAHz/LI4=")</f>
        <v>#VALUE!</v>
      </c>
      <c r="EN81" t="e">
        <f>AND('Planilla_General_07-12-2012_8_3'!B1214,"AAAAAHz/LI8=")</f>
        <v>#VALUE!</v>
      </c>
      <c r="EO81" t="e">
        <f>AND('Planilla_General_07-12-2012_8_3'!C1214,"AAAAAHz/LJA=")</f>
        <v>#VALUE!</v>
      </c>
      <c r="EP81" t="e">
        <f>AND('Planilla_General_07-12-2012_8_3'!D1214,"AAAAAHz/LJE=")</f>
        <v>#VALUE!</v>
      </c>
      <c r="EQ81" t="e">
        <f>AND('Planilla_General_07-12-2012_8_3'!E1214,"AAAAAHz/LJI=")</f>
        <v>#VALUE!</v>
      </c>
      <c r="ER81" t="e">
        <f>AND('Planilla_General_07-12-2012_8_3'!F1214,"AAAAAHz/LJM=")</f>
        <v>#VALUE!</v>
      </c>
      <c r="ES81" t="e">
        <f>AND('Planilla_General_07-12-2012_8_3'!G1214,"AAAAAHz/LJQ=")</f>
        <v>#VALUE!</v>
      </c>
      <c r="ET81" t="e">
        <f>AND('Planilla_General_07-12-2012_8_3'!H1214,"AAAAAHz/LJU=")</f>
        <v>#VALUE!</v>
      </c>
      <c r="EU81" t="e">
        <f>AND('Planilla_General_07-12-2012_8_3'!I1214,"AAAAAHz/LJY=")</f>
        <v>#VALUE!</v>
      </c>
      <c r="EV81" t="e">
        <f>AND('Planilla_General_07-12-2012_8_3'!J1214,"AAAAAHz/LJc=")</f>
        <v>#VALUE!</v>
      </c>
      <c r="EW81" t="e">
        <f>AND('Planilla_General_07-12-2012_8_3'!K1214,"AAAAAHz/LJg=")</f>
        <v>#VALUE!</v>
      </c>
      <c r="EX81" t="e">
        <f>AND('Planilla_General_07-12-2012_8_3'!L1214,"AAAAAHz/LJk=")</f>
        <v>#VALUE!</v>
      </c>
      <c r="EY81" t="e">
        <f>AND('Planilla_General_07-12-2012_8_3'!M1214,"AAAAAHz/LJo=")</f>
        <v>#VALUE!</v>
      </c>
      <c r="EZ81" t="e">
        <f>AND('Planilla_General_07-12-2012_8_3'!N1214,"AAAAAHz/LJs=")</f>
        <v>#VALUE!</v>
      </c>
      <c r="FA81" t="e">
        <f>AND('Planilla_General_07-12-2012_8_3'!O1214,"AAAAAHz/LJw=")</f>
        <v>#VALUE!</v>
      </c>
      <c r="FB81" t="e">
        <f>AND('Planilla_General_07-12-2012_8_3'!P1214,"AAAAAHz/LJ0=")</f>
        <v>#VALUE!</v>
      </c>
      <c r="FC81">
        <f>IF('Planilla_General_07-12-2012_8_3'!1215:1215,"AAAAAHz/LJ4=",0)</f>
        <v>0</v>
      </c>
      <c r="FD81" t="e">
        <f>AND('Planilla_General_07-12-2012_8_3'!A1215,"AAAAAHz/LJ8=")</f>
        <v>#VALUE!</v>
      </c>
      <c r="FE81" t="e">
        <f>AND('Planilla_General_07-12-2012_8_3'!B1215,"AAAAAHz/LKA=")</f>
        <v>#VALUE!</v>
      </c>
      <c r="FF81" t="e">
        <f>AND('Planilla_General_07-12-2012_8_3'!C1215,"AAAAAHz/LKE=")</f>
        <v>#VALUE!</v>
      </c>
      <c r="FG81" t="e">
        <f>AND('Planilla_General_07-12-2012_8_3'!D1215,"AAAAAHz/LKI=")</f>
        <v>#VALUE!</v>
      </c>
      <c r="FH81" t="e">
        <f>AND('Planilla_General_07-12-2012_8_3'!E1215,"AAAAAHz/LKM=")</f>
        <v>#VALUE!</v>
      </c>
      <c r="FI81" t="e">
        <f>AND('Planilla_General_07-12-2012_8_3'!F1215,"AAAAAHz/LKQ=")</f>
        <v>#VALUE!</v>
      </c>
      <c r="FJ81" t="e">
        <f>AND('Planilla_General_07-12-2012_8_3'!G1215,"AAAAAHz/LKU=")</f>
        <v>#VALUE!</v>
      </c>
      <c r="FK81" t="e">
        <f>AND('Planilla_General_07-12-2012_8_3'!H1215,"AAAAAHz/LKY=")</f>
        <v>#VALUE!</v>
      </c>
      <c r="FL81" t="e">
        <f>AND('Planilla_General_07-12-2012_8_3'!I1215,"AAAAAHz/LKc=")</f>
        <v>#VALUE!</v>
      </c>
      <c r="FM81" t="e">
        <f>AND('Planilla_General_07-12-2012_8_3'!J1215,"AAAAAHz/LKg=")</f>
        <v>#VALUE!</v>
      </c>
      <c r="FN81" t="e">
        <f>AND('Planilla_General_07-12-2012_8_3'!K1215,"AAAAAHz/LKk=")</f>
        <v>#VALUE!</v>
      </c>
      <c r="FO81" t="e">
        <f>AND('Planilla_General_07-12-2012_8_3'!L1215,"AAAAAHz/LKo=")</f>
        <v>#VALUE!</v>
      </c>
      <c r="FP81" t="e">
        <f>AND('Planilla_General_07-12-2012_8_3'!M1215,"AAAAAHz/LKs=")</f>
        <v>#VALUE!</v>
      </c>
      <c r="FQ81" t="e">
        <f>AND('Planilla_General_07-12-2012_8_3'!N1215,"AAAAAHz/LKw=")</f>
        <v>#VALUE!</v>
      </c>
      <c r="FR81" t="e">
        <f>AND('Planilla_General_07-12-2012_8_3'!O1215,"AAAAAHz/LK0=")</f>
        <v>#VALUE!</v>
      </c>
      <c r="FS81" t="e">
        <f>AND('Planilla_General_07-12-2012_8_3'!P1215,"AAAAAHz/LK4=")</f>
        <v>#VALUE!</v>
      </c>
      <c r="FT81">
        <f>IF('Planilla_General_07-12-2012_8_3'!1216:1216,"AAAAAHz/LK8=",0)</f>
        <v>0</v>
      </c>
      <c r="FU81" t="e">
        <f>AND('Planilla_General_07-12-2012_8_3'!A1216,"AAAAAHz/LLA=")</f>
        <v>#VALUE!</v>
      </c>
      <c r="FV81" t="e">
        <f>AND('Planilla_General_07-12-2012_8_3'!B1216,"AAAAAHz/LLE=")</f>
        <v>#VALUE!</v>
      </c>
      <c r="FW81" t="e">
        <f>AND('Planilla_General_07-12-2012_8_3'!C1216,"AAAAAHz/LLI=")</f>
        <v>#VALUE!</v>
      </c>
      <c r="FX81" t="e">
        <f>AND('Planilla_General_07-12-2012_8_3'!D1216,"AAAAAHz/LLM=")</f>
        <v>#VALUE!</v>
      </c>
      <c r="FY81" t="e">
        <f>AND('Planilla_General_07-12-2012_8_3'!E1216,"AAAAAHz/LLQ=")</f>
        <v>#VALUE!</v>
      </c>
      <c r="FZ81" t="e">
        <f>AND('Planilla_General_07-12-2012_8_3'!F1216,"AAAAAHz/LLU=")</f>
        <v>#VALUE!</v>
      </c>
      <c r="GA81" t="e">
        <f>AND('Planilla_General_07-12-2012_8_3'!G1216,"AAAAAHz/LLY=")</f>
        <v>#VALUE!</v>
      </c>
      <c r="GB81" t="e">
        <f>AND('Planilla_General_07-12-2012_8_3'!H1216,"AAAAAHz/LLc=")</f>
        <v>#VALUE!</v>
      </c>
      <c r="GC81" t="e">
        <f>AND('Planilla_General_07-12-2012_8_3'!I1216,"AAAAAHz/LLg=")</f>
        <v>#VALUE!</v>
      </c>
      <c r="GD81" t="e">
        <f>AND('Planilla_General_07-12-2012_8_3'!J1216,"AAAAAHz/LLk=")</f>
        <v>#VALUE!</v>
      </c>
      <c r="GE81" t="e">
        <f>AND('Planilla_General_07-12-2012_8_3'!K1216,"AAAAAHz/LLo=")</f>
        <v>#VALUE!</v>
      </c>
      <c r="GF81" t="e">
        <f>AND('Planilla_General_07-12-2012_8_3'!L1216,"AAAAAHz/LLs=")</f>
        <v>#VALUE!</v>
      </c>
      <c r="GG81" t="e">
        <f>AND('Planilla_General_07-12-2012_8_3'!M1216,"AAAAAHz/LLw=")</f>
        <v>#VALUE!</v>
      </c>
      <c r="GH81" t="e">
        <f>AND('Planilla_General_07-12-2012_8_3'!N1216,"AAAAAHz/LL0=")</f>
        <v>#VALUE!</v>
      </c>
      <c r="GI81" t="e">
        <f>AND('Planilla_General_07-12-2012_8_3'!O1216,"AAAAAHz/LL4=")</f>
        <v>#VALUE!</v>
      </c>
      <c r="GJ81" t="e">
        <f>AND('Planilla_General_07-12-2012_8_3'!P1216,"AAAAAHz/LL8=")</f>
        <v>#VALUE!</v>
      </c>
      <c r="GK81">
        <f>IF('Planilla_General_07-12-2012_8_3'!1217:1217,"AAAAAHz/LMA=",0)</f>
        <v>0</v>
      </c>
      <c r="GL81" t="e">
        <f>AND('Planilla_General_07-12-2012_8_3'!A1217,"AAAAAHz/LME=")</f>
        <v>#VALUE!</v>
      </c>
      <c r="GM81" t="e">
        <f>AND('Planilla_General_07-12-2012_8_3'!B1217,"AAAAAHz/LMI=")</f>
        <v>#VALUE!</v>
      </c>
      <c r="GN81" t="e">
        <f>AND('Planilla_General_07-12-2012_8_3'!C1217,"AAAAAHz/LMM=")</f>
        <v>#VALUE!</v>
      </c>
      <c r="GO81" t="e">
        <f>AND('Planilla_General_07-12-2012_8_3'!D1217,"AAAAAHz/LMQ=")</f>
        <v>#VALUE!</v>
      </c>
      <c r="GP81" t="e">
        <f>AND('Planilla_General_07-12-2012_8_3'!E1217,"AAAAAHz/LMU=")</f>
        <v>#VALUE!</v>
      </c>
      <c r="GQ81" t="e">
        <f>AND('Planilla_General_07-12-2012_8_3'!F1217,"AAAAAHz/LMY=")</f>
        <v>#VALUE!</v>
      </c>
      <c r="GR81" t="e">
        <f>AND('Planilla_General_07-12-2012_8_3'!G1217,"AAAAAHz/LMc=")</f>
        <v>#VALUE!</v>
      </c>
      <c r="GS81" t="e">
        <f>AND('Planilla_General_07-12-2012_8_3'!H1217,"AAAAAHz/LMg=")</f>
        <v>#VALUE!</v>
      </c>
      <c r="GT81" t="e">
        <f>AND('Planilla_General_07-12-2012_8_3'!I1217,"AAAAAHz/LMk=")</f>
        <v>#VALUE!</v>
      </c>
      <c r="GU81" t="e">
        <f>AND('Planilla_General_07-12-2012_8_3'!J1217,"AAAAAHz/LMo=")</f>
        <v>#VALUE!</v>
      </c>
      <c r="GV81" t="e">
        <f>AND('Planilla_General_07-12-2012_8_3'!K1217,"AAAAAHz/LMs=")</f>
        <v>#VALUE!</v>
      </c>
      <c r="GW81" t="e">
        <f>AND('Planilla_General_07-12-2012_8_3'!L1217,"AAAAAHz/LMw=")</f>
        <v>#VALUE!</v>
      </c>
      <c r="GX81" t="e">
        <f>AND('Planilla_General_07-12-2012_8_3'!M1217,"AAAAAHz/LM0=")</f>
        <v>#VALUE!</v>
      </c>
      <c r="GY81" t="e">
        <f>AND('Planilla_General_07-12-2012_8_3'!N1217,"AAAAAHz/LM4=")</f>
        <v>#VALUE!</v>
      </c>
      <c r="GZ81" t="e">
        <f>AND('Planilla_General_07-12-2012_8_3'!O1217,"AAAAAHz/LM8=")</f>
        <v>#VALUE!</v>
      </c>
      <c r="HA81" t="e">
        <f>AND('Planilla_General_07-12-2012_8_3'!P1217,"AAAAAHz/LNA=")</f>
        <v>#VALUE!</v>
      </c>
      <c r="HB81">
        <f>IF('Planilla_General_07-12-2012_8_3'!1218:1218,"AAAAAHz/LNE=",0)</f>
        <v>0</v>
      </c>
      <c r="HC81" t="e">
        <f>AND('Planilla_General_07-12-2012_8_3'!A1218,"AAAAAHz/LNI=")</f>
        <v>#VALUE!</v>
      </c>
      <c r="HD81" t="e">
        <f>AND('Planilla_General_07-12-2012_8_3'!B1218,"AAAAAHz/LNM=")</f>
        <v>#VALUE!</v>
      </c>
      <c r="HE81" t="e">
        <f>AND('Planilla_General_07-12-2012_8_3'!C1218,"AAAAAHz/LNQ=")</f>
        <v>#VALUE!</v>
      </c>
      <c r="HF81" t="e">
        <f>AND('Planilla_General_07-12-2012_8_3'!D1218,"AAAAAHz/LNU=")</f>
        <v>#VALUE!</v>
      </c>
      <c r="HG81" t="e">
        <f>AND('Planilla_General_07-12-2012_8_3'!E1218,"AAAAAHz/LNY=")</f>
        <v>#VALUE!</v>
      </c>
      <c r="HH81" t="e">
        <f>AND('Planilla_General_07-12-2012_8_3'!F1218,"AAAAAHz/LNc=")</f>
        <v>#VALUE!</v>
      </c>
      <c r="HI81" t="e">
        <f>AND('Planilla_General_07-12-2012_8_3'!G1218,"AAAAAHz/LNg=")</f>
        <v>#VALUE!</v>
      </c>
      <c r="HJ81" t="e">
        <f>AND('Planilla_General_07-12-2012_8_3'!H1218,"AAAAAHz/LNk=")</f>
        <v>#VALUE!</v>
      </c>
      <c r="HK81" t="e">
        <f>AND('Planilla_General_07-12-2012_8_3'!I1218,"AAAAAHz/LNo=")</f>
        <v>#VALUE!</v>
      </c>
      <c r="HL81" t="e">
        <f>AND('Planilla_General_07-12-2012_8_3'!J1218,"AAAAAHz/LNs=")</f>
        <v>#VALUE!</v>
      </c>
      <c r="HM81" t="e">
        <f>AND('Planilla_General_07-12-2012_8_3'!K1218,"AAAAAHz/LNw=")</f>
        <v>#VALUE!</v>
      </c>
      <c r="HN81" t="e">
        <f>AND('Planilla_General_07-12-2012_8_3'!L1218,"AAAAAHz/LN0=")</f>
        <v>#VALUE!</v>
      </c>
      <c r="HO81" t="e">
        <f>AND('Planilla_General_07-12-2012_8_3'!M1218,"AAAAAHz/LN4=")</f>
        <v>#VALUE!</v>
      </c>
      <c r="HP81" t="e">
        <f>AND('Planilla_General_07-12-2012_8_3'!N1218,"AAAAAHz/LN8=")</f>
        <v>#VALUE!</v>
      </c>
      <c r="HQ81" t="e">
        <f>AND('Planilla_General_07-12-2012_8_3'!O1218,"AAAAAHz/LOA=")</f>
        <v>#VALUE!</v>
      </c>
      <c r="HR81" t="e">
        <f>AND('Planilla_General_07-12-2012_8_3'!P1218,"AAAAAHz/LOE=")</f>
        <v>#VALUE!</v>
      </c>
      <c r="HS81">
        <f>IF('Planilla_General_07-12-2012_8_3'!1219:1219,"AAAAAHz/LOI=",0)</f>
        <v>0</v>
      </c>
      <c r="HT81" t="e">
        <f>AND('Planilla_General_07-12-2012_8_3'!A1219,"AAAAAHz/LOM=")</f>
        <v>#VALUE!</v>
      </c>
      <c r="HU81" t="e">
        <f>AND('Planilla_General_07-12-2012_8_3'!B1219,"AAAAAHz/LOQ=")</f>
        <v>#VALUE!</v>
      </c>
      <c r="HV81" t="e">
        <f>AND('Planilla_General_07-12-2012_8_3'!C1219,"AAAAAHz/LOU=")</f>
        <v>#VALUE!</v>
      </c>
      <c r="HW81" t="e">
        <f>AND('Planilla_General_07-12-2012_8_3'!D1219,"AAAAAHz/LOY=")</f>
        <v>#VALUE!</v>
      </c>
      <c r="HX81" t="e">
        <f>AND('Planilla_General_07-12-2012_8_3'!E1219,"AAAAAHz/LOc=")</f>
        <v>#VALUE!</v>
      </c>
      <c r="HY81" t="e">
        <f>AND('Planilla_General_07-12-2012_8_3'!F1219,"AAAAAHz/LOg=")</f>
        <v>#VALUE!</v>
      </c>
      <c r="HZ81" t="e">
        <f>AND('Planilla_General_07-12-2012_8_3'!G1219,"AAAAAHz/LOk=")</f>
        <v>#VALUE!</v>
      </c>
      <c r="IA81" t="e">
        <f>AND('Planilla_General_07-12-2012_8_3'!H1219,"AAAAAHz/LOo=")</f>
        <v>#VALUE!</v>
      </c>
      <c r="IB81" t="e">
        <f>AND('Planilla_General_07-12-2012_8_3'!I1219,"AAAAAHz/LOs=")</f>
        <v>#VALUE!</v>
      </c>
      <c r="IC81" t="e">
        <f>AND('Planilla_General_07-12-2012_8_3'!J1219,"AAAAAHz/LOw=")</f>
        <v>#VALUE!</v>
      </c>
      <c r="ID81" t="e">
        <f>AND('Planilla_General_07-12-2012_8_3'!K1219,"AAAAAHz/LO0=")</f>
        <v>#VALUE!</v>
      </c>
      <c r="IE81" t="e">
        <f>AND('Planilla_General_07-12-2012_8_3'!L1219,"AAAAAHz/LO4=")</f>
        <v>#VALUE!</v>
      </c>
      <c r="IF81" t="e">
        <f>AND('Planilla_General_07-12-2012_8_3'!M1219,"AAAAAHz/LO8=")</f>
        <v>#VALUE!</v>
      </c>
      <c r="IG81" t="e">
        <f>AND('Planilla_General_07-12-2012_8_3'!N1219,"AAAAAHz/LPA=")</f>
        <v>#VALUE!</v>
      </c>
      <c r="IH81" t="e">
        <f>AND('Planilla_General_07-12-2012_8_3'!O1219,"AAAAAHz/LPE=")</f>
        <v>#VALUE!</v>
      </c>
      <c r="II81" t="e">
        <f>AND('Planilla_General_07-12-2012_8_3'!P1219,"AAAAAHz/LPI=")</f>
        <v>#VALUE!</v>
      </c>
      <c r="IJ81">
        <f>IF('Planilla_General_07-12-2012_8_3'!1220:1220,"AAAAAHz/LPM=",0)</f>
        <v>0</v>
      </c>
      <c r="IK81" t="e">
        <f>AND('Planilla_General_07-12-2012_8_3'!A1220,"AAAAAHz/LPQ=")</f>
        <v>#VALUE!</v>
      </c>
      <c r="IL81" t="e">
        <f>AND('Planilla_General_07-12-2012_8_3'!B1220,"AAAAAHz/LPU=")</f>
        <v>#VALUE!</v>
      </c>
      <c r="IM81" t="e">
        <f>AND('Planilla_General_07-12-2012_8_3'!C1220,"AAAAAHz/LPY=")</f>
        <v>#VALUE!</v>
      </c>
      <c r="IN81" t="e">
        <f>AND('Planilla_General_07-12-2012_8_3'!D1220,"AAAAAHz/LPc=")</f>
        <v>#VALUE!</v>
      </c>
      <c r="IO81" t="e">
        <f>AND('Planilla_General_07-12-2012_8_3'!E1220,"AAAAAHz/LPg=")</f>
        <v>#VALUE!</v>
      </c>
      <c r="IP81" t="e">
        <f>AND('Planilla_General_07-12-2012_8_3'!F1220,"AAAAAHz/LPk=")</f>
        <v>#VALUE!</v>
      </c>
      <c r="IQ81" t="e">
        <f>AND('Planilla_General_07-12-2012_8_3'!G1220,"AAAAAHz/LPo=")</f>
        <v>#VALUE!</v>
      </c>
      <c r="IR81" t="e">
        <f>AND('Planilla_General_07-12-2012_8_3'!H1220,"AAAAAHz/LPs=")</f>
        <v>#VALUE!</v>
      </c>
      <c r="IS81" t="e">
        <f>AND('Planilla_General_07-12-2012_8_3'!I1220,"AAAAAHz/LPw=")</f>
        <v>#VALUE!</v>
      </c>
      <c r="IT81" t="e">
        <f>AND('Planilla_General_07-12-2012_8_3'!J1220,"AAAAAHz/LP0=")</f>
        <v>#VALUE!</v>
      </c>
      <c r="IU81" t="e">
        <f>AND('Planilla_General_07-12-2012_8_3'!K1220,"AAAAAHz/LP4=")</f>
        <v>#VALUE!</v>
      </c>
      <c r="IV81" t="e">
        <f>AND('Planilla_General_07-12-2012_8_3'!L1220,"AAAAAHz/LP8=")</f>
        <v>#VALUE!</v>
      </c>
    </row>
    <row r="82" spans="1:256" x14ac:dyDescent="0.25">
      <c r="A82" t="e">
        <f>AND('Planilla_General_07-12-2012_8_3'!M1220,"AAAAAE19egA=")</f>
        <v>#VALUE!</v>
      </c>
      <c r="B82" t="e">
        <f>AND('Planilla_General_07-12-2012_8_3'!N1220,"AAAAAE19egE=")</f>
        <v>#VALUE!</v>
      </c>
      <c r="C82" t="e">
        <f>AND('Planilla_General_07-12-2012_8_3'!O1220,"AAAAAE19egI=")</f>
        <v>#VALUE!</v>
      </c>
      <c r="D82" t="e">
        <f>AND('Planilla_General_07-12-2012_8_3'!P1220,"AAAAAE19egM=")</f>
        <v>#VALUE!</v>
      </c>
      <c r="E82" t="e">
        <f>IF('Planilla_General_07-12-2012_8_3'!1221:1221,"AAAAAE19egQ=",0)</f>
        <v>#VALUE!</v>
      </c>
      <c r="F82" t="e">
        <f>AND('Planilla_General_07-12-2012_8_3'!A1221,"AAAAAE19egU=")</f>
        <v>#VALUE!</v>
      </c>
      <c r="G82" t="e">
        <f>AND('Planilla_General_07-12-2012_8_3'!B1221,"AAAAAE19egY=")</f>
        <v>#VALUE!</v>
      </c>
      <c r="H82" t="e">
        <f>AND('Planilla_General_07-12-2012_8_3'!C1221,"AAAAAE19egc=")</f>
        <v>#VALUE!</v>
      </c>
      <c r="I82" t="e">
        <f>AND('Planilla_General_07-12-2012_8_3'!D1221,"AAAAAE19egg=")</f>
        <v>#VALUE!</v>
      </c>
      <c r="J82" t="e">
        <f>AND('Planilla_General_07-12-2012_8_3'!E1221,"AAAAAE19egk=")</f>
        <v>#VALUE!</v>
      </c>
      <c r="K82" t="e">
        <f>AND('Planilla_General_07-12-2012_8_3'!F1221,"AAAAAE19ego=")</f>
        <v>#VALUE!</v>
      </c>
      <c r="L82" t="e">
        <f>AND('Planilla_General_07-12-2012_8_3'!G1221,"AAAAAE19egs=")</f>
        <v>#VALUE!</v>
      </c>
      <c r="M82" t="e">
        <f>AND('Planilla_General_07-12-2012_8_3'!H1221,"AAAAAE19egw=")</f>
        <v>#VALUE!</v>
      </c>
      <c r="N82" t="e">
        <f>AND('Planilla_General_07-12-2012_8_3'!I1221,"AAAAAE19eg0=")</f>
        <v>#VALUE!</v>
      </c>
      <c r="O82" t="e">
        <f>AND('Planilla_General_07-12-2012_8_3'!J1221,"AAAAAE19eg4=")</f>
        <v>#VALUE!</v>
      </c>
      <c r="P82" t="e">
        <f>AND('Planilla_General_07-12-2012_8_3'!K1221,"AAAAAE19eg8=")</f>
        <v>#VALUE!</v>
      </c>
      <c r="Q82" t="e">
        <f>AND('Planilla_General_07-12-2012_8_3'!L1221,"AAAAAE19ehA=")</f>
        <v>#VALUE!</v>
      </c>
      <c r="R82" t="e">
        <f>AND('Planilla_General_07-12-2012_8_3'!M1221,"AAAAAE19ehE=")</f>
        <v>#VALUE!</v>
      </c>
      <c r="S82" t="e">
        <f>AND('Planilla_General_07-12-2012_8_3'!N1221,"AAAAAE19ehI=")</f>
        <v>#VALUE!</v>
      </c>
      <c r="T82" t="e">
        <f>AND('Planilla_General_07-12-2012_8_3'!O1221,"AAAAAE19ehM=")</f>
        <v>#VALUE!</v>
      </c>
      <c r="U82" t="e">
        <f>AND('Planilla_General_07-12-2012_8_3'!P1221,"AAAAAE19ehQ=")</f>
        <v>#VALUE!</v>
      </c>
      <c r="V82">
        <f>IF('Planilla_General_07-12-2012_8_3'!1222:1222,"AAAAAE19ehU=",0)</f>
        <v>0</v>
      </c>
      <c r="W82" t="e">
        <f>AND('Planilla_General_07-12-2012_8_3'!A1222,"AAAAAE19ehY=")</f>
        <v>#VALUE!</v>
      </c>
      <c r="X82" t="e">
        <f>AND('Planilla_General_07-12-2012_8_3'!B1222,"AAAAAE19ehc=")</f>
        <v>#VALUE!</v>
      </c>
      <c r="Y82" t="e">
        <f>AND('Planilla_General_07-12-2012_8_3'!C1222,"AAAAAE19ehg=")</f>
        <v>#VALUE!</v>
      </c>
      <c r="Z82" t="e">
        <f>AND('Planilla_General_07-12-2012_8_3'!D1222,"AAAAAE19ehk=")</f>
        <v>#VALUE!</v>
      </c>
      <c r="AA82" t="e">
        <f>AND('Planilla_General_07-12-2012_8_3'!E1222,"AAAAAE19eho=")</f>
        <v>#VALUE!</v>
      </c>
      <c r="AB82" t="e">
        <f>AND('Planilla_General_07-12-2012_8_3'!F1222,"AAAAAE19ehs=")</f>
        <v>#VALUE!</v>
      </c>
      <c r="AC82" t="e">
        <f>AND('Planilla_General_07-12-2012_8_3'!G1222,"AAAAAE19ehw=")</f>
        <v>#VALUE!</v>
      </c>
      <c r="AD82" t="e">
        <f>AND('Planilla_General_07-12-2012_8_3'!H1222,"AAAAAE19eh0=")</f>
        <v>#VALUE!</v>
      </c>
      <c r="AE82" t="e">
        <f>AND('Planilla_General_07-12-2012_8_3'!I1222,"AAAAAE19eh4=")</f>
        <v>#VALUE!</v>
      </c>
      <c r="AF82" t="e">
        <f>AND('Planilla_General_07-12-2012_8_3'!J1222,"AAAAAE19eh8=")</f>
        <v>#VALUE!</v>
      </c>
      <c r="AG82" t="e">
        <f>AND('Planilla_General_07-12-2012_8_3'!K1222,"AAAAAE19eiA=")</f>
        <v>#VALUE!</v>
      </c>
      <c r="AH82" t="e">
        <f>AND('Planilla_General_07-12-2012_8_3'!L1222,"AAAAAE19eiE=")</f>
        <v>#VALUE!</v>
      </c>
      <c r="AI82" t="e">
        <f>AND('Planilla_General_07-12-2012_8_3'!M1222,"AAAAAE19eiI=")</f>
        <v>#VALUE!</v>
      </c>
      <c r="AJ82" t="e">
        <f>AND('Planilla_General_07-12-2012_8_3'!N1222,"AAAAAE19eiM=")</f>
        <v>#VALUE!</v>
      </c>
      <c r="AK82" t="e">
        <f>AND('Planilla_General_07-12-2012_8_3'!O1222,"AAAAAE19eiQ=")</f>
        <v>#VALUE!</v>
      </c>
      <c r="AL82" t="e">
        <f>AND('Planilla_General_07-12-2012_8_3'!P1222,"AAAAAE19eiU=")</f>
        <v>#VALUE!</v>
      </c>
      <c r="AM82">
        <f>IF('Planilla_General_07-12-2012_8_3'!1223:1223,"AAAAAE19eiY=",0)</f>
        <v>0</v>
      </c>
      <c r="AN82" t="e">
        <f>AND('Planilla_General_07-12-2012_8_3'!A1223,"AAAAAE19eic=")</f>
        <v>#VALUE!</v>
      </c>
      <c r="AO82" t="e">
        <f>AND('Planilla_General_07-12-2012_8_3'!B1223,"AAAAAE19eig=")</f>
        <v>#VALUE!</v>
      </c>
      <c r="AP82" t="e">
        <f>AND('Planilla_General_07-12-2012_8_3'!C1223,"AAAAAE19eik=")</f>
        <v>#VALUE!</v>
      </c>
      <c r="AQ82" t="e">
        <f>AND('Planilla_General_07-12-2012_8_3'!D1223,"AAAAAE19eio=")</f>
        <v>#VALUE!</v>
      </c>
      <c r="AR82" t="e">
        <f>AND('Planilla_General_07-12-2012_8_3'!E1223,"AAAAAE19eis=")</f>
        <v>#VALUE!</v>
      </c>
      <c r="AS82" t="e">
        <f>AND('Planilla_General_07-12-2012_8_3'!F1223,"AAAAAE19eiw=")</f>
        <v>#VALUE!</v>
      </c>
      <c r="AT82" t="e">
        <f>AND('Planilla_General_07-12-2012_8_3'!G1223,"AAAAAE19ei0=")</f>
        <v>#VALUE!</v>
      </c>
      <c r="AU82" t="e">
        <f>AND('Planilla_General_07-12-2012_8_3'!H1223,"AAAAAE19ei4=")</f>
        <v>#VALUE!</v>
      </c>
      <c r="AV82" t="e">
        <f>AND('Planilla_General_07-12-2012_8_3'!I1223,"AAAAAE19ei8=")</f>
        <v>#VALUE!</v>
      </c>
      <c r="AW82" t="e">
        <f>AND('Planilla_General_07-12-2012_8_3'!J1223,"AAAAAE19ejA=")</f>
        <v>#VALUE!</v>
      </c>
      <c r="AX82" t="e">
        <f>AND('Planilla_General_07-12-2012_8_3'!K1223,"AAAAAE19ejE=")</f>
        <v>#VALUE!</v>
      </c>
      <c r="AY82" t="e">
        <f>AND('Planilla_General_07-12-2012_8_3'!L1223,"AAAAAE19ejI=")</f>
        <v>#VALUE!</v>
      </c>
      <c r="AZ82" t="e">
        <f>AND('Planilla_General_07-12-2012_8_3'!M1223,"AAAAAE19ejM=")</f>
        <v>#VALUE!</v>
      </c>
      <c r="BA82" t="e">
        <f>AND('Planilla_General_07-12-2012_8_3'!N1223,"AAAAAE19ejQ=")</f>
        <v>#VALUE!</v>
      </c>
      <c r="BB82" t="e">
        <f>AND('Planilla_General_07-12-2012_8_3'!O1223,"AAAAAE19ejU=")</f>
        <v>#VALUE!</v>
      </c>
      <c r="BC82" t="e">
        <f>AND('Planilla_General_07-12-2012_8_3'!P1223,"AAAAAE19ejY=")</f>
        <v>#VALUE!</v>
      </c>
      <c r="BD82">
        <f>IF('Planilla_General_07-12-2012_8_3'!1224:1224,"AAAAAE19ejc=",0)</f>
        <v>0</v>
      </c>
      <c r="BE82" t="e">
        <f>AND('Planilla_General_07-12-2012_8_3'!A1224,"AAAAAE19ejg=")</f>
        <v>#VALUE!</v>
      </c>
      <c r="BF82" t="e">
        <f>AND('Planilla_General_07-12-2012_8_3'!B1224,"AAAAAE19ejk=")</f>
        <v>#VALUE!</v>
      </c>
      <c r="BG82" t="e">
        <f>AND('Planilla_General_07-12-2012_8_3'!C1224,"AAAAAE19ejo=")</f>
        <v>#VALUE!</v>
      </c>
      <c r="BH82" t="e">
        <f>AND('Planilla_General_07-12-2012_8_3'!D1224,"AAAAAE19ejs=")</f>
        <v>#VALUE!</v>
      </c>
      <c r="BI82" t="e">
        <f>AND('Planilla_General_07-12-2012_8_3'!E1224,"AAAAAE19ejw=")</f>
        <v>#VALUE!</v>
      </c>
      <c r="BJ82" t="e">
        <f>AND('Planilla_General_07-12-2012_8_3'!F1224,"AAAAAE19ej0=")</f>
        <v>#VALUE!</v>
      </c>
      <c r="BK82" t="e">
        <f>AND('Planilla_General_07-12-2012_8_3'!G1224,"AAAAAE19ej4=")</f>
        <v>#VALUE!</v>
      </c>
      <c r="BL82" t="e">
        <f>AND('Planilla_General_07-12-2012_8_3'!H1224,"AAAAAE19ej8=")</f>
        <v>#VALUE!</v>
      </c>
      <c r="BM82" t="e">
        <f>AND('Planilla_General_07-12-2012_8_3'!I1224,"AAAAAE19ekA=")</f>
        <v>#VALUE!</v>
      </c>
      <c r="BN82" t="e">
        <f>AND('Planilla_General_07-12-2012_8_3'!J1224,"AAAAAE19ekE=")</f>
        <v>#VALUE!</v>
      </c>
      <c r="BO82" t="e">
        <f>AND('Planilla_General_07-12-2012_8_3'!K1224,"AAAAAE19ekI=")</f>
        <v>#VALUE!</v>
      </c>
      <c r="BP82" t="e">
        <f>AND('Planilla_General_07-12-2012_8_3'!L1224,"AAAAAE19ekM=")</f>
        <v>#VALUE!</v>
      </c>
      <c r="BQ82" t="e">
        <f>AND('Planilla_General_07-12-2012_8_3'!M1224,"AAAAAE19ekQ=")</f>
        <v>#VALUE!</v>
      </c>
      <c r="BR82" t="e">
        <f>AND('Planilla_General_07-12-2012_8_3'!N1224,"AAAAAE19ekU=")</f>
        <v>#VALUE!</v>
      </c>
      <c r="BS82" t="e">
        <f>AND('Planilla_General_07-12-2012_8_3'!O1224,"AAAAAE19ekY=")</f>
        <v>#VALUE!</v>
      </c>
      <c r="BT82" t="e">
        <f>AND('Planilla_General_07-12-2012_8_3'!P1224,"AAAAAE19ekc=")</f>
        <v>#VALUE!</v>
      </c>
      <c r="BU82">
        <f>IF('Planilla_General_07-12-2012_8_3'!1225:1225,"AAAAAE19ekg=",0)</f>
        <v>0</v>
      </c>
      <c r="BV82" t="e">
        <f>AND('Planilla_General_07-12-2012_8_3'!A1225,"AAAAAE19ekk=")</f>
        <v>#VALUE!</v>
      </c>
      <c r="BW82" t="e">
        <f>AND('Planilla_General_07-12-2012_8_3'!B1225,"AAAAAE19eko=")</f>
        <v>#VALUE!</v>
      </c>
      <c r="BX82" t="e">
        <f>AND('Planilla_General_07-12-2012_8_3'!C1225,"AAAAAE19eks=")</f>
        <v>#VALUE!</v>
      </c>
      <c r="BY82" t="e">
        <f>AND('Planilla_General_07-12-2012_8_3'!D1225,"AAAAAE19ekw=")</f>
        <v>#VALUE!</v>
      </c>
      <c r="BZ82" t="e">
        <f>AND('Planilla_General_07-12-2012_8_3'!E1225,"AAAAAE19ek0=")</f>
        <v>#VALUE!</v>
      </c>
      <c r="CA82" t="e">
        <f>AND('Planilla_General_07-12-2012_8_3'!F1225,"AAAAAE19ek4=")</f>
        <v>#VALUE!</v>
      </c>
      <c r="CB82" t="e">
        <f>AND('Planilla_General_07-12-2012_8_3'!G1225,"AAAAAE19ek8=")</f>
        <v>#VALUE!</v>
      </c>
      <c r="CC82" t="e">
        <f>AND('Planilla_General_07-12-2012_8_3'!H1225,"AAAAAE19elA=")</f>
        <v>#VALUE!</v>
      </c>
      <c r="CD82" t="e">
        <f>AND('Planilla_General_07-12-2012_8_3'!I1225,"AAAAAE19elE=")</f>
        <v>#VALUE!</v>
      </c>
      <c r="CE82" t="e">
        <f>AND('Planilla_General_07-12-2012_8_3'!J1225,"AAAAAE19elI=")</f>
        <v>#VALUE!</v>
      </c>
      <c r="CF82" t="e">
        <f>AND('Planilla_General_07-12-2012_8_3'!K1225,"AAAAAE19elM=")</f>
        <v>#VALUE!</v>
      </c>
      <c r="CG82" t="e">
        <f>AND('Planilla_General_07-12-2012_8_3'!L1225,"AAAAAE19elQ=")</f>
        <v>#VALUE!</v>
      </c>
      <c r="CH82" t="e">
        <f>AND('Planilla_General_07-12-2012_8_3'!M1225,"AAAAAE19elU=")</f>
        <v>#VALUE!</v>
      </c>
      <c r="CI82" t="e">
        <f>AND('Planilla_General_07-12-2012_8_3'!N1225,"AAAAAE19elY=")</f>
        <v>#VALUE!</v>
      </c>
      <c r="CJ82" t="e">
        <f>AND('Planilla_General_07-12-2012_8_3'!O1225,"AAAAAE19elc=")</f>
        <v>#VALUE!</v>
      </c>
      <c r="CK82" t="e">
        <f>AND('Planilla_General_07-12-2012_8_3'!P1225,"AAAAAE19elg=")</f>
        <v>#VALUE!</v>
      </c>
      <c r="CL82">
        <f>IF('Planilla_General_07-12-2012_8_3'!1226:1226,"AAAAAE19elk=",0)</f>
        <v>0</v>
      </c>
      <c r="CM82" t="e">
        <f>AND('Planilla_General_07-12-2012_8_3'!A1226,"AAAAAE19elo=")</f>
        <v>#VALUE!</v>
      </c>
      <c r="CN82" t="e">
        <f>AND('Planilla_General_07-12-2012_8_3'!B1226,"AAAAAE19els=")</f>
        <v>#VALUE!</v>
      </c>
      <c r="CO82" t="e">
        <f>AND('Planilla_General_07-12-2012_8_3'!C1226,"AAAAAE19elw=")</f>
        <v>#VALUE!</v>
      </c>
      <c r="CP82" t="e">
        <f>AND('Planilla_General_07-12-2012_8_3'!D1226,"AAAAAE19el0=")</f>
        <v>#VALUE!</v>
      </c>
      <c r="CQ82" t="e">
        <f>AND('Planilla_General_07-12-2012_8_3'!E1226,"AAAAAE19el4=")</f>
        <v>#VALUE!</v>
      </c>
      <c r="CR82" t="e">
        <f>AND('Planilla_General_07-12-2012_8_3'!F1226,"AAAAAE19el8=")</f>
        <v>#VALUE!</v>
      </c>
      <c r="CS82" t="e">
        <f>AND('Planilla_General_07-12-2012_8_3'!G1226,"AAAAAE19emA=")</f>
        <v>#VALUE!</v>
      </c>
      <c r="CT82" t="e">
        <f>AND('Planilla_General_07-12-2012_8_3'!H1226,"AAAAAE19emE=")</f>
        <v>#VALUE!</v>
      </c>
      <c r="CU82" t="e">
        <f>AND('Planilla_General_07-12-2012_8_3'!I1226,"AAAAAE19emI=")</f>
        <v>#VALUE!</v>
      </c>
      <c r="CV82" t="e">
        <f>AND('Planilla_General_07-12-2012_8_3'!J1226,"AAAAAE19emM=")</f>
        <v>#VALUE!</v>
      </c>
      <c r="CW82" t="e">
        <f>AND('Planilla_General_07-12-2012_8_3'!K1226,"AAAAAE19emQ=")</f>
        <v>#VALUE!</v>
      </c>
      <c r="CX82" t="e">
        <f>AND('Planilla_General_07-12-2012_8_3'!L1226,"AAAAAE19emU=")</f>
        <v>#VALUE!</v>
      </c>
      <c r="CY82" t="e">
        <f>AND('Planilla_General_07-12-2012_8_3'!M1226,"AAAAAE19emY=")</f>
        <v>#VALUE!</v>
      </c>
      <c r="CZ82" t="e">
        <f>AND('Planilla_General_07-12-2012_8_3'!N1226,"AAAAAE19emc=")</f>
        <v>#VALUE!</v>
      </c>
      <c r="DA82" t="e">
        <f>AND('Planilla_General_07-12-2012_8_3'!O1226,"AAAAAE19emg=")</f>
        <v>#VALUE!</v>
      </c>
      <c r="DB82" t="e">
        <f>AND('Planilla_General_07-12-2012_8_3'!P1226,"AAAAAE19emk=")</f>
        <v>#VALUE!</v>
      </c>
      <c r="DC82">
        <f>IF('Planilla_General_07-12-2012_8_3'!1227:1227,"AAAAAE19emo=",0)</f>
        <v>0</v>
      </c>
      <c r="DD82" t="e">
        <f>AND('Planilla_General_07-12-2012_8_3'!A1227,"AAAAAE19ems=")</f>
        <v>#VALUE!</v>
      </c>
      <c r="DE82" t="e">
        <f>AND('Planilla_General_07-12-2012_8_3'!B1227,"AAAAAE19emw=")</f>
        <v>#VALUE!</v>
      </c>
      <c r="DF82" t="e">
        <f>AND('Planilla_General_07-12-2012_8_3'!C1227,"AAAAAE19em0=")</f>
        <v>#VALUE!</v>
      </c>
      <c r="DG82" t="e">
        <f>AND('Planilla_General_07-12-2012_8_3'!D1227,"AAAAAE19em4=")</f>
        <v>#VALUE!</v>
      </c>
      <c r="DH82" t="e">
        <f>AND('Planilla_General_07-12-2012_8_3'!E1227,"AAAAAE19em8=")</f>
        <v>#VALUE!</v>
      </c>
      <c r="DI82" t="e">
        <f>AND('Planilla_General_07-12-2012_8_3'!F1227,"AAAAAE19enA=")</f>
        <v>#VALUE!</v>
      </c>
      <c r="DJ82" t="e">
        <f>AND('Planilla_General_07-12-2012_8_3'!G1227,"AAAAAE19enE=")</f>
        <v>#VALUE!</v>
      </c>
      <c r="DK82" t="e">
        <f>AND('Planilla_General_07-12-2012_8_3'!H1227,"AAAAAE19enI=")</f>
        <v>#VALUE!</v>
      </c>
      <c r="DL82" t="e">
        <f>AND('Planilla_General_07-12-2012_8_3'!I1227,"AAAAAE19enM=")</f>
        <v>#VALUE!</v>
      </c>
      <c r="DM82" t="e">
        <f>AND('Planilla_General_07-12-2012_8_3'!J1227,"AAAAAE19enQ=")</f>
        <v>#VALUE!</v>
      </c>
      <c r="DN82" t="e">
        <f>AND('Planilla_General_07-12-2012_8_3'!K1227,"AAAAAE19enU=")</f>
        <v>#VALUE!</v>
      </c>
      <c r="DO82" t="e">
        <f>AND('Planilla_General_07-12-2012_8_3'!L1227,"AAAAAE19enY=")</f>
        <v>#VALUE!</v>
      </c>
      <c r="DP82" t="e">
        <f>AND('Planilla_General_07-12-2012_8_3'!M1227,"AAAAAE19enc=")</f>
        <v>#VALUE!</v>
      </c>
      <c r="DQ82" t="e">
        <f>AND('Planilla_General_07-12-2012_8_3'!N1227,"AAAAAE19eng=")</f>
        <v>#VALUE!</v>
      </c>
      <c r="DR82" t="e">
        <f>AND('Planilla_General_07-12-2012_8_3'!O1227,"AAAAAE19enk=")</f>
        <v>#VALUE!</v>
      </c>
      <c r="DS82" t="e">
        <f>AND('Planilla_General_07-12-2012_8_3'!P1227,"AAAAAE19eno=")</f>
        <v>#VALUE!</v>
      </c>
      <c r="DT82">
        <f>IF('Planilla_General_07-12-2012_8_3'!1228:1228,"AAAAAE19ens=",0)</f>
        <v>0</v>
      </c>
      <c r="DU82" t="e">
        <f>AND('Planilla_General_07-12-2012_8_3'!A1228,"AAAAAE19enw=")</f>
        <v>#VALUE!</v>
      </c>
      <c r="DV82" t="e">
        <f>AND('Planilla_General_07-12-2012_8_3'!B1228,"AAAAAE19en0=")</f>
        <v>#VALUE!</v>
      </c>
      <c r="DW82" t="e">
        <f>AND('Planilla_General_07-12-2012_8_3'!C1228,"AAAAAE19en4=")</f>
        <v>#VALUE!</v>
      </c>
      <c r="DX82" t="e">
        <f>AND('Planilla_General_07-12-2012_8_3'!D1228,"AAAAAE19en8=")</f>
        <v>#VALUE!</v>
      </c>
      <c r="DY82" t="e">
        <f>AND('Planilla_General_07-12-2012_8_3'!E1228,"AAAAAE19eoA=")</f>
        <v>#VALUE!</v>
      </c>
      <c r="DZ82" t="e">
        <f>AND('Planilla_General_07-12-2012_8_3'!F1228,"AAAAAE19eoE=")</f>
        <v>#VALUE!</v>
      </c>
      <c r="EA82" t="e">
        <f>AND('Planilla_General_07-12-2012_8_3'!G1228,"AAAAAE19eoI=")</f>
        <v>#VALUE!</v>
      </c>
      <c r="EB82" t="e">
        <f>AND('Planilla_General_07-12-2012_8_3'!H1228,"AAAAAE19eoM=")</f>
        <v>#VALUE!</v>
      </c>
      <c r="EC82" t="e">
        <f>AND('Planilla_General_07-12-2012_8_3'!I1228,"AAAAAE19eoQ=")</f>
        <v>#VALUE!</v>
      </c>
      <c r="ED82" t="e">
        <f>AND('Planilla_General_07-12-2012_8_3'!J1228,"AAAAAE19eoU=")</f>
        <v>#VALUE!</v>
      </c>
      <c r="EE82" t="e">
        <f>AND('Planilla_General_07-12-2012_8_3'!K1228,"AAAAAE19eoY=")</f>
        <v>#VALUE!</v>
      </c>
      <c r="EF82" t="e">
        <f>AND('Planilla_General_07-12-2012_8_3'!L1228,"AAAAAE19eoc=")</f>
        <v>#VALUE!</v>
      </c>
      <c r="EG82" t="e">
        <f>AND('Planilla_General_07-12-2012_8_3'!M1228,"AAAAAE19eog=")</f>
        <v>#VALUE!</v>
      </c>
      <c r="EH82" t="e">
        <f>AND('Planilla_General_07-12-2012_8_3'!N1228,"AAAAAE19eok=")</f>
        <v>#VALUE!</v>
      </c>
      <c r="EI82" t="e">
        <f>AND('Planilla_General_07-12-2012_8_3'!O1228,"AAAAAE19eoo=")</f>
        <v>#VALUE!</v>
      </c>
      <c r="EJ82" t="e">
        <f>AND('Planilla_General_07-12-2012_8_3'!P1228,"AAAAAE19eos=")</f>
        <v>#VALUE!</v>
      </c>
      <c r="EK82">
        <f>IF('Planilla_General_07-12-2012_8_3'!1229:1229,"AAAAAE19eow=",0)</f>
        <v>0</v>
      </c>
      <c r="EL82" t="e">
        <f>AND('Planilla_General_07-12-2012_8_3'!A1229,"AAAAAE19eo0=")</f>
        <v>#VALUE!</v>
      </c>
      <c r="EM82" t="e">
        <f>AND('Planilla_General_07-12-2012_8_3'!B1229,"AAAAAE19eo4=")</f>
        <v>#VALUE!</v>
      </c>
      <c r="EN82" t="e">
        <f>AND('Planilla_General_07-12-2012_8_3'!C1229,"AAAAAE19eo8=")</f>
        <v>#VALUE!</v>
      </c>
      <c r="EO82" t="e">
        <f>AND('Planilla_General_07-12-2012_8_3'!D1229,"AAAAAE19epA=")</f>
        <v>#VALUE!</v>
      </c>
      <c r="EP82" t="e">
        <f>AND('Planilla_General_07-12-2012_8_3'!E1229,"AAAAAE19epE=")</f>
        <v>#VALUE!</v>
      </c>
      <c r="EQ82" t="e">
        <f>AND('Planilla_General_07-12-2012_8_3'!F1229,"AAAAAE19epI=")</f>
        <v>#VALUE!</v>
      </c>
      <c r="ER82" t="e">
        <f>AND('Planilla_General_07-12-2012_8_3'!G1229,"AAAAAE19epM=")</f>
        <v>#VALUE!</v>
      </c>
      <c r="ES82" t="e">
        <f>AND('Planilla_General_07-12-2012_8_3'!H1229,"AAAAAE19epQ=")</f>
        <v>#VALUE!</v>
      </c>
      <c r="ET82" t="e">
        <f>AND('Planilla_General_07-12-2012_8_3'!I1229,"AAAAAE19epU=")</f>
        <v>#VALUE!</v>
      </c>
      <c r="EU82" t="e">
        <f>AND('Planilla_General_07-12-2012_8_3'!J1229,"AAAAAE19epY=")</f>
        <v>#VALUE!</v>
      </c>
      <c r="EV82" t="e">
        <f>AND('Planilla_General_07-12-2012_8_3'!K1229,"AAAAAE19epc=")</f>
        <v>#VALUE!</v>
      </c>
      <c r="EW82" t="e">
        <f>AND('Planilla_General_07-12-2012_8_3'!L1229,"AAAAAE19epg=")</f>
        <v>#VALUE!</v>
      </c>
      <c r="EX82" t="e">
        <f>AND('Planilla_General_07-12-2012_8_3'!M1229,"AAAAAE19epk=")</f>
        <v>#VALUE!</v>
      </c>
      <c r="EY82" t="e">
        <f>AND('Planilla_General_07-12-2012_8_3'!N1229,"AAAAAE19epo=")</f>
        <v>#VALUE!</v>
      </c>
      <c r="EZ82" t="e">
        <f>AND('Planilla_General_07-12-2012_8_3'!O1229,"AAAAAE19eps=")</f>
        <v>#VALUE!</v>
      </c>
      <c r="FA82" t="e">
        <f>AND('Planilla_General_07-12-2012_8_3'!P1229,"AAAAAE19epw=")</f>
        <v>#VALUE!</v>
      </c>
      <c r="FB82">
        <f>IF('Planilla_General_07-12-2012_8_3'!1230:1230,"AAAAAE19ep0=",0)</f>
        <v>0</v>
      </c>
      <c r="FC82" t="e">
        <f>AND('Planilla_General_07-12-2012_8_3'!A1230,"AAAAAE19ep4=")</f>
        <v>#VALUE!</v>
      </c>
      <c r="FD82" t="e">
        <f>AND('Planilla_General_07-12-2012_8_3'!B1230,"AAAAAE19ep8=")</f>
        <v>#VALUE!</v>
      </c>
      <c r="FE82" t="e">
        <f>AND('Planilla_General_07-12-2012_8_3'!C1230,"AAAAAE19eqA=")</f>
        <v>#VALUE!</v>
      </c>
      <c r="FF82" t="e">
        <f>AND('Planilla_General_07-12-2012_8_3'!D1230,"AAAAAE19eqE=")</f>
        <v>#VALUE!</v>
      </c>
      <c r="FG82" t="e">
        <f>AND('Planilla_General_07-12-2012_8_3'!E1230,"AAAAAE19eqI=")</f>
        <v>#VALUE!</v>
      </c>
      <c r="FH82" t="e">
        <f>AND('Planilla_General_07-12-2012_8_3'!F1230,"AAAAAE19eqM=")</f>
        <v>#VALUE!</v>
      </c>
      <c r="FI82" t="e">
        <f>AND('Planilla_General_07-12-2012_8_3'!G1230,"AAAAAE19eqQ=")</f>
        <v>#VALUE!</v>
      </c>
      <c r="FJ82" t="e">
        <f>AND('Planilla_General_07-12-2012_8_3'!H1230,"AAAAAE19eqU=")</f>
        <v>#VALUE!</v>
      </c>
      <c r="FK82" t="e">
        <f>AND('Planilla_General_07-12-2012_8_3'!I1230,"AAAAAE19eqY=")</f>
        <v>#VALUE!</v>
      </c>
      <c r="FL82" t="e">
        <f>AND('Planilla_General_07-12-2012_8_3'!J1230,"AAAAAE19eqc=")</f>
        <v>#VALUE!</v>
      </c>
      <c r="FM82" t="e">
        <f>AND('Planilla_General_07-12-2012_8_3'!K1230,"AAAAAE19eqg=")</f>
        <v>#VALUE!</v>
      </c>
      <c r="FN82" t="e">
        <f>AND('Planilla_General_07-12-2012_8_3'!L1230,"AAAAAE19eqk=")</f>
        <v>#VALUE!</v>
      </c>
      <c r="FO82" t="e">
        <f>AND('Planilla_General_07-12-2012_8_3'!M1230,"AAAAAE19eqo=")</f>
        <v>#VALUE!</v>
      </c>
      <c r="FP82" t="e">
        <f>AND('Planilla_General_07-12-2012_8_3'!N1230,"AAAAAE19eqs=")</f>
        <v>#VALUE!</v>
      </c>
      <c r="FQ82" t="e">
        <f>AND('Planilla_General_07-12-2012_8_3'!O1230,"AAAAAE19eqw=")</f>
        <v>#VALUE!</v>
      </c>
      <c r="FR82" t="e">
        <f>AND('Planilla_General_07-12-2012_8_3'!P1230,"AAAAAE19eq0=")</f>
        <v>#VALUE!</v>
      </c>
      <c r="FS82">
        <f>IF('Planilla_General_07-12-2012_8_3'!1231:1231,"AAAAAE19eq4=",0)</f>
        <v>0</v>
      </c>
      <c r="FT82" t="e">
        <f>AND('Planilla_General_07-12-2012_8_3'!A1231,"AAAAAE19eq8=")</f>
        <v>#VALUE!</v>
      </c>
      <c r="FU82" t="e">
        <f>AND('Planilla_General_07-12-2012_8_3'!B1231,"AAAAAE19erA=")</f>
        <v>#VALUE!</v>
      </c>
      <c r="FV82" t="e">
        <f>AND('Planilla_General_07-12-2012_8_3'!C1231,"AAAAAE19erE=")</f>
        <v>#VALUE!</v>
      </c>
      <c r="FW82" t="e">
        <f>AND('Planilla_General_07-12-2012_8_3'!D1231,"AAAAAE19erI=")</f>
        <v>#VALUE!</v>
      </c>
      <c r="FX82" t="e">
        <f>AND('Planilla_General_07-12-2012_8_3'!E1231,"AAAAAE19erM=")</f>
        <v>#VALUE!</v>
      </c>
      <c r="FY82" t="e">
        <f>AND('Planilla_General_07-12-2012_8_3'!F1231,"AAAAAE19erQ=")</f>
        <v>#VALUE!</v>
      </c>
      <c r="FZ82" t="e">
        <f>AND('Planilla_General_07-12-2012_8_3'!G1231,"AAAAAE19erU=")</f>
        <v>#VALUE!</v>
      </c>
      <c r="GA82" t="e">
        <f>AND('Planilla_General_07-12-2012_8_3'!H1231,"AAAAAE19erY=")</f>
        <v>#VALUE!</v>
      </c>
      <c r="GB82" t="e">
        <f>AND('Planilla_General_07-12-2012_8_3'!I1231,"AAAAAE19erc=")</f>
        <v>#VALUE!</v>
      </c>
      <c r="GC82" t="e">
        <f>AND('Planilla_General_07-12-2012_8_3'!J1231,"AAAAAE19erg=")</f>
        <v>#VALUE!</v>
      </c>
      <c r="GD82" t="e">
        <f>AND('Planilla_General_07-12-2012_8_3'!K1231,"AAAAAE19erk=")</f>
        <v>#VALUE!</v>
      </c>
      <c r="GE82" t="e">
        <f>AND('Planilla_General_07-12-2012_8_3'!L1231,"AAAAAE19ero=")</f>
        <v>#VALUE!</v>
      </c>
      <c r="GF82" t="e">
        <f>AND('Planilla_General_07-12-2012_8_3'!M1231,"AAAAAE19ers=")</f>
        <v>#VALUE!</v>
      </c>
      <c r="GG82" t="e">
        <f>AND('Planilla_General_07-12-2012_8_3'!N1231,"AAAAAE19erw=")</f>
        <v>#VALUE!</v>
      </c>
      <c r="GH82" t="e">
        <f>AND('Planilla_General_07-12-2012_8_3'!O1231,"AAAAAE19er0=")</f>
        <v>#VALUE!</v>
      </c>
      <c r="GI82" t="e">
        <f>AND('Planilla_General_07-12-2012_8_3'!P1231,"AAAAAE19er4=")</f>
        <v>#VALUE!</v>
      </c>
      <c r="GJ82">
        <f>IF('Planilla_General_07-12-2012_8_3'!1232:1232,"AAAAAE19er8=",0)</f>
        <v>0</v>
      </c>
      <c r="GK82" t="e">
        <f>AND('Planilla_General_07-12-2012_8_3'!A1232,"AAAAAE19esA=")</f>
        <v>#VALUE!</v>
      </c>
      <c r="GL82" t="e">
        <f>AND('Planilla_General_07-12-2012_8_3'!B1232,"AAAAAE19esE=")</f>
        <v>#VALUE!</v>
      </c>
      <c r="GM82" t="e">
        <f>AND('Planilla_General_07-12-2012_8_3'!C1232,"AAAAAE19esI=")</f>
        <v>#VALUE!</v>
      </c>
      <c r="GN82" t="e">
        <f>AND('Planilla_General_07-12-2012_8_3'!D1232,"AAAAAE19esM=")</f>
        <v>#VALUE!</v>
      </c>
      <c r="GO82" t="e">
        <f>AND('Planilla_General_07-12-2012_8_3'!E1232,"AAAAAE19esQ=")</f>
        <v>#VALUE!</v>
      </c>
      <c r="GP82" t="e">
        <f>AND('Planilla_General_07-12-2012_8_3'!F1232,"AAAAAE19esU=")</f>
        <v>#VALUE!</v>
      </c>
      <c r="GQ82" t="e">
        <f>AND('Planilla_General_07-12-2012_8_3'!G1232,"AAAAAE19esY=")</f>
        <v>#VALUE!</v>
      </c>
      <c r="GR82" t="e">
        <f>AND('Planilla_General_07-12-2012_8_3'!H1232,"AAAAAE19esc=")</f>
        <v>#VALUE!</v>
      </c>
      <c r="GS82" t="e">
        <f>AND('Planilla_General_07-12-2012_8_3'!I1232,"AAAAAE19esg=")</f>
        <v>#VALUE!</v>
      </c>
      <c r="GT82" t="e">
        <f>AND('Planilla_General_07-12-2012_8_3'!J1232,"AAAAAE19esk=")</f>
        <v>#VALUE!</v>
      </c>
      <c r="GU82" t="e">
        <f>AND('Planilla_General_07-12-2012_8_3'!K1232,"AAAAAE19eso=")</f>
        <v>#VALUE!</v>
      </c>
      <c r="GV82" t="e">
        <f>AND('Planilla_General_07-12-2012_8_3'!L1232,"AAAAAE19ess=")</f>
        <v>#VALUE!</v>
      </c>
      <c r="GW82" t="e">
        <f>AND('Planilla_General_07-12-2012_8_3'!M1232,"AAAAAE19esw=")</f>
        <v>#VALUE!</v>
      </c>
      <c r="GX82" t="e">
        <f>AND('Planilla_General_07-12-2012_8_3'!N1232,"AAAAAE19es0=")</f>
        <v>#VALUE!</v>
      </c>
      <c r="GY82" t="e">
        <f>AND('Planilla_General_07-12-2012_8_3'!O1232,"AAAAAE19es4=")</f>
        <v>#VALUE!</v>
      </c>
      <c r="GZ82" t="e">
        <f>AND('Planilla_General_07-12-2012_8_3'!P1232,"AAAAAE19es8=")</f>
        <v>#VALUE!</v>
      </c>
      <c r="HA82">
        <f>IF('Planilla_General_07-12-2012_8_3'!1233:1233,"AAAAAE19etA=",0)</f>
        <v>0</v>
      </c>
      <c r="HB82" t="e">
        <f>AND('Planilla_General_07-12-2012_8_3'!A1233,"AAAAAE19etE=")</f>
        <v>#VALUE!</v>
      </c>
      <c r="HC82" t="e">
        <f>AND('Planilla_General_07-12-2012_8_3'!B1233,"AAAAAE19etI=")</f>
        <v>#VALUE!</v>
      </c>
      <c r="HD82" t="e">
        <f>AND('Planilla_General_07-12-2012_8_3'!C1233,"AAAAAE19etM=")</f>
        <v>#VALUE!</v>
      </c>
      <c r="HE82" t="e">
        <f>AND('Planilla_General_07-12-2012_8_3'!D1233,"AAAAAE19etQ=")</f>
        <v>#VALUE!</v>
      </c>
      <c r="HF82" t="e">
        <f>AND('Planilla_General_07-12-2012_8_3'!E1233,"AAAAAE19etU=")</f>
        <v>#VALUE!</v>
      </c>
      <c r="HG82" t="e">
        <f>AND('Planilla_General_07-12-2012_8_3'!F1233,"AAAAAE19etY=")</f>
        <v>#VALUE!</v>
      </c>
      <c r="HH82" t="e">
        <f>AND('Planilla_General_07-12-2012_8_3'!G1233,"AAAAAE19etc=")</f>
        <v>#VALUE!</v>
      </c>
      <c r="HI82" t="e">
        <f>AND('Planilla_General_07-12-2012_8_3'!H1233,"AAAAAE19etg=")</f>
        <v>#VALUE!</v>
      </c>
      <c r="HJ82" t="e">
        <f>AND('Planilla_General_07-12-2012_8_3'!I1233,"AAAAAE19etk=")</f>
        <v>#VALUE!</v>
      </c>
      <c r="HK82" t="e">
        <f>AND('Planilla_General_07-12-2012_8_3'!J1233,"AAAAAE19eto=")</f>
        <v>#VALUE!</v>
      </c>
      <c r="HL82" t="e">
        <f>AND('Planilla_General_07-12-2012_8_3'!K1233,"AAAAAE19ets=")</f>
        <v>#VALUE!</v>
      </c>
      <c r="HM82" t="e">
        <f>AND('Planilla_General_07-12-2012_8_3'!L1233,"AAAAAE19etw=")</f>
        <v>#VALUE!</v>
      </c>
      <c r="HN82" t="e">
        <f>AND('Planilla_General_07-12-2012_8_3'!M1233,"AAAAAE19et0=")</f>
        <v>#VALUE!</v>
      </c>
      <c r="HO82" t="e">
        <f>AND('Planilla_General_07-12-2012_8_3'!N1233,"AAAAAE19et4=")</f>
        <v>#VALUE!</v>
      </c>
      <c r="HP82" t="e">
        <f>AND('Planilla_General_07-12-2012_8_3'!O1233,"AAAAAE19et8=")</f>
        <v>#VALUE!</v>
      </c>
      <c r="HQ82" t="e">
        <f>AND('Planilla_General_07-12-2012_8_3'!P1233,"AAAAAE19euA=")</f>
        <v>#VALUE!</v>
      </c>
      <c r="HR82">
        <f>IF('Planilla_General_07-12-2012_8_3'!1234:1234,"AAAAAE19euE=",0)</f>
        <v>0</v>
      </c>
      <c r="HS82" t="e">
        <f>AND('Planilla_General_07-12-2012_8_3'!A1234,"AAAAAE19euI=")</f>
        <v>#VALUE!</v>
      </c>
      <c r="HT82" t="e">
        <f>AND('Planilla_General_07-12-2012_8_3'!B1234,"AAAAAE19euM=")</f>
        <v>#VALUE!</v>
      </c>
      <c r="HU82" t="e">
        <f>AND('Planilla_General_07-12-2012_8_3'!C1234,"AAAAAE19euQ=")</f>
        <v>#VALUE!</v>
      </c>
      <c r="HV82" t="e">
        <f>AND('Planilla_General_07-12-2012_8_3'!D1234,"AAAAAE19euU=")</f>
        <v>#VALUE!</v>
      </c>
      <c r="HW82" t="e">
        <f>AND('Planilla_General_07-12-2012_8_3'!E1234,"AAAAAE19euY=")</f>
        <v>#VALUE!</v>
      </c>
      <c r="HX82" t="e">
        <f>AND('Planilla_General_07-12-2012_8_3'!F1234,"AAAAAE19euc=")</f>
        <v>#VALUE!</v>
      </c>
      <c r="HY82" t="e">
        <f>AND('Planilla_General_07-12-2012_8_3'!G1234,"AAAAAE19eug=")</f>
        <v>#VALUE!</v>
      </c>
      <c r="HZ82" t="e">
        <f>AND('Planilla_General_07-12-2012_8_3'!H1234,"AAAAAE19euk=")</f>
        <v>#VALUE!</v>
      </c>
      <c r="IA82" t="e">
        <f>AND('Planilla_General_07-12-2012_8_3'!I1234,"AAAAAE19euo=")</f>
        <v>#VALUE!</v>
      </c>
      <c r="IB82" t="e">
        <f>AND('Planilla_General_07-12-2012_8_3'!J1234,"AAAAAE19eus=")</f>
        <v>#VALUE!</v>
      </c>
      <c r="IC82" t="e">
        <f>AND('Planilla_General_07-12-2012_8_3'!K1234,"AAAAAE19euw=")</f>
        <v>#VALUE!</v>
      </c>
      <c r="ID82" t="e">
        <f>AND('Planilla_General_07-12-2012_8_3'!L1234,"AAAAAE19eu0=")</f>
        <v>#VALUE!</v>
      </c>
      <c r="IE82" t="e">
        <f>AND('Planilla_General_07-12-2012_8_3'!M1234,"AAAAAE19eu4=")</f>
        <v>#VALUE!</v>
      </c>
      <c r="IF82" t="e">
        <f>AND('Planilla_General_07-12-2012_8_3'!N1234,"AAAAAE19eu8=")</f>
        <v>#VALUE!</v>
      </c>
      <c r="IG82" t="e">
        <f>AND('Planilla_General_07-12-2012_8_3'!O1234,"AAAAAE19evA=")</f>
        <v>#VALUE!</v>
      </c>
      <c r="IH82" t="e">
        <f>AND('Planilla_General_07-12-2012_8_3'!P1234,"AAAAAE19evE=")</f>
        <v>#VALUE!</v>
      </c>
      <c r="II82">
        <f>IF('Planilla_General_07-12-2012_8_3'!1235:1235,"AAAAAE19evI=",0)</f>
        <v>0</v>
      </c>
      <c r="IJ82" t="e">
        <f>AND('Planilla_General_07-12-2012_8_3'!A1235,"AAAAAE19evM=")</f>
        <v>#VALUE!</v>
      </c>
      <c r="IK82" t="e">
        <f>AND('Planilla_General_07-12-2012_8_3'!B1235,"AAAAAE19evQ=")</f>
        <v>#VALUE!</v>
      </c>
      <c r="IL82" t="e">
        <f>AND('Planilla_General_07-12-2012_8_3'!C1235,"AAAAAE19evU=")</f>
        <v>#VALUE!</v>
      </c>
      <c r="IM82" t="e">
        <f>AND('Planilla_General_07-12-2012_8_3'!D1235,"AAAAAE19evY=")</f>
        <v>#VALUE!</v>
      </c>
      <c r="IN82" t="e">
        <f>AND('Planilla_General_07-12-2012_8_3'!E1235,"AAAAAE19evc=")</f>
        <v>#VALUE!</v>
      </c>
      <c r="IO82" t="e">
        <f>AND('Planilla_General_07-12-2012_8_3'!F1235,"AAAAAE19evg=")</f>
        <v>#VALUE!</v>
      </c>
      <c r="IP82" t="e">
        <f>AND('Planilla_General_07-12-2012_8_3'!G1235,"AAAAAE19evk=")</f>
        <v>#VALUE!</v>
      </c>
      <c r="IQ82" t="e">
        <f>AND('Planilla_General_07-12-2012_8_3'!H1235,"AAAAAE19evo=")</f>
        <v>#VALUE!</v>
      </c>
      <c r="IR82" t="e">
        <f>AND('Planilla_General_07-12-2012_8_3'!I1235,"AAAAAE19evs=")</f>
        <v>#VALUE!</v>
      </c>
      <c r="IS82" t="e">
        <f>AND('Planilla_General_07-12-2012_8_3'!J1235,"AAAAAE19evw=")</f>
        <v>#VALUE!</v>
      </c>
      <c r="IT82" t="e">
        <f>AND('Planilla_General_07-12-2012_8_3'!K1235,"AAAAAE19ev0=")</f>
        <v>#VALUE!</v>
      </c>
      <c r="IU82" t="e">
        <f>AND('Planilla_General_07-12-2012_8_3'!L1235,"AAAAAE19ev4=")</f>
        <v>#VALUE!</v>
      </c>
      <c r="IV82" t="e">
        <f>AND('Planilla_General_07-12-2012_8_3'!M1235,"AAAAAE19ev8=")</f>
        <v>#VALUE!</v>
      </c>
    </row>
    <row r="83" spans="1:256" x14ac:dyDescent="0.25">
      <c r="A83" t="e">
        <f>AND('Planilla_General_07-12-2012_8_3'!N1235,"AAAAAFuZ9wA=")</f>
        <v>#VALUE!</v>
      </c>
      <c r="B83" t="e">
        <f>AND('Planilla_General_07-12-2012_8_3'!O1235,"AAAAAFuZ9wE=")</f>
        <v>#VALUE!</v>
      </c>
      <c r="C83" t="e">
        <f>AND('Planilla_General_07-12-2012_8_3'!P1235,"AAAAAFuZ9wI=")</f>
        <v>#VALUE!</v>
      </c>
      <c r="D83" t="e">
        <f>IF('Planilla_General_07-12-2012_8_3'!1236:1236,"AAAAAFuZ9wM=",0)</f>
        <v>#VALUE!</v>
      </c>
      <c r="E83" t="e">
        <f>AND('Planilla_General_07-12-2012_8_3'!A1236,"AAAAAFuZ9wQ=")</f>
        <v>#VALUE!</v>
      </c>
      <c r="F83" t="e">
        <f>AND('Planilla_General_07-12-2012_8_3'!B1236,"AAAAAFuZ9wU=")</f>
        <v>#VALUE!</v>
      </c>
      <c r="G83" t="e">
        <f>AND('Planilla_General_07-12-2012_8_3'!C1236,"AAAAAFuZ9wY=")</f>
        <v>#VALUE!</v>
      </c>
      <c r="H83" t="e">
        <f>AND('Planilla_General_07-12-2012_8_3'!D1236,"AAAAAFuZ9wc=")</f>
        <v>#VALUE!</v>
      </c>
      <c r="I83" t="e">
        <f>AND('Planilla_General_07-12-2012_8_3'!E1236,"AAAAAFuZ9wg=")</f>
        <v>#VALUE!</v>
      </c>
      <c r="J83" t="e">
        <f>AND('Planilla_General_07-12-2012_8_3'!F1236,"AAAAAFuZ9wk=")</f>
        <v>#VALUE!</v>
      </c>
      <c r="K83" t="e">
        <f>AND('Planilla_General_07-12-2012_8_3'!G1236,"AAAAAFuZ9wo=")</f>
        <v>#VALUE!</v>
      </c>
      <c r="L83" t="e">
        <f>AND('Planilla_General_07-12-2012_8_3'!H1236,"AAAAAFuZ9ws=")</f>
        <v>#VALUE!</v>
      </c>
      <c r="M83" t="e">
        <f>AND('Planilla_General_07-12-2012_8_3'!I1236,"AAAAAFuZ9ww=")</f>
        <v>#VALUE!</v>
      </c>
      <c r="N83" t="e">
        <f>AND('Planilla_General_07-12-2012_8_3'!J1236,"AAAAAFuZ9w0=")</f>
        <v>#VALUE!</v>
      </c>
      <c r="O83" t="e">
        <f>AND('Planilla_General_07-12-2012_8_3'!K1236,"AAAAAFuZ9w4=")</f>
        <v>#VALUE!</v>
      </c>
      <c r="P83" t="e">
        <f>AND('Planilla_General_07-12-2012_8_3'!L1236,"AAAAAFuZ9w8=")</f>
        <v>#VALUE!</v>
      </c>
      <c r="Q83" t="e">
        <f>AND('Planilla_General_07-12-2012_8_3'!M1236,"AAAAAFuZ9xA=")</f>
        <v>#VALUE!</v>
      </c>
      <c r="R83" t="e">
        <f>AND('Planilla_General_07-12-2012_8_3'!N1236,"AAAAAFuZ9xE=")</f>
        <v>#VALUE!</v>
      </c>
      <c r="S83" t="e">
        <f>AND('Planilla_General_07-12-2012_8_3'!O1236,"AAAAAFuZ9xI=")</f>
        <v>#VALUE!</v>
      </c>
      <c r="T83" t="e">
        <f>AND('Planilla_General_07-12-2012_8_3'!P1236,"AAAAAFuZ9xM=")</f>
        <v>#VALUE!</v>
      </c>
      <c r="U83">
        <f>IF('Planilla_General_07-12-2012_8_3'!1237:1237,"AAAAAFuZ9xQ=",0)</f>
        <v>0</v>
      </c>
      <c r="V83" t="e">
        <f>AND('Planilla_General_07-12-2012_8_3'!A1237,"AAAAAFuZ9xU=")</f>
        <v>#VALUE!</v>
      </c>
      <c r="W83" t="e">
        <f>AND('Planilla_General_07-12-2012_8_3'!B1237,"AAAAAFuZ9xY=")</f>
        <v>#VALUE!</v>
      </c>
      <c r="X83" t="e">
        <f>AND('Planilla_General_07-12-2012_8_3'!C1237,"AAAAAFuZ9xc=")</f>
        <v>#VALUE!</v>
      </c>
      <c r="Y83" t="e">
        <f>AND('Planilla_General_07-12-2012_8_3'!D1237,"AAAAAFuZ9xg=")</f>
        <v>#VALUE!</v>
      </c>
      <c r="Z83" t="e">
        <f>AND('Planilla_General_07-12-2012_8_3'!E1237,"AAAAAFuZ9xk=")</f>
        <v>#VALUE!</v>
      </c>
      <c r="AA83" t="e">
        <f>AND('Planilla_General_07-12-2012_8_3'!F1237,"AAAAAFuZ9xo=")</f>
        <v>#VALUE!</v>
      </c>
      <c r="AB83" t="e">
        <f>AND('Planilla_General_07-12-2012_8_3'!G1237,"AAAAAFuZ9xs=")</f>
        <v>#VALUE!</v>
      </c>
      <c r="AC83" t="e">
        <f>AND('Planilla_General_07-12-2012_8_3'!H1237,"AAAAAFuZ9xw=")</f>
        <v>#VALUE!</v>
      </c>
      <c r="AD83" t="e">
        <f>AND('Planilla_General_07-12-2012_8_3'!I1237,"AAAAAFuZ9x0=")</f>
        <v>#VALUE!</v>
      </c>
      <c r="AE83" t="e">
        <f>AND('Planilla_General_07-12-2012_8_3'!J1237,"AAAAAFuZ9x4=")</f>
        <v>#VALUE!</v>
      </c>
      <c r="AF83" t="e">
        <f>AND('Planilla_General_07-12-2012_8_3'!K1237,"AAAAAFuZ9x8=")</f>
        <v>#VALUE!</v>
      </c>
      <c r="AG83" t="e">
        <f>AND('Planilla_General_07-12-2012_8_3'!L1237,"AAAAAFuZ9yA=")</f>
        <v>#VALUE!</v>
      </c>
      <c r="AH83" t="e">
        <f>AND('Planilla_General_07-12-2012_8_3'!M1237,"AAAAAFuZ9yE=")</f>
        <v>#VALUE!</v>
      </c>
      <c r="AI83" t="e">
        <f>AND('Planilla_General_07-12-2012_8_3'!N1237,"AAAAAFuZ9yI=")</f>
        <v>#VALUE!</v>
      </c>
      <c r="AJ83" t="e">
        <f>AND('Planilla_General_07-12-2012_8_3'!O1237,"AAAAAFuZ9yM=")</f>
        <v>#VALUE!</v>
      </c>
      <c r="AK83" t="e">
        <f>AND('Planilla_General_07-12-2012_8_3'!P1237,"AAAAAFuZ9yQ=")</f>
        <v>#VALUE!</v>
      </c>
      <c r="AL83">
        <f>IF('Planilla_General_07-12-2012_8_3'!1238:1238,"AAAAAFuZ9yU=",0)</f>
        <v>0</v>
      </c>
      <c r="AM83" t="e">
        <f>AND('Planilla_General_07-12-2012_8_3'!A1238,"AAAAAFuZ9yY=")</f>
        <v>#VALUE!</v>
      </c>
      <c r="AN83" t="e">
        <f>AND('Planilla_General_07-12-2012_8_3'!B1238,"AAAAAFuZ9yc=")</f>
        <v>#VALUE!</v>
      </c>
      <c r="AO83" t="e">
        <f>AND('Planilla_General_07-12-2012_8_3'!C1238,"AAAAAFuZ9yg=")</f>
        <v>#VALUE!</v>
      </c>
      <c r="AP83" t="e">
        <f>AND('Planilla_General_07-12-2012_8_3'!D1238,"AAAAAFuZ9yk=")</f>
        <v>#VALUE!</v>
      </c>
      <c r="AQ83" t="e">
        <f>AND('Planilla_General_07-12-2012_8_3'!E1238,"AAAAAFuZ9yo=")</f>
        <v>#VALUE!</v>
      </c>
      <c r="AR83" t="e">
        <f>AND('Planilla_General_07-12-2012_8_3'!F1238,"AAAAAFuZ9ys=")</f>
        <v>#VALUE!</v>
      </c>
      <c r="AS83" t="e">
        <f>AND('Planilla_General_07-12-2012_8_3'!G1238,"AAAAAFuZ9yw=")</f>
        <v>#VALUE!</v>
      </c>
      <c r="AT83" t="e">
        <f>AND('Planilla_General_07-12-2012_8_3'!H1238,"AAAAAFuZ9y0=")</f>
        <v>#VALUE!</v>
      </c>
      <c r="AU83" t="e">
        <f>AND('Planilla_General_07-12-2012_8_3'!I1238,"AAAAAFuZ9y4=")</f>
        <v>#VALUE!</v>
      </c>
      <c r="AV83" t="e">
        <f>AND('Planilla_General_07-12-2012_8_3'!J1238,"AAAAAFuZ9y8=")</f>
        <v>#VALUE!</v>
      </c>
      <c r="AW83" t="e">
        <f>AND('Planilla_General_07-12-2012_8_3'!K1238,"AAAAAFuZ9zA=")</f>
        <v>#VALUE!</v>
      </c>
      <c r="AX83" t="e">
        <f>AND('Planilla_General_07-12-2012_8_3'!L1238,"AAAAAFuZ9zE=")</f>
        <v>#VALUE!</v>
      </c>
      <c r="AY83" t="e">
        <f>AND('Planilla_General_07-12-2012_8_3'!M1238,"AAAAAFuZ9zI=")</f>
        <v>#VALUE!</v>
      </c>
      <c r="AZ83" t="e">
        <f>AND('Planilla_General_07-12-2012_8_3'!N1238,"AAAAAFuZ9zM=")</f>
        <v>#VALUE!</v>
      </c>
      <c r="BA83" t="e">
        <f>AND('Planilla_General_07-12-2012_8_3'!O1238,"AAAAAFuZ9zQ=")</f>
        <v>#VALUE!</v>
      </c>
      <c r="BB83" t="e">
        <f>AND('Planilla_General_07-12-2012_8_3'!P1238,"AAAAAFuZ9zU=")</f>
        <v>#VALUE!</v>
      </c>
      <c r="BC83">
        <f>IF('Planilla_General_07-12-2012_8_3'!1239:1239,"AAAAAFuZ9zY=",0)</f>
        <v>0</v>
      </c>
      <c r="BD83" t="e">
        <f>AND('Planilla_General_07-12-2012_8_3'!A1239,"AAAAAFuZ9zc=")</f>
        <v>#VALUE!</v>
      </c>
      <c r="BE83" t="e">
        <f>AND('Planilla_General_07-12-2012_8_3'!B1239,"AAAAAFuZ9zg=")</f>
        <v>#VALUE!</v>
      </c>
      <c r="BF83" t="e">
        <f>AND('Planilla_General_07-12-2012_8_3'!C1239,"AAAAAFuZ9zk=")</f>
        <v>#VALUE!</v>
      </c>
      <c r="BG83" t="e">
        <f>AND('Planilla_General_07-12-2012_8_3'!D1239,"AAAAAFuZ9zo=")</f>
        <v>#VALUE!</v>
      </c>
      <c r="BH83" t="e">
        <f>AND('Planilla_General_07-12-2012_8_3'!E1239,"AAAAAFuZ9zs=")</f>
        <v>#VALUE!</v>
      </c>
      <c r="BI83" t="e">
        <f>AND('Planilla_General_07-12-2012_8_3'!F1239,"AAAAAFuZ9zw=")</f>
        <v>#VALUE!</v>
      </c>
      <c r="BJ83" t="e">
        <f>AND('Planilla_General_07-12-2012_8_3'!G1239,"AAAAAFuZ9z0=")</f>
        <v>#VALUE!</v>
      </c>
      <c r="BK83" t="e">
        <f>AND('Planilla_General_07-12-2012_8_3'!H1239,"AAAAAFuZ9z4=")</f>
        <v>#VALUE!</v>
      </c>
      <c r="BL83" t="e">
        <f>AND('Planilla_General_07-12-2012_8_3'!I1239,"AAAAAFuZ9z8=")</f>
        <v>#VALUE!</v>
      </c>
      <c r="BM83" t="e">
        <f>AND('Planilla_General_07-12-2012_8_3'!J1239,"AAAAAFuZ90A=")</f>
        <v>#VALUE!</v>
      </c>
      <c r="BN83" t="e">
        <f>AND('Planilla_General_07-12-2012_8_3'!K1239,"AAAAAFuZ90E=")</f>
        <v>#VALUE!</v>
      </c>
      <c r="BO83" t="e">
        <f>AND('Planilla_General_07-12-2012_8_3'!L1239,"AAAAAFuZ90I=")</f>
        <v>#VALUE!</v>
      </c>
      <c r="BP83" t="e">
        <f>AND('Planilla_General_07-12-2012_8_3'!M1239,"AAAAAFuZ90M=")</f>
        <v>#VALUE!</v>
      </c>
      <c r="BQ83" t="e">
        <f>AND('Planilla_General_07-12-2012_8_3'!N1239,"AAAAAFuZ90Q=")</f>
        <v>#VALUE!</v>
      </c>
      <c r="BR83" t="e">
        <f>AND('Planilla_General_07-12-2012_8_3'!O1239,"AAAAAFuZ90U=")</f>
        <v>#VALUE!</v>
      </c>
      <c r="BS83" t="e">
        <f>AND('Planilla_General_07-12-2012_8_3'!P1239,"AAAAAFuZ90Y=")</f>
        <v>#VALUE!</v>
      </c>
      <c r="BT83">
        <f>IF('Planilla_General_07-12-2012_8_3'!1240:1240,"AAAAAFuZ90c=",0)</f>
        <v>0</v>
      </c>
      <c r="BU83" t="e">
        <f>AND('Planilla_General_07-12-2012_8_3'!A1240,"AAAAAFuZ90g=")</f>
        <v>#VALUE!</v>
      </c>
      <c r="BV83" t="e">
        <f>AND('Planilla_General_07-12-2012_8_3'!B1240,"AAAAAFuZ90k=")</f>
        <v>#VALUE!</v>
      </c>
      <c r="BW83" t="e">
        <f>AND('Planilla_General_07-12-2012_8_3'!C1240,"AAAAAFuZ90o=")</f>
        <v>#VALUE!</v>
      </c>
      <c r="BX83" t="e">
        <f>AND('Planilla_General_07-12-2012_8_3'!D1240,"AAAAAFuZ90s=")</f>
        <v>#VALUE!</v>
      </c>
      <c r="BY83" t="e">
        <f>AND('Planilla_General_07-12-2012_8_3'!E1240,"AAAAAFuZ90w=")</f>
        <v>#VALUE!</v>
      </c>
      <c r="BZ83" t="e">
        <f>AND('Planilla_General_07-12-2012_8_3'!F1240,"AAAAAFuZ900=")</f>
        <v>#VALUE!</v>
      </c>
      <c r="CA83" t="e">
        <f>AND('Planilla_General_07-12-2012_8_3'!G1240,"AAAAAFuZ904=")</f>
        <v>#VALUE!</v>
      </c>
      <c r="CB83" t="e">
        <f>AND('Planilla_General_07-12-2012_8_3'!H1240,"AAAAAFuZ908=")</f>
        <v>#VALUE!</v>
      </c>
      <c r="CC83" t="e">
        <f>AND('Planilla_General_07-12-2012_8_3'!I1240,"AAAAAFuZ91A=")</f>
        <v>#VALUE!</v>
      </c>
      <c r="CD83" t="e">
        <f>AND('Planilla_General_07-12-2012_8_3'!J1240,"AAAAAFuZ91E=")</f>
        <v>#VALUE!</v>
      </c>
      <c r="CE83" t="e">
        <f>AND('Planilla_General_07-12-2012_8_3'!K1240,"AAAAAFuZ91I=")</f>
        <v>#VALUE!</v>
      </c>
      <c r="CF83" t="e">
        <f>AND('Planilla_General_07-12-2012_8_3'!L1240,"AAAAAFuZ91M=")</f>
        <v>#VALUE!</v>
      </c>
      <c r="CG83" t="e">
        <f>AND('Planilla_General_07-12-2012_8_3'!M1240,"AAAAAFuZ91Q=")</f>
        <v>#VALUE!</v>
      </c>
      <c r="CH83" t="e">
        <f>AND('Planilla_General_07-12-2012_8_3'!N1240,"AAAAAFuZ91U=")</f>
        <v>#VALUE!</v>
      </c>
      <c r="CI83" t="e">
        <f>AND('Planilla_General_07-12-2012_8_3'!O1240,"AAAAAFuZ91Y=")</f>
        <v>#VALUE!</v>
      </c>
      <c r="CJ83" t="e">
        <f>AND('Planilla_General_07-12-2012_8_3'!P1240,"AAAAAFuZ91c=")</f>
        <v>#VALUE!</v>
      </c>
      <c r="CK83">
        <f>IF('Planilla_General_07-12-2012_8_3'!1241:1241,"AAAAAFuZ91g=",0)</f>
        <v>0</v>
      </c>
      <c r="CL83" t="e">
        <f>AND('Planilla_General_07-12-2012_8_3'!A1241,"AAAAAFuZ91k=")</f>
        <v>#VALUE!</v>
      </c>
      <c r="CM83" t="e">
        <f>AND('Planilla_General_07-12-2012_8_3'!B1241,"AAAAAFuZ91o=")</f>
        <v>#VALUE!</v>
      </c>
      <c r="CN83" t="e">
        <f>AND('Planilla_General_07-12-2012_8_3'!C1241,"AAAAAFuZ91s=")</f>
        <v>#VALUE!</v>
      </c>
      <c r="CO83" t="e">
        <f>AND('Planilla_General_07-12-2012_8_3'!D1241,"AAAAAFuZ91w=")</f>
        <v>#VALUE!</v>
      </c>
      <c r="CP83" t="e">
        <f>AND('Planilla_General_07-12-2012_8_3'!E1241,"AAAAAFuZ910=")</f>
        <v>#VALUE!</v>
      </c>
      <c r="CQ83" t="e">
        <f>AND('Planilla_General_07-12-2012_8_3'!F1241,"AAAAAFuZ914=")</f>
        <v>#VALUE!</v>
      </c>
      <c r="CR83" t="e">
        <f>AND('Planilla_General_07-12-2012_8_3'!G1241,"AAAAAFuZ918=")</f>
        <v>#VALUE!</v>
      </c>
      <c r="CS83" t="e">
        <f>AND('Planilla_General_07-12-2012_8_3'!H1241,"AAAAAFuZ92A=")</f>
        <v>#VALUE!</v>
      </c>
      <c r="CT83" t="e">
        <f>AND('Planilla_General_07-12-2012_8_3'!I1241,"AAAAAFuZ92E=")</f>
        <v>#VALUE!</v>
      </c>
      <c r="CU83" t="e">
        <f>AND('Planilla_General_07-12-2012_8_3'!J1241,"AAAAAFuZ92I=")</f>
        <v>#VALUE!</v>
      </c>
      <c r="CV83" t="e">
        <f>AND('Planilla_General_07-12-2012_8_3'!K1241,"AAAAAFuZ92M=")</f>
        <v>#VALUE!</v>
      </c>
      <c r="CW83" t="e">
        <f>AND('Planilla_General_07-12-2012_8_3'!L1241,"AAAAAFuZ92Q=")</f>
        <v>#VALUE!</v>
      </c>
      <c r="CX83" t="e">
        <f>AND('Planilla_General_07-12-2012_8_3'!M1241,"AAAAAFuZ92U=")</f>
        <v>#VALUE!</v>
      </c>
      <c r="CY83" t="e">
        <f>AND('Planilla_General_07-12-2012_8_3'!N1241,"AAAAAFuZ92Y=")</f>
        <v>#VALUE!</v>
      </c>
      <c r="CZ83" t="e">
        <f>AND('Planilla_General_07-12-2012_8_3'!O1241,"AAAAAFuZ92c=")</f>
        <v>#VALUE!</v>
      </c>
      <c r="DA83" t="e">
        <f>AND('Planilla_General_07-12-2012_8_3'!P1241,"AAAAAFuZ92g=")</f>
        <v>#VALUE!</v>
      </c>
      <c r="DB83">
        <f>IF('Planilla_General_07-12-2012_8_3'!1242:1242,"AAAAAFuZ92k=",0)</f>
        <v>0</v>
      </c>
      <c r="DC83" t="e">
        <f>AND('Planilla_General_07-12-2012_8_3'!A1242,"AAAAAFuZ92o=")</f>
        <v>#VALUE!</v>
      </c>
      <c r="DD83" t="e">
        <f>AND('Planilla_General_07-12-2012_8_3'!B1242,"AAAAAFuZ92s=")</f>
        <v>#VALUE!</v>
      </c>
      <c r="DE83" t="e">
        <f>AND('Planilla_General_07-12-2012_8_3'!C1242,"AAAAAFuZ92w=")</f>
        <v>#VALUE!</v>
      </c>
      <c r="DF83" t="e">
        <f>AND('Planilla_General_07-12-2012_8_3'!D1242,"AAAAAFuZ920=")</f>
        <v>#VALUE!</v>
      </c>
      <c r="DG83" t="e">
        <f>AND('Planilla_General_07-12-2012_8_3'!E1242,"AAAAAFuZ924=")</f>
        <v>#VALUE!</v>
      </c>
      <c r="DH83" t="e">
        <f>AND('Planilla_General_07-12-2012_8_3'!F1242,"AAAAAFuZ928=")</f>
        <v>#VALUE!</v>
      </c>
      <c r="DI83" t="e">
        <f>AND('Planilla_General_07-12-2012_8_3'!G1242,"AAAAAFuZ93A=")</f>
        <v>#VALUE!</v>
      </c>
      <c r="DJ83" t="e">
        <f>AND('Planilla_General_07-12-2012_8_3'!H1242,"AAAAAFuZ93E=")</f>
        <v>#VALUE!</v>
      </c>
      <c r="DK83" t="e">
        <f>AND('Planilla_General_07-12-2012_8_3'!I1242,"AAAAAFuZ93I=")</f>
        <v>#VALUE!</v>
      </c>
      <c r="DL83" t="e">
        <f>AND('Planilla_General_07-12-2012_8_3'!J1242,"AAAAAFuZ93M=")</f>
        <v>#VALUE!</v>
      </c>
      <c r="DM83" t="e">
        <f>AND('Planilla_General_07-12-2012_8_3'!K1242,"AAAAAFuZ93Q=")</f>
        <v>#VALUE!</v>
      </c>
      <c r="DN83" t="e">
        <f>AND('Planilla_General_07-12-2012_8_3'!L1242,"AAAAAFuZ93U=")</f>
        <v>#VALUE!</v>
      </c>
      <c r="DO83" t="e">
        <f>AND('Planilla_General_07-12-2012_8_3'!M1242,"AAAAAFuZ93Y=")</f>
        <v>#VALUE!</v>
      </c>
      <c r="DP83" t="e">
        <f>AND('Planilla_General_07-12-2012_8_3'!N1242,"AAAAAFuZ93c=")</f>
        <v>#VALUE!</v>
      </c>
      <c r="DQ83" t="e">
        <f>AND('Planilla_General_07-12-2012_8_3'!O1242,"AAAAAFuZ93g=")</f>
        <v>#VALUE!</v>
      </c>
      <c r="DR83" t="e">
        <f>AND('Planilla_General_07-12-2012_8_3'!P1242,"AAAAAFuZ93k=")</f>
        <v>#VALUE!</v>
      </c>
      <c r="DS83">
        <f>IF('Planilla_General_07-12-2012_8_3'!1243:1243,"AAAAAFuZ93o=",0)</f>
        <v>0</v>
      </c>
      <c r="DT83" t="e">
        <f>AND('Planilla_General_07-12-2012_8_3'!A1243,"AAAAAFuZ93s=")</f>
        <v>#VALUE!</v>
      </c>
      <c r="DU83" t="e">
        <f>AND('Planilla_General_07-12-2012_8_3'!B1243,"AAAAAFuZ93w=")</f>
        <v>#VALUE!</v>
      </c>
      <c r="DV83" t="e">
        <f>AND('Planilla_General_07-12-2012_8_3'!C1243,"AAAAAFuZ930=")</f>
        <v>#VALUE!</v>
      </c>
      <c r="DW83" t="e">
        <f>AND('Planilla_General_07-12-2012_8_3'!D1243,"AAAAAFuZ934=")</f>
        <v>#VALUE!</v>
      </c>
      <c r="DX83" t="e">
        <f>AND('Planilla_General_07-12-2012_8_3'!E1243,"AAAAAFuZ938=")</f>
        <v>#VALUE!</v>
      </c>
      <c r="DY83" t="e">
        <f>AND('Planilla_General_07-12-2012_8_3'!F1243,"AAAAAFuZ94A=")</f>
        <v>#VALUE!</v>
      </c>
      <c r="DZ83" t="e">
        <f>AND('Planilla_General_07-12-2012_8_3'!G1243,"AAAAAFuZ94E=")</f>
        <v>#VALUE!</v>
      </c>
      <c r="EA83" t="e">
        <f>AND('Planilla_General_07-12-2012_8_3'!H1243,"AAAAAFuZ94I=")</f>
        <v>#VALUE!</v>
      </c>
      <c r="EB83" t="e">
        <f>AND('Planilla_General_07-12-2012_8_3'!I1243,"AAAAAFuZ94M=")</f>
        <v>#VALUE!</v>
      </c>
      <c r="EC83" t="e">
        <f>AND('Planilla_General_07-12-2012_8_3'!J1243,"AAAAAFuZ94Q=")</f>
        <v>#VALUE!</v>
      </c>
      <c r="ED83" t="e">
        <f>AND('Planilla_General_07-12-2012_8_3'!K1243,"AAAAAFuZ94U=")</f>
        <v>#VALUE!</v>
      </c>
      <c r="EE83" t="e">
        <f>AND('Planilla_General_07-12-2012_8_3'!L1243,"AAAAAFuZ94Y=")</f>
        <v>#VALUE!</v>
      </c>
      <c r="EF83" t="e">
        <f>AND('Planilla_General_07-12-2012_8_3'!M1243,"AAAAAFuZ94c=")</f>
        <v>#VALUE!</v>
      </c>
      <c r="EG83" t="e">
        <f>AND('Planilla_General_07-12-2012_8_3'!N1243,"AAAAAFuZ94g=")</f>
        <v>#VALUE!</v>
      </c>
      <c r="EH83" t="e">
        <f>AND('Planilla_General_07-12-2012_8_3'!O1243,"AAAAAFuZ94k=")</f>
        <v>#VALUE!</v>
      </c>
      <c r="EI83" t="e">
        <f>AND('Planilla_General_07-12-2012_8_3'!P1243,"AAAAAFuZ94o=")</f>
        <v>#VALUE!</v>
      </c>
      <c r="EJ83">
        <f>IF('Planilla_General_07-12-2012_8_3'!1244:1244,"AAAAAFuZ94s=",0)</f>
        <v>0</v>
      </c>
      <c r="EK83" t="e">
        <f>AND('Planilla_General_07-12-2012_8_3'!A1244,"AAAAAFuZ94w=")</f>
        <v>#VALUE!</v>
      </c>
      <c r="EL83" t="e">
        <f>AND('Planilla_General_07-12-2012_8_3'!B1244,"AAAAAFuZ940=")</f>
        <v>#VALUE!</v>
      </c>
      <c r="EM83" t="e">
        <f>AND('Planilla_General_07-12-2012_8_3'!C1244,"AAAAAFuZ944=")</f>
        <v>#VALUE!</v>
      </c>
      <c r="EN83" t="e">
        <f>AND('Planilla_General_07-12-2012_8_3'!D1244,"AAAAAFuZ948=")</f>
        <v>#VALUE!</v>
      </c>
      <c r="EO83" t="e">
        <f>AND('Planilla_General_07-12-2012_8_3'!E1244,"AAAAAFuZ95A=")</f>
        <v>#VALUE!</v>
      </c>
      <c r="EP83" t="e">
        <f>AND('Planilla_General_07-12-2012_8_3'!F1244,"AAAAAFuZ95E=")</f>
        <v>#VALUE!</v>
      </c>
      <c r="EQ83" t="e">
        <f>AND('Planilla_General_07-12-2012_8_3'!G1244,"AAAAAFuZ95I=")</f>
        <v>#VALUE!</v>
      </c>
      <c r="ER83" t="e">
        <f>AND('Planilla_General_07-12-2012_8_3'!H1244,"AAAAAFuZ95M=")</f>
        <v>#VALUE!</v>
      </c>
      <c r="ES83" t="e">
        <f>AND('Planilla_General_07-12-2012_8_3'!I1244,"AAAAAFuZ95Q=")</f>
        <v>#VALUE!</v>
      </c>
      <c r="ET83" t="e">
        <f>AND('Planilla_General_07-12-2012_8_3'!J1244,"AAAAAFuZ95U=")</f>
        <v>#VALUE!</v>
      </c>
      <c r="EU83" t="e">
        <f>AND('Planilla_General_07-12-2012_8_3'!K1244,"AAAAAFuZ95Y=")</f>
        <v>#VALUE!</v>
      </c>
      <c r="EV83" t="e">
        <f>AND('Planilla_General_07-12-2012_8_3'!L1244,"AAAAAFuZ95c=")</f>
        <v>#VALUE!</v>
      </c>
      <c r="EW83" t="e">
        <f>AND('Planilla_General_07-12-2012_8_3'!M1244,"AAAAAFuZ95g=")</f>
        <v>#VALUE!</v>
      </c>
      <c r="EX83" t="e">
        <f>AND('Planilla_General_07-12-2012_8_3'!N1244,"AAAAAFuZ95k=")</f>
        <v>#VALUE!</v>
      </c>
      <c r="EY83" t="e">
        <f>AND('Planilla_General_07-12-2012_8_3'!O1244,"AAAAAFuZ95o=")</f>
        <v>#VALUE!</v>
      </c>
      <c r="EZ83" t="e">
        <f>AND('Planilla_General_07-12-2012_8_3'!P1244,"AAAAAFuZ95s=")</f>
        <v>#VALUE!</v>
      </c>
      <c r="FA83">
        <f>IF('Planilla_General_07-12-2012_8_3'!1245:1245,"AAAAAFuZ95w=",0)</f>
        <v>0</v>
      </c>
      <c r="FB83" t="e">
        <f>AND('Planilla_General_07-12-2012_8_3'!A1245,"AAAAAFuZ950=")</f>
        <v>#VALUE!</v>
      </c>
      <c r="FC83" t="e">
        <f>AND('Planilla_General_07-12-2012_8_3'!B1245,"AAAAAFuZ954=")</f>
        <v>#VALUE!</v>
      </c>
      <c r="FD83" t="e">
        <f>AND('Planilla_General_07-12-2012_8_3'!C1245,"AAAAAFuZ958=")</f>
        <v>#VALUE!</v>
      </c>
      <c r="FE83" t="e">
        <f>AND('Planilla_General_07-12-2012_8_3'!D1245,"AAAAAFuZ96A=")</f>
        <v>#VALUE!</v>
      </c>
      <c r="FF83" t="e">
        <f>AND('Planilla_General_07-12-2012_8_3'!E1245,"AAAAAFuZ96E=")</f>
        <v>#VALUE!</v>
      </c>
      <c r="FG83" t="e">
        <f>AND('Planilla_General_07-12-2012_8_3'!F1245,"AAAAAFuZ96I=")</f>
        <v>#VALUE!</v>
      </c>
      <c r="FH83" t="e">
        <f>AND('Planilla_General_07-12-2012_8_3'!G1245,"AAAAAFuZ96M=")</f>
        <v>#VALUE!</v>
      </c>
      <c r="FI83" t="e">
        <f>AND('Planilla_General_07-12-2012_8_3'!H1245,"AAAAAFuZ96Q=")</f>
        <v>#VALUE!</v>
      </c>
      <c r="FJ83" t="e">
        <f>AND('Planilla_General_07-12-2012_8_3'!I1245,"AAAAAFuZ96U=")</f>
        <v>#VALUE!</v>
      </c>
      <c r="FK83" t="e">
        <f>AND('Planilla_General_07-12-2012_8_3'!J1245,"AAAAAFuZ96Y=")</f>
        <v>#VALUE!</v>
      </c>
      <c r="FL83" t="e">
        <f>AND('Planilla_General_07-12-2012_8_3'!K1245,"AAAAAFuZ96c=")</f>
        <v>#VALUE!</v>
      </c>
      <c r="FM83" t="e">
        <f>AND('Planilla_General_07-12-2012_8_3'!L1245,"AAAAAFuZ96g=")</f>
        <v>#VALUE!</v>
      </c>
      <c r="FN83" t="e">
        <f>AND('Planilla_General_07-12-2012_8_3'!M1245,"AAAAAFuZ96k=")</f>
        <v>#VALUE!</v>
      </c>
      <c r="FO83" t="e">
        <f>AND('Planilla_General_07-12-2012_8_3'!N1245,"AAAAAFuZ96o=")</f>
        <v>#VALUE!</v>
      </c>
      <c r="FP83" t="e">
        <f>AND('Planilla_General_07-12-2012_8_3'!O1245,"AAAAAFuZ96s=")</f>
        <v>#VALUE!</v>
      </c>
      <c r="FQ83" t="e">
        <f>AND('Planilla_General_07-12-2012_8_3'!P1245,"AAAAAFuZ96w=")</f>
        <v>#VALUE!</v>
      </c>
      <c r="FR83">
        <f>IF('Planilla_General_07-12-2012_8_3'!1246:1246,"AAAAAFuZ960=",0)</f>
        <v>0</v>
      </c>
      <c r="FS83" t="e">
        <f>AND('Planilla_General_07-12-2012_8_3'!A1246,"AAAAAFuZ964=")</f>
        <v>#VALUE!</v>
      </c>
      <c r="FT83" t="e">
        <f>AND('Planilla_General_07-12-2012_8_3'!B1246,"AAAAAFuZ968=")</f>
        <v>#VALUE!</v>
      </c>
      <c r="FU83" t="e">
        <f>AND('Planilla_General_07-12-2012_8_3'!C1246,"AAAAAFuZ97A=")</f>
        <v>#VALUE!</v>
      </c>
      <c r="FV83" t="e">
        <f>AND('Planilla_General_07-12-2012_8_3'!D1246,"AAAAAFuZ97E=")</f>
        <v>#VALUE!</v>
      </c>
      <c r="FW83" t="e">
        <f>AND('Planilla_General_07-12-2012_8_3'!E1246,"AAAAAFuZ97I=")</f>
        <v>#VALUE!</v>
      </c>
      <c r="FX83" t="e">
        <f>AND('Planilla_General_07-12-2012_8_3'!F1246,"AAAAAFuZ97M=")</f>
        <v>#VALUE!</v>
      </c>
      <c r="FY83" t="e">
        <f>AND('Planilla_General_07-12-2012_8_3'!G1246,"AAAAAFuZ97Q=")</f>
        <v>#VALUE!</v>
      </c>
      <c r="FZ83" t="e">
        <f>AND('Planilla_General_07-12-2012_8_3'!H1246,"AAAAAFuZ97U=")</f>
        <v>#VALUE!</v>
      </c>
      <c r="GA83" t="e">
        <f>AND('Planilla_General_07-12-2012_8_3'!I1246,"AAAAAFuZ97Y=")</f>
        <v>#VALUE!</v>
      </c>
      <c r="GB83" t="e">
        <f>AND('Planilla_General_07-12-2012_8_3'!J1246,"AAAAAFuZ97c=")</f>
        <v>#VALUE!</v>
      </c>
      <c r="GC83" t="e">
        <f>AND('Planilla_General_07-12-2012_8_3'!K1246,"AAAAAFuZ97g=")</f>
        <v>#VALUE!</v>
      </c>
      <c r="GD83" t="e">
        <f>AND('Planilla_General_07-12-2012_8_3'!L1246,"AAAAAFuZ97k=")</f>
        <v>#VALUE!</v>
      </c>
      <c r="GE83" t="e">
        <f>AND('Planilla_General_07-12-2012_8_3'!M1246,"AAAAAFuZ97o=")</f>
        <v>#VALUE!</v>
      </c>
      <c r="GF83" t="e">
        <f>AND('Planilla_General_07-12-2012_8_3'!N1246,"AAAAAFuZ97s=")</f>
        <v>#VALUE!</v>
      </c>
      <c r="GG83" t="e">
        <f>AND('Planilla_General_07-12-2012_8_3'!O1246,"AAAAAFuZ97w=")</f>
        <v>#VALUE!</v>
      </c>
      <c r="GH83" t="e">
        <f>AND('Planilla_General_07-12-2012_8_3'!P1246,"AAAAAFuZ970=")</f>
        <v>#VALUE!</v>
      </c>
      <c r="GI83">
        <f>IF('Planilla_General_07-12-2012_8_3'!1247:1247,"AAAAAFuZ974=",0)</f>
        <v>0</v>
      </c>
      <c r="GJ83" t="e">
        <f>AND('Planilla_General_07-12-2012_8_3'!A1247,"AAAAAFuZ978=")</f>
        <v>#VALUE!</v>
      </c>
      <c r="GK83" t="e">
        <f>AND('Planilla_General_07-12-2012_8_3'!B1247,"AAAAAFuZ98A=")</f>
        <v>#VALUE!</v>
      </c>
      <c r="GL83" t="e">
        <f>AND('Planilla_General_07-12-2012_8_3'!C1247,"AAAAAFuZ98E=")</f>
        <v>#VALUE!</v>
      </c>
      <c r="GM83" t="e">
        <f>AND('Planilla_General_07-12-2012_8_3'!D1247,"AAAAAFuZ98I=")</f>
        <v>#VALUE!</v>
      </c>
      <c r="GN83" t="e">
        <f>AND('Planilla_General_07-12-2012_8_3'!E1247,"AAAAAFuZ98M=")</f>
        <v>#VALUE!</v>
      </c>
      <c r="GO83" t="e">
        <f>AND('Planilla_General_07-12-2012_8_3'!F1247,"AAAAAFuZ98Q=")</f>
        <v>#VALUE!</v>
      </c>
      <c r="GP83" t="e">
        <f>AND('Planilla_General_07-12-2012_8_3'!G1247,"AAAAAFuZ98U=")</f>
        <v>#VALUE!</v>
      </c>
      <c r="GQ83" t="e">
        <f>AND('Planilla_General_07-12-2012_8_3'!H1247,"AAAAAFuZ98Y=")</f>
        <v>#VALUE!</v>
      </c>
      <c r="GR83" t="e">
        <f>AND('Planilla_General_07-12-2012_8_3'!I1247,"AAAAAFuZ98c=")</f>
        <v>#VALUE!</v>
      </c>
      <c r="GS83" t="e">
        <f>AND('Planilla_General_07-12-2012_8_3'!J1247,"AAAAAFuZ98g=")</f>
        <v>#VALUE!</v>
      </c>
      <c r="GT83" t="e">
        <f>AND('Planilla_General_07-12-2012_8_3'!K1247,"AAAAAFuZ98k=")</f>
        <v>#VALUE!</v>
      </c>
      <c r="GU83" t="e">
        <f>AND('Planilla_General_07-12-2012_8_3'!L1247,"AAAAAFuZ98o=")</f>
        <v>#VALUE!</v>
      </c>
      <c r="GV83" t="e">
        <f>AND('Planilla_General_07-12-2012_8_3'!M1247,"AAAAAFuZ98s=")</f>
        <v>#VALUE!</v>
      </c>
      <c r="GW83" t="e">
        <f>AND('Planilla_General_07-12-2012_8_3'!N1247,"AAAAAFuZ98w=")</f>
        <v>#VALUE!</v>
      </c>
      <c r="GX83" t="e">
        <f>AND('Planilla_General_07-12-2012_8_3'!O1247,"AAAAAFuZ980=")</f>
        <v>#VALUE!</v>
      </c>
      <c r="GY83" t="e">
        <f>AND('Planilla_General_07-12-2012_8_3'!P1247,"AAAAAFuZ984=")</f>
        <v>#VALUE!</v>
      </c>
      <c r="GZ83">
        <f>IF('Planilla_General_07-12-2012_8_3'!1248:1248,"AAAAAFuZ988=",0)</f>
        <v>0</v>
      </c>
      <c r="HA83" t="e">
        <f>AND('Planilla_General_07-12-2012_8_3'!A1248,"AAAAAFuZ99A=")</f>
        <v>#VALUE!</v>
      </c>
      <c r="HB83" t="e">
        <f>AND('Planilla_General_07-12-2012_8_3'!B1248,"AAAAAFuZ99E=")</f>
        <v>#VALUE!</v>
      </c>
      <c r="HC83" t="e">
        <f>AND('Planilla_General_07-12-2012_8_3'!C1248,"AAAAAFuZ99I=")</f>
        <v>#VALUE!</v>
      </c>
      <c r="HD83" t="e">
        <f>AND('Planilla_General_07-12-2012_8_3'!D1248,"AAAAAFuZ99M=")</f>
        <v>#VALUE!</v>
      </c>
      <c r="HE83" t="e">
        <f>AND('Planilla_General_07-12-2012_8_3'!E1248,"AAAAAFuZ99Q=")</f>
        <v>#VALUE!</v>
      </c>
      <c r="HF83" t="e">
        <f>AND('Planilla_General_07-12-2012_8_3'!F1248,"AAAAAFuZ99U=")</f>
        <v>#VALUE!</v>
      </c>
      <c r="HG83" t="e">
        <f>AND('Planilla_General_07-12-2012_8_3'!G1248,"AAAAAFuZ99Y=")</f>
        <v>#VALUE!</v>
      </c>
      <c r="HH83" t="e">
        <f>AND('Planilla_General_07-12-2012_8_3'!H1248,"AAAAAFuZ99c=")</f>
        <v>#VALUE!</v>
      </c>
      <c r="HI83" t="e">
        <f>AND('Planilla_General_07-12-2012_8_3'!I1248,"AAAAAFuZ99g=")</f>
        <v>#VALUE!</v>
      </c>
      <c r="HJ83" t="e">
        <f>AND('Planilla_General_07-12-2012_8_3'!J1248,"AAAAAFuZ99k=")</f>
        <v>#VALUE!</v>
      </c>
      <c r="HK83" t="e">
        <f>AND('Planilla_General_07-12-2012_8_3'!K1248,"AAAAAFuZ99o=")</f>
        <v>#VALUE!</v>
      </c>
      <c r="HL83" t="e">
        <f>AND('Planilla_General_07-12-2012_8_3'!L1248,"AAAAAFuZ99s=")</f>
        <v>#VALUE!</v>
      </c>
      <c r="HM83" t="e">
        <f>AND('Planilla_General_07-12-2012_8_3'!M1248,"AAAAAFuZ99w=")</f>
        <v>#VALUE!</v>
      </c>
      <c r="HN83" t="e">
        <f>AND('Planilla_General_07-12-2012_8_3'!N1248,"AAAAAFuZ990=")</f>
        <v>#VALUE!</v>
      </c>
      <c r="HO83" t="e">
        <f>AND('Planilla_General_07-12-2012_8_3'!O1248,"AAAAAFuZ994=")</f>
        <v>#VALUE!</v>
      </c>
      <c r="HP83" t="e">
        <f>AND('Planilla_General_07-12-2012_8_3'!P1248,"AAAAAFuZ998=")</f>
        <v>#VALUE!</v>
      </c>
      <c r="HQ83">
        <f>IF('Planilla_General_07-12-2012_8_3'!1249:1249,"AAAAAFuZ9+A=",0)</f>
        <v>0</v>
      </c>
      <c r="HR83" t="e">
        <f>AND('Planilla_General_07-12-2012_8_3'!A1249,"AAAAAFuZ9+E=")</f>
        <v>#VALUE!</v>
      </c>
      <c r="HS83" t="e">
        <f>AND('Planilla_General_07-12-2012_8_3'!B1249,"AAAAAFuZ9+I=")</f>
        <v>#VALUE!</v>
      </c>
      <c r="HT83" t="e">
        <f>AND('Planilla_General_07-12-2012_8_3'!C1249,"AAAAAFuZ9+M=")</f>
        <v>#VALUE!</v>
      </c>
      <c r="HU83" t="e">
        <f>AND('Planilla_General_07-12-2012_8_3'!D1249,"AAAAAFuZ9+Q=")</f>
        <v>#VALUE!</v>
      </c>
      <c r="HV83" t="e">
        <f>AND('Planilla_General_07-12-2012_8_3'!E1249,"AAAAAFuZ9+U=")</f>
        <v>#VALUE!</v>
      </c>
      <c r="HW83" t="e">
        <f>AND('Planilla_General_07-12-2012_8_3'!F1249,"AAAAAFuZ9+Y=")</f>
        <v>#VALUE!</v>
      </c>
      <c r="HX83" t="e">
        <f>AND('Planilla_General_07-12-2012_8_3'!G1249,"AAAAAFuZ9+c=")</f>
        <v>#VALUE!</v>
      </c>
      <c r="HY83" t="e">
        <f>AND('Planilla_General_07-12-2012_8_3'!H1249,"AAAAAFuZ9+g=")</f>
        <v>#VALUE!</v>
      </c>
      <c r="HZ83" t="e">
        <f>AND('Planilla_General_07-12-2012_8_3'!I1249,"AAAAAFuZ9+k=")</f>
        <v>#VALUE!</v>
      </c>
      <c r="IA83" t="e">
        <f>AND('Planilla_General_07-12-2012_8_3'!J1249,"AAAAAFuZ9+o=")</f>
        <v>#VALUE!</v>
      </c>
      <c r="IB83" t="e">
        <f>AND('Planilla_General_07-12-2012_8_3'!K1249,"AAAAAFuZ9+s=")</f>
        <v>#VALUE!</v>
      </c>
      <c r="IC83" t="e">
        <f>AND('Planilla_General_07-12-2012_8_3'!L1249,"AAAAAFuZ9+w=")</f>
        <v>#VALUE!</v>
      </c>
      <c r="ID83" t="e">
        <f>AND('Planilla_General_07-12-2012_8_3'!M1249,"AAAAAFuZ9+0=")</f>
        <v>#VALUE!</v>
      </c>
      <c r="IE83" t="e">
        <f>AND('Planilla_General_07-12-2012_8_3'!N1249,"AAAAAFuZ9+4=")</f>
        <v>#VALUE!</v>
      </c>
      <c r="IF83" t="e">
        <f>AND('Planilla_General_07-12-2012_8_3'!O1249,"AAAAAFuZ9+8=")</f>
        <v>#VALUE!</v>
      </c>
      <c r="IG83" t="e">
        <f>AND('Planilla_General_07-12-2012_8_3'!P1249,"AAAAAFuZ9/A=")</f>
        <v>#VALUE!</v>
      </c>
      <c r="IH83">
        <f>IF('Planilla_General_07-12-2012_8_3'!1250:1250,"AAAAAFuZ9/E=",0)</f>
        <v>0</v>
      </c>
      <c r="II83" t="e">
        <f>AND('Planilla_General_07-12-2012_8_3'!A1250,"AAAAAFuZ9/I=")</f>
        <v>#VALUE!</v>
      </c>
      <c r="IJ83" t="e">
        <f>AND('Planilla_General_07-12-2012_8_3'!B1250,"AAAAAFuZ9/M=")</f>
        <v>#VALUE!</v>
      </c>
      <c r="IK83" t="e">
        <f>AND('Planilla_General_07-12-2012_8_3'!C1250,"AAAAAFuZ9/Q=")</f>
        <v>#VALUE!</v>
      </c>
      <c r="IL83" t="e">
        <f>AND('Planilla_General_07-12-2012_8_3'!D1250,"AAAAAFuZ9/U=")</f>
        <v>#VALUE!</v>
      </c>
      <c r="IM83" t="e">
        <f>AND('Planilla_General_07-12-2012_8_3'!E1250,"AAAAAFuZ9/Y=")</f>
        <v>#VALUE!</v>
      </c>
      <c r="IN83" t="e">
        <f>AND('Planilla_General_07-12-2012_8_3'!F1250,"AAAAAFuZ9/c=")</f>
        <v>#VALUE!</v>
      </c>
      <c r="IO83" t="e">
        <f>AND('Planilla_General_07-12-2012_8_3'!G1250,"AAAAAFuZ9/g=")</f>
        <v>#VALUE!</v>
      </c>
      <c r="IP83" t="e">
        <f>AND('Planilla_General_07-12-2012_8_3'!H1250,"AAAAAFuZ9/k=")</f>
        <v>#VALUE!</v>
      </c>
      <c r="IQ83" t="e">
        <f>AND('Planilla_General_07-12-2012_8_3'!I1250,"AAAAAFuZ9/o=")</f>
        <v>#VALUE!</v>
      </c>
      <c r="IR83" t="e">
        <f>AND('Planilla_General_07-12-2012_8_3'!J1250,"AAAAAFuZ9/s=")</f>
        <v>#VALUE!</v>
      </c>
      <c r="IS83" t="e">
        <f>AND('Planilla_General_07-12-2012_8_3'!K1250,"AAAAAFuZ9/w=")</f>
        <v>#VALUE!</v>
      </c>
      <c r="IT83" t="e">
        <f>AND('Planilla_General_07-12-2012_8_3'!L1250,"AAAAAFuZ9/0=")</f>
        <v>#VALUE!</v>
      </c>
      <c r="IU83" t="e">
        <f>AND('Planilla_General_07-12-2012_8_3'!M1250,"AAAAAFuZ9/4=")</f>
        <v>#VALUE!</v>
      </c>
      <c r="IV83" t="e">
        <f>AND('Planilla_General_07-12-2012_8_3'!N1250,"AAAAAFuZ9/8=")</f>
        <v>#VALUE!</v>
      </c>
    </row>
    <row r="84" spans="1:256" x14ac:dyDescent="0.25">
      <c r="A84" t="e">
        <f>AND('Planilla_General_07-12-2012_8_3'!O1250,"AAAAAFz7XgA=")</f>
        <v>#VALUE!</v>
      </c>
      <c r="B84" t="e">
        <f>AND('Planilla_General_07-12-2012_8_3'!P1250,"AAAAAFz7XgE=")</f>
        <v>#VALUE!</v>
      </c>
      <c r="C84" t="str">
        <f>IF('Planilla_General_07-12-2012_8_3'!1251:1251,"AAAAAFz7XgI=",0)</f>
        <v>AAAAAFz7XgI=</v>
      </c>
      <c r="D84" t="e">
        <f>AND('Planilla_General_07-12-2012_8_3'!A1251,"AAAAAFz7XgM=")</f>
        <v>#VALUE!</v>
      </c>
      <c r="E84" t="e">
        <f>AND('Planilla_General_07-12-2012_8_3'!B1251,"AAAAAFz7XgQ=")</f>
        <v>#VALUE!</v>
      </c>
      <c r="F84" t="e">
        <f>AND('Planilla_General_07-12-2012_8_3'!C1251,"AAAAAFz7XgU=")</f>
        <v>#VALUE!</v>
      </c>
      <c r="G84" t="e">
        <f>AND('Planilla_General_07-12-2012_8_3'!D1251,"AAAAAFz7XgY=")</f>
        <v>#VALUE!</v>
      </c>
      <c r="H84" t="e">
        <f>AND('Planilla_General_07-12-2012_8_3'!E1251,"AAAAAFz7Xgc=")</f>
        <v>#VALUE!</v>
      </c>
      <c r="I84" t="e">
        <f>AND('Planilla_General_07-12-2012_8_3'!F1251,"AAAAAFz7Xgg=")</f>
        <v>#VALUE!</v>
      </c>
      <c r="J84" t="e">
        <f>AND('Planilla_General_07-12-2012_8_3'!G1251,"AAAAAFz7Xgk=")</f>
        <v>#VALUE!</v>
      </c>
      <c r="K84" t="e">
        <f>AND('Planilla_General_07-12-2012_8_3'!H1251,"AAAAAFz7Xgo=")</f>
        <v>#VALUE!</v>
      </c>
      <c r="L84" t="e">
        <f>AND('Planilla_General_07-12-2012_8_3'!I1251,"AAAAAFz7Xgs=")</f>
        <v>#VALUE!</v>
      </c>
      <c r="M84" t="e">
        <f>AND('Planilla_General_07-12-2012_8_3'!J1251,"AAAAAFz7Xgw=")</f>
        <v>#VALUE!</v>
      </c>
      <c r="N84" t="e">
        <f>AND('Planilla_General_07-12-2012_8_3'!K1251,"AAAAAFz7Xg0=")</f>
        <v>#VALUE!</v>
      </c>
      <c r="O84" t="e">
        <f>AND('Planilla_General_07-12-2012_8_3'!L1251,"AAAAAFz7Xg4=")</f>
        <v>#VALUE!</v>
      </c>
      <c r="P84" t="e">
        <f>AND('Planilla_General_07-12-2012_8_3'!M1251,"AAAAAFz7Xg8=")</f>
        <v>#VALUE!</v>
      </c>
      <c r="Q84" t="e">
        <f>AND('Planilla_General_07-12-2012_8_3'!N1251,"AAAAAFz7XhA=")</f>
        <v>#VALUE!</v>
      </c>
      <c r="R84" t="e">
        <f>AND('Planilla_General_07-12-2012_8_3'!O1251,"AAAAAFz7XhE=")</f>
        <v>#VALUE!</v>
      </c>
      <c r="S84" t="e">
        <f>AND('Planilla_General_07-12-2012_8_3'!P1251,"AAAAAFz7XhI=")</f>
        <v>#VALUE!</v>
      </c>
      <c r="T84">
        <f>IF('Planilla_General_07-12-2012_8_3'!1252:1252,"AAAAAFz7XhM=",0)</f>
        <v>0</v>
      </c>
      <c r="U84" t="e">
        <f>AND('Planilla_General_07-12-2012_8_3'!A1252,"AAAAAFz7XhQ=")</f>
        <v>#VALUE!</v>
      </c>
      <c r="V84" t="e">
        <f>AND('Planilla_General_07-12-2012_8_3'!B1252,"AAAAAFz7XhU=")</f>
        <v>#VALUE!</v>
      </c>
      <c r="W84" t="e">
        <f>AND('Planilla_General_07-12-2012_8_3'!C1252,"AAAAAFz7XhY=")</f>
        <v>#VALUE!</v>
      </c>
      <c r="X84" t="e">
        <f>AND('Planilla_General_07-12-2012_8_3'!D1252,"AAAAAFz7Xhc=")</f>
        <v>#VALUE!</v>
      </c>
      <c r="Y84" t="e">
        <f>AND('Planilla_General_07-12-2012_8_3'!E1252,"AAAAAFz7Xhg=")</f>
        <v>#VALUE!</v>
      </c>
      <c r="Z84" t="e">
        <f>AND('Planilla_General_07-12-2012_8_3'!F1252,"AAAAAFz7Xhk=")</f>
        <v>#VALUE!</v>
      </c>
      <c r="AA84" t="e">
        <f>AND('Planilla_General_07-12-2012_8_3'!G1252,"AAAAAFz7Xho=")</f>
        <v>#VALUE!</v>
      </c>
      <c r="AB84" t="e">
        <f>AND('Planilla_General_07-12-2012_8_3'!H1252,"AAAAAFz7Xhs=")</f>
        <v>#VALUE!</v>
      </c>
      <c r="AC84" t="e">
        <f>AND('Planilla_General_07-12-2012_8_3'!I1252,"AAAAAFz7Xhw=")</f>
        <v>#VALUE!</v>
      </c>
      <c r="AD84" t="e">
        <f>AND('Planilla_General_07-12-2012_8_3'!J1252,"AAAAAFz7Xh0=")</f>
        <v>#VALUE!</v>
      </c>
      <c r="AE84" t="e">
        <f>AND('Planilla_General_07-12-2012_8_3'!K1252,"AAAAAFz7Xh4=")</f>
        <v>#VALUE!</v>
      </c>
      <c r="AF84" t="e">
        <f>AND('Planilla_General_07-12-2012_8_3'!L1252,"AAAAAFz7Xh8=")</f>
        <v>#VALUE!</v>
      </c>
      <c r="AG84" t="e">
        <f>AND('Planilla_General_07-12-2012_8_3'!M1252,"AAAAAFz7XiA=")</f>
        <v>#VALUE!</v>
      </c>
      <c r="AH84" t="e">
        <f>AND('Planilla_General_07-12-2012_8_3'!N1252,"AAAAAFz7XiE=")</f>
        <v>#VALUE!</v>
      </c>
      <c r="AI84" t="e">
        <f>AND('Planilla_General_07-12-2012_8_3'!O1252,"AAAAAFz7XiI=")</f>
        <v>#VALUE!</v>
      </c>
      <c r="AJ84" t="e">
        <f>AND('Planilla_General_07-12-2012_8_3'!P1252,"AAAAAFz7XiM=")</f>
        <v>#VALUE!</v>
      </c>
      <c r="AK84">
        <f>IF('Planilla_General_07-12-2012_8_3'!1253:1253,"AAAAAFz7XiQ=",0)</f>
        <v>0</v>
      </c>
      <c r="AL84" t="e">
        <f>AND('Planilla_General_07-12-2012_8_3'!A1253,"AAAAAFz7XiU=")</f>
        <v>#VALUE!</v>
      </c>
      <c r="AM84" t="e">
        <f>AND('Planilla_General_07-12-2012_8_3'!B1253,"AAAAAFz7XiY=")</f>
        <v>#VALUE!</v>
      </c>
      <c r="AN84" t="e">
        <f>AND('Planilla_General_07-12-2012_8_3'!C1253,"AAAAAFz7Xic=")</f>
        <v>#VALUE!</v>
      </c>
      <c r="AO84" t="e">
        <f>AND('Planilla_General_07-12-2012_8_3'!D1253,"AAAAAFz7Xig=")</f>
        <v>#VALUE!</v>
      </c>
      <c r="AP84" t="e">
        <f>AND('Planilla_General_07-12-2012_8_3'!E1253,"AAAAAFz7Xik=")</f>
        <v>#VALUE!</v>
      </c>
      <c r="AQ84" t="e">
        <f>AND('Planilla_General_07-12-2012_8_3'!F1253,"AAAAAFz7Xio=")</f>
        <v>#VALUE!</v>
      </c>
      <c r="AR84" t="e">
        <f>AND('Planilla_General_07-12-2012_8_3'!G1253,"AAAAAFz7Xis=")</f>
        <v>#VALUE!</v>
      </c>
      <c r="AS84" t="e">
        <f>AND('Planilla_General_07-12-2012_8_3'!H1253,"AAAAAFz7Xiw=")</f>
        <v>#VALUE!</v>
      </c>
      <c r="AT84" t="e">
        <f>AND('Planilla_General_07-12-2012_8_3'!I1253,"AAAAAFz7Xi0=")</f>
        <v>#VALUE!</v>
      </c>
      <c r="AU84" t="e">
        <f>AND('Planilla_General_07-12-2012_8_3'!J1253,"AAAAAFz7Xi4=")</f>
        <v>#VALUE!</v>
      </c>
      <c r="AV84" t="e">
        <f>AND('Planilla_General_07-12-2012_8_3'!K1253,"AAAAAFz7Xi8=")</f>
        <v>#VALUE!</v>
      </c>
      <c r="AW84" t="e">
        <f>AND('Planilla_General_07-12-2012_8_3'!L1253,"AAAAAFz7XjA=")</f>
        <v>#VALUE!</v>
      </c>
      <c r="AX84" t="e">
        <f>AND('Planilla_General_07-12-2012_8_3'!M1253,"AAAAAFz7XjE=")</f>
        <v>#VALUE!</v>
      </c>
      <c r="AY84" t="e">
        <f>AND('Planilla_General_07-12-2012_8_3'!N1253,"AAAAAFz7XjI=")</f>
        <v>#VALUE!</v>
      </c>
      <c r="AZ84" t="e">
        <f>AND('Planilla_General_07-12-2012_8_3'!O1253,"AAAAAFz7XjM=")</f>
        <v>#VALUE!</v>
      </c>
      <c r="BA84" t="e">
        <f>AND('Planilla_General_07-12-2012_8_3'!P1253,"AAAAAFz7XjQ=")</f>
        <v>#VALUE!</v>
      </c>
      <c r="BB84">
        <f>IF('Planilla_General_07-12-2012_8_3'!1254:1254,"AAAAAFz7XjU=",0)</f>
        <v>0</v>
      </c>
      <c r="BC84" t="e">
        <f>AND('Planilla_General_07-12-2012_8_3'!A1254,"AAAAAFz7XjY=")</f>
        <v>#VALUE!</v>
      </c>
      <c r="BD84" t="e">
        <f>AND('Planilla_General_07-12-2012_8_3'!B1254,"AAAAAFz7Xjc=")</f>
        <v>#VALUE!</v>
      </c>
      <c r="BE84" t="e">
        <f>AND('Planilla_General_07-12-2012_8_3'!C1254,"AAAAAFz7Xjg=")</f>
        <v>#VALUE!</v>
      </c>
      <c r="BF84" t="e">
        <f>AND('Planilla_General_07-12-2012_8_3'!D1254,"AAAAAFz7Xjk=")</f>
        <v>#VALUE!</v>
      </c>
      <c r="BG84" t="e">
        <f>AND('Planilla_General_07-12-2012_8_3'!E1254,"AAAAAFz7Xjo=")</f>
        <v>#VALUE!</v>
      </c>
      <c r="BH84" t="e">
        <f>AND('Planilla_General_07-12-2012_8_3'!F1254,"AAAAAFz7Xjs=")</f>
        <v>#VALUE!</v>
      </c>
      <c r="BI84" t="e">
        <f>AND('Planilla_General_07-12-2012_8_3'!G1254,"AAAAAFz7Xjw=")</f>
        <v>#VALUE!</v>
      </c>
      <c r="BJ84" t="e">
        <f>AND('Planilla_General_07-12-2012_8_3'!H1254,"AAAAAFz7Xj0=")</f>
        <v>#VALUE!</v>
      </c>
      <c r="BK84" t="e">
        <f>AND('Planilla_General_07-12-2012_8_3'!I1254,"AAAAAFz7Xj4=")</f>
        <v>#VALUE!</v>
      </c>
      <c r="BL84" t="e">
        <f>AND('Planilla_General_07-12-2012_8_3'!J1254,"AAAAAFz7Xj8=")</f>
        <v>#VALUE!</v>
      </c>
      <c r="BM84" t="e">
        <f>AND('Planilla_General_07-12-2012_8_3'!K1254,"AAAAAFz7XkA=")</f>
        <v>#VALUE!</v>
      </c>
      <c r="BN84" t="e">
        <f>AND('Planilla_General_07-12-2012_8_3'!L1254,"AAAAAFz7XkE=")</f>
        <v>#VALUE!</v>
      </c>
      <c r="BO84" t="e">
        <f>AND('Planilla_General_07-12-2012_8_3'!M1254,"AAAAAFz7XkI=")</f>
        <v>#VALUE!</v>
      </c>
      <c r="BP84" t="e">
        <f>AND('Planilla_General_07-12-2012_8_3'!N1254,"AAAAAFz7XkM=")</f>
        <v>#VALUE!</v>
      </c>
      <c r="BQ84" t="e">
        <f>AND('Planilla_General_07-12-2012_8_3'!O1254,"AAAAAFz7XkQ=")</f>
        <v>#VALUE!</v>
      </c>
      <c r="BR84" t="e">
        <f>AND('Planilla_General_07-12-2012_8_3'!P1254,"AAAAAFz7XkU=")</f>
        <v>#VALUE!</v>
      </c>
      <c r="BS84">
        <f>IF('Planilla_General_07-12-2012_8_3'!1255:1255,"AAAAAFz7XkY=",0)</f>
        <v>0</v>
      </c>
      <c r="BT84" t="e">
        <f>AND('Planilla_General_07-12-2012_8_3'!A1255,"AAAAAFz7Xkc=")</f>
        <v>#VALUE!</v>
      </c>
      <c r="BU84" t="e">
        <f>AND('Planilla_General_07-12-2012_8_3'!B1255,"AAAAAFz7Xkg=")</f>
        <v>#VALUE!</v>
      </c>
      <c r="BV84" t="e">
        <f>AND('Planilla_General_07-12-2012_8_3'!C1255,"AAAAAFz7Xkk=")</f>
        <v>#VALUE!</v>
      </c>
      <c r="BW84" t="e">
        <f>AND('Planilla_General_07-12-2012_8_3'!D1255,"AAAAAFz7Xko=")</f>
        <v>#VALUE!</v>
      </c>
      <c r="BX84" t="e">
        <f>AND('Planilla_General_07-12-2012_8_3'!E1255,"AAAAAFz7Xks=")</f>
        <v>#VALUE!</v>
      </c>
      <c r="BY84" t="e">
        <f>AND('Planilla_General_07-12-2012_8_3'!F1255,"AAAAAFz7Xkw=")</f>
        <v>#VALUE!</v>
      </c>
      <c r="BZ84" t="e">
        <f>AND('Planilla_General_07-12-2012_8_3'!G1255,"AAAAAFz7Xk0=")</f>
        <v>#VALUE!</v>
      </c>
      <c r="CA84" t="e">
        <f>AND('Planilla_General_07-12-2012_8_3'!H1255,"AAAAAFz7Xk4=")</f>
        <v>#VALUE!</v>
      </c>
      <c r="CB84" t="e">
        <f>AND('Planilla_General_07-12-2012_8_3'!I1255,"AAAAAFz7Xk8=")</f>
        <v>#VALUE!</v>
      </c>
      <c r="CC84" t="e">
        <f>AND('Planilla_General_07-12-2012_8_3'!J1255,"AAAAAFz7XlA=")</f>
        <v>#VALUE!</v>
      </c>
      <c r="CD84" t="e">
        <f>AND('Planilla_General_07-12-2012_8_3'!K1255,"AAAAAFz7XlE=")</f>
        <v>#VALUE!</v>
      </c>
      <c r="CE84" t="e">
        <f>AND('Planilla_General_07-12-2012_8_3'!L1255,"AAAAAFz7XlI=")</f>
        <v>#VALUE!</v>
      </c>
      <c r="CF84" t="e">
        <f>AND('Planilla_General_07-12-2012_8_3'!M1255,"AAAAAFz7XlM=")</f>
        <v>#VALUE!</v>
      </c>
      <c r="CG84" t="e">
        <f>AND('Planilla_General_07-12-2012_8_3'!N1255,"AAAAAFz7XlQ=")</f>
        <v>#VALUE!</v>
      </c>
      <c r="CH84" t="e">
        <f>AND('Planilla_General_07-12-2012_8_3'!O1255,"AAAAAFz7XlU=")</f>
        <v>#VALUE!</v>
      </c>
      <c r="CI84" t="e">
        <f>AND('Planilla_General_07-12-2012_8_3'!P1255,"AAAAAFz7XlY=")</f>
        <v>#VALUE!</v>
      </c>
      <c r="CJ84">
        <f>IF('Planilla_General_07-12-2012_8_3'!1256:1256,"AAAAAFz7Xlc=",0)</f>
        <v>0</v>
      </c>
      <c r="CK84" t="e">
        <f>AND('Planilla_General_07-12-2012_8_3'!A1256,"AAAAAFz7Xlg=")</f>
        <v>#VALUE!</v>
      </c>
      <c r="CL84" t="e">
        <f>AND('Planilla_General_07-12-2012_8_3'!B1256,"AAAAAFz7Xlk=")</f>
        <v>#VALUE!</v>
      </c>
      <c r="CM84" t="e">
        <f>AND('Planilla_General_07-12-2012_8_3'!C1256,"AAAAAFz7Xlo=")</f>
        <v>#VALUE!</v>
      </c>
      <c r="CN84" t="e">
        <f>AND('Planilla_General_07-12-2012_8_3'!D1256,"AAAAAFz7Xls=")</f>
        <v>#VALUE!</v>
      </c>
      <c r="CO84" t="e">
        <f>AND('Planilla_General_07-12-2012_8_3'!E1256,"AAAAAFz7Xlw=")</f>
        <v>#VALUE!</v>
      </c>
      <c r="CP84" t="e">
        <f>AND('Planilla_General_07-12-2012_8_3'!F1256,"AAAAAFz7Xl0=")</f>
        <v>#VALUE!</v>
      </c>
      <c r="CQ84" t="e">
        <f>AND('Planilla_General_07-12-2012_8_3'!G1256,"AAAAAFz7Xl4=")</f>
        <v>#VALUE!</v>
      </c>
      <c r="CR84" t="e">
        <f>AND('Planilla_General_07-12-2012_8_3'!H1256,"AAAAAFz7Xl8=")</f>
        <v>#VALUE!</v>
      </c>
      <c r="CS84" t="e">
        <f>AND('Planilla_General_07-12-2012_8_3'!I1256,"AAAAAFz7XmA=")</f>
        <v>#VALUE!</v>
      </c>
      <c r="CT84" t="e">
        <f>AND('Planilla_General_07-12-2012_8_3'!J1256,"AAAAAFz7XmE=")</f>
        <v>#VALUE!</v>
      </c>
      <c r="CU84" t="e">
        <f>AND('Planilla_General_07-12-2012_8_3'!K1256,"AAAAAFz7XmI=")</f>
        <v>#VALUE!</v>
      </c>
      <c r="CV84" t="e">
        <f>AND('Planilla_General_07-12-2012_8_3'!L1256,"AAAAAFz7XmM=")</f>
        <v>#VALUE!</v>
      </c>
      <c r="CW84" t="e">
        <f>AND('Planilla_General_07-12-2012_8_3'!M1256,"AAAAAFz7XmQ=")</f>
        <v>#VALUE!</v>
      </c>
      <c r="CX84" t="e">
        <f>AND('Planilla_General_07-12-2012_8_3'!N1256,"AAAAAFz7XmU=")</f>
        <v>#VALUE!</v>
      </c>
      <c r="CY84" t="e">
        <f>AND('Planilla_General_07-12-2012_8_3'!O1256,"AAAAAFz7XmY=")</f>
        <v>#VALUE!</v>
      </c>
      <c r="CZ84" t="e">
        <f>AND('Planilla_General_07-12-2012_8_3'!P1256,"AAAAAFz7Xmc=")</f>
        <v>#VALUE!</v>
      </c>
      <c r="DA84">
        <f>IF('Planilla_General_07-12-2012_8_3'!1257:1257,"AAAAAFz7Xmg=",0)</f>
        <v>0</v>
      </c>
      <c r="DB84" t="e">
        <f>AND('Planilla_General_07-12-2012_8_3'!A1257,"AAAAAFz7Xmk=")</f>
        <v>#VALUE!</v>
      </c>
      <c r="DC84" t="e">
        <f>AND('Planilla_General_07-12-2012_8_3'!B1257,"AAAAAFz7Xmo=")</f>
        <v>#VALUE!</v>
      </c>
      <c r="DD84" t="e">
        <f>AND('Planilla_General_07-12-2012_8_3'!C1257,"AAAAAFz7Xms=")</f>
        <v>#VALUE!</v>
      </c>
      <c r="DE84" t="e">
        <f>AND('Planilla_General_07-12-2012_8_3'!D1257,"AAAAAFz7Xmw=")</f>
        <v>#VALUE!</v>
      </c>
      <c r="DF84" t="e">
        <f>AND('Planilla_General_07-12-2012_8_3'!E1257,"AAAAAFz7Xm0=")</f>
        <v>#VALUE!</v>
      </c>
      <c r="DG84" t="e">
        <f>AND('Planilla_General_07-12-2012_8_3'!F1257,"AAAAAFz7Xm4=")</f>
        <v>#VALUE!</v>
      </c>
      <c r="DH84" t="e">
        <f>AND('Planilla_General_07-12-2012_8_3'!G1257,"AAAAAFz7Xm8=")</f>
        <v>#VALUE!</v>
      </c>
      <c r="DI84" t="e">
        <f>AND('Planilla_General_07-12-2012_8_3'!H1257,"AAAAAFz7XnA=")</f>
        <v>#VALUE!</v>
      </c>
      <c r="DJ84" t="e">
        <f>AND('Planilla_General_07-12-2012_8_3'!I1257,"AAAAAFz7XnE=")</f>
        <v>#VALUE!</v>
      </c>
      <c r="DK84" t="e">
        <f>AND('Planilla_General_07-12-2012_8_3'!J1257,"AAAAAFz7XnI=")</f>
        <v>#VALUE!</v>
      </c>
      <c r="DL84" t="e">
        <f>AND('Planilla_General_07-12-2012_8_3'!K1257,"AAAAAFz7XnM=")</f>
        <v>#VALUE!</v>
      </c>
      <c r="DM84" t="e">
        <f>AND('Planilla_General_07-12-2012_8_3'!L1257,"AAAAAFz7XnQ=")</f>
        <v>#VALUE!</v>
      </c>
      <c r="DN84" t="e">
        <f>AND('Planilla_General_07-12-2012_8_3'!M1257,"AAAAAFz7XnU=")</f>
        <v>#VALUE!</v>
      </c>
      <c r="DO84" t="e">
        <f>AND('Planilla_General_07-12-2012_8_3'!N1257,"AAAAAFz7XnY=")</f>
        <v>#VALUE!</v>
      </c>
      <c r="DP84" t="e">
        <f>AND('Planilla_General_07-12-2012_8_3'!O1257,"AAAAAFz7Xnc=")</f>
        <v>#VALUE!</v>
      </c>
      <c r="DQ84" t="e">
        <f>AND('Planilla_General_07-12-2012_8_3'!P1257,"AAAAAFz7Xng=")</f>
        <v>#VALUE!</v>
      </c>
      <c r="DR84">
        <f>IF('Planilla_General_07-12-2012_8_3'!1258:1258,"AAAAAFz7Xnk=",0)</f>
        <v>0</v>
      </c>
      <c r="DS84" t="e">
        <f>AND('Planilla_General_07-12-2012_8_3'!A1258,"AAAAAFz7Xno=")</f>
        <v>#VALUE!</v>
      </c>
      <c r="DT84" t="e">
        <f>AND('Planilla_General_07-12-2012_8_3'!B1258,"AAAAAFz7Xns=")</f>
        <v>#VALUE!</v>
      </c>
      <c r="DU84" t="e">
        <f>AND('Planilla_General_07-12-2012_8_3'!C1258,"AAAAAFz7Xnw=")</f>
        <v>#VALUE!</v>
      </c>
      <c r="DV84" t="e">
        <f>AND('Planilla_General_07-12-2012_8_3'!D1258,"AAAAAFz7Xn0=")</f>
        <v>#VALUE!</v>
      </c>
      <c r="DW84" t="e">
        <f>AND('Planilla_General_07-12-2012_8_3'!E1258,"AAAAAFz7Xn4=")</f>
        <v>#VALUE!</v>
      </c>
      <c r="DX84" t="e">
        <f>AND('Planilla_General_07-12-2012_8_3'!F1258,"AAAAAFz7Xn8=")</f>
        <v>#VALUE!</v>
      </c>
      <c r="DY84" t="e">
        <f>AND('Planilla_General_07-12-2012_8_3'!G1258,"AAAAAFz7XoA=")</f>
        <v>#VALUE!</v>
      </c>
      <c r="DZ84" t="e">
        <f>AND('Planilla_General_07-12-2012_8_3'!H1258,"AAAAAFz7XoE=")</f>
        <v>#VALUE!</v>
      </c>
      <c r="EA84" t="e">
        <f>AND('Planilla_General_07-12-2012_8_3'!I1258,"AAAAAFz7XoI=")</f>
        <v>#VALUE!</v>
      </c>
      <c r="EB84" t="e">
        <f>AND('Planilla_General_07-12-2012_8_3'!J1258,"AAAAAFz7XoM=")</f>
        <v>#VALUE!</v>
      </c>
      <c r="EC84" t="e">
        <f>AND('Planilla_General_07-12-2012_8_3'!K1258,"AAAAAFz7XoQ=")</f>
        <v>#VALUE!</v>
      </c>
      <c r="ED84" t="e">
        <f>AND('Planilla_General_07-12-2012_8_3'!L1258,"AAAAAFz7XoU=")</f>
        <v>#VALUE!</v>
      </c>
      <c r="EE84" t="e">
        <f>AND('Planilla_General_07-12-2012_8_3'!M1258,"AAAAAFz7XoY=")</f>
        <v>#VALUE!</v>
      </c>
      <c r="EF84" t="e">
        <f>AND('Planilla_General_07-12-2012_8_3'!N1258,"AAAAAFz7Xoc=")</f>
        <v>#VALUE!</v>
      </c>
      <c r="EG84" t="e">
        <f>AND('Planilla_General_07-12-2012_8_3'!O1258,"AAAAAFz7Xog=")</f>
        <v>#VALUE!</v>
      </c>
      <c r="EH84" t="e">
        <f>AND('Planilla_General_07-12-2012_8_3'!P1258,"AAAAAFz7Xok=")</f>
        <v>#VALUE!</v>
      </c>
      <c r="EI84">
        <f>IF('Planilla_General_07-12-2012_8_3'!1259:1259,"AAAAAFz7Xoo=",0)</f>
        <v>0</v>
      </c>
      <c r="EJ84" t="e">
        <f>AND('Planilla_General_07-12-2012_8_3'!A1259,"AAAAAFz7Xos=")</f>
        <v>#VALUE!</v>
      </c>
      <c r="EK84" t="e">
        <f>AND('Planilla_General_07-12-2012_8_3'!B1259,"AAAAAFz7Xow=")</f>
        <v>#VALUE!</v>
      </c>
      <c r="EL84" t="e">
        <f>AND('Planilla_General_07-12-2012_8_3'!C1259,"AAAAAFz7Xo0=")</f>
        <v>#VALUE!</v>
      </c>
      <c r="EM84" t="e">
        <f>AND('Planilla_General_07-12-2012_8_3'!D1259,"AAAAAFz7Xo4=")</f>
        <v>#VALUE!</v>
      </c>
      <c r="EN84" t="e">
        <f>AND('Planilla_General_07-12-2012_8_3'!E1259,"AAAAAFz7Xo8=")</f>
        <v>#VALUE!</v>
      </c>
      <c r="EO84" t="e">
        <f>AND('Planilla_General_07-12-2012_8_3'!F1259,"AAAAAFz7XpA=")</f>
        <v>#VALUE!</v>
      </c>
      <c r="EP84" t="e">
        <f>AND('Planilla_General_07-12-2012_8_3'!G1259,"AAAAAFz7XpE=")</f>
        <v>#VALUE!</v>
      </c>
      <c r="EQ84" t="e">
        <f>AND('Planilla_General_07-12-2012_8_3'!H1259,"AAAAAFz7XpI=")</f>
        <v>#VALUE!</v>
      </c>
      <c r="ER84" t="e">
        <f>AND('Planilla_General_07-12-2012_8_3'!I1259,"AAAAAFz7XpM=")</f>
        <v>#VALUE!</v>
      </c>
      <c r="ES84" t="e">
        <f>AND('Planilla_General_07-12-2012_8_3'!J1259,"AAAAAFz7XpQ=")</f>
        <v>#VALUE!</v>
      </c>
      <c r="ET84" t="e">
        <f>AND('Planilla_General_07-12-2012_8_3'!K1259,"AAAAAFz7XpU=")</f>
        <v>#VALUE!</v>
      </c>
      <c r="EU84" t="e">
        <f>AND('Planilla_General_07-12-2012_8_3'!L1259,"AAAAAFz7XpY=")</f>
        <v>#VALUE!</v>
      </c>
      <c r="EV84" t="e">
        <f>AND('Planilla_General_07-12-2012_8_3'!M1259,"AAAAAFz7Xpc=")</f>
        <v>#VALUE!</v>
      </c>
      <c r="EW84" t="e">
        <f>AND('Planilla_General_07-12-2012_8_3'!N1259,"AAAAAFz7Xpg=")</f>
        <v>#VALUE!</v>
      </c>
      <c r="EX84" t="e">
        <f>AND('Planilla_General_07-12-2012_8_3'!O1259,"AAAAAFz7Xpk=")</f>
        <v>#VALUE!</v>
      </c>
      <c r="EY84" t="e">
        <f>AND('Planilla_General_07-12-2012_8_3'!P1259,"AAAAAFz7Xpo=")</f>
        <v>#VALUE!</v>
      </c>
      <c r="EZ84">
        <f>IF('Planilla_General_07-12-2012_8_3'!1260:1260,"AAAAAFz7Xps=",0)</f>
        <v>0</v>
      </c>
      <c r="FA84" t="e">
        <f>AND('Planilla_General_07-12-2012_8_3'!A1260,"AAAAAFz7Xpw=")</f>
        <v>#VALUE!</v>
      </c>
      <c r="FB84" t="e">
        <f>AND('Planilla_General_07-12-2012_8_3'!B1260,"AAAAAFz7Xp0=")</f>
        <v>#VALUE!</v>
      </c>
      <c r="FC84" t="e">
        <f>AND('Planilla_General_07-12-2012_8_3'!C1260,"AAAAAFz7Xp4=")</f>
        <v>#VALUE!</v>
      </c>
      <c r="FD84" t="e">
        <f>AND('Planilla_General_07-12-2012_8_3'!D1260,"AAAAAFz7Xp8=")</f>
        <v>#VALUE!</v>
      </c>
      <c r="FE84" t="e">
        <f>AND('Planilla_General_07-12-2012_8_3'!E1260,"AAAAAFz7XqA=")</f>
        <v>#VALUE!</v>
      </c>
      <c r="FF84" t="e">
        <f>AND('Planilla_General_07-12-2012_8_3'!F1260,"AAAAAFz7XqE=")</f>
        <v>#VALUE!</v>
      </c>
      <c r="FG84" t="e">
        <f>AND('Planilla_General_07-12-2012_8_3'!G1260,"AAAAAFz7XqI=")</f>
        <v>#VALUE!</v>
      </c>
      <c r="FH84" t="e">
        <f>AND('Planilla_General_07-12-2012_8_3'!H1260,"AAAAAFz7XqM=")</f>
        <v>#VALUE!</v>
      </c>
      <c r="FI84" t="e">
        <f>AND('Planilla_General_07-12-2012_8_3'!I1260,"AAAAAFz7XqQ=")</f>
        <v>#VALUE!</v>
      </c>
      <c r="FJ84" t="e">
        <f>AND('Planilla_General_07-12-2012_8_3'!J1260,"AAAAAFz7XqU=")</f>
        <v>#VALUE!</v>
      </c>
      <c r="FK84" t="e">
        <f>AND('Planilla_General_07-12-2012_8_3'!K1260,"AAAAAFz7XqY=")</f>
        <v>#VALUE!</v>
      </c>
      <c r="FL84" t="e">
        <f>AND('Planilla_General_07-12-2012_8_3'!L1260,"AAAAAFz7Xqc=")</f>
        <v>#VALUE!</v>
      </c>
      <c r="FM84" t="e">
        <f>AND('Planilla_General_07-12-2012_8_3'!M1260,"AAAAAFz7Xqg=")</f>
        <v>#VALUE!</v>
      </c>
      <c r="FN84" t="e">
        <f>AND('Planilla_General_07-12-2012_8_3'!N1260,"AAAAAFz7Xqk=")</f>
        <v>#VALUE!</v>
      </c>
      <c r="FO84" t="e">
        <f>AND('Planilla_General_07-12-2012_8_3'!O1260,"AAAAAFz7Xqo=")</f>
        <v>#VALUE!</v>
      </c>
      <c r="FP84" t="e">
        <f>AND('Planilla_General_07-12-2012_8_3'!P1260,"AAAAAFz7Xqs=")</f>
        <v>#VALUE!</v>
      </c>
      <c r="FQ84">
        <f>IF('Planilla_General_07-12-2012_8_3'!1261:1261,"AAAAAFz7Xqw=",0)</f>
        <v>0</v>
      </c>
      <c r="FR84" t="e">
        <f>AND('Planilla_General_07-12-2012_8_3'!A1261,"AAAAAFz7Xq0=")</f>
        <v>#VALUE!</v>
      </c>
      <c r="FS84" t="e">
        <f>AND('Planilla_General_07-12-2012_8_3'!B1261,"AAAAAFz7Xq4=")</f>
        <v>#VALUE!</v>
      </c>
      <c r="FT84" t="e">
        <f>AND('Planilla_General_07-12-2012_8_3'!C1261,"AAAAAFz7Xq8=")</f>
        <v>#VALUE!</v>
      </c>
      <c r="FU84" t="e">
        <f>AND('Planilla_General_07-12-2012_8_3'!D1261,"AAAAAFz7XrA=")</f>
        <v>#VALUE!</v>
      </c>
      <c r="FV84" t="e">
        <f>AND('Planilla_General_07-12-2012_8_3'!E1261,"AAAAAFz7XrE=")</f>
        <v>#VALUE!</v>
      </c>
      <c r="FW84" t="e">
        <f>AND('Planilla_General_07-12-2012_8_3'!F1261,"AAAAAFz7XrI=")</f>
        <v>#VALUE!</v>
      </c>
      <c r="FX84" t="e">
        <f>AND('Planilla_General_07-12-2012_8_3'!G1261,"AAAAAFz7XrM=")</f>
        <v>#VALUE!</v>
      </c>
      <c r="FY84" t="e">
        <f>AND('Planilla_General_07-12-2012_8_3'!H1261,"AAAAAFz7XrQ=")</f>
        <v>#VALUE!</v>
      </c>
      <c r="FZ84" t="e">
        <f>AND('Planilla_General_07-12-2012_8_3'!I1261,"AAAAAFz7XrU=")</f>
        <v>#VALUE!</v>
      </c>
      <c r="GA84" t="e">
        <f>AND('Planilla_General_07-12-2012_8_3'!J1261,"AAAAAFz7XrY=")</f>
        <v>#VALUE!</v>
      </c>
      <c r="GB84" t="e">
        <f>AND('Planilla_General_07-12-2012_8_3'!K1261,"AAAAAFz7Xrc=")</f>
        <v>#VALUE!</v>
      </c>
      <c r="GC84" t="e">
        <f>AND('Planilla_General_07-12-2012_8_3'!L1261,"AAAAAFz7Xrg=")</f>
        <v>#VALUE!</v>
      </c>
      <c r="GD84" t="e">
        <f>AND('Planilla_General_07-12-2012_8_3'!M1261,"AAAAAFz7Xrk=")</f>
        <v>#VALUE!</v>
      </c>
      <c r="GE84" t="e">
        <f>AND('Planilla_General_07-12-2012_8_3'!N1261,"AAAAAFz7Xro=")</f>
        <v>#VALUE!</v>
      </c>
      <c r="GF84" t="e">
        <f>AND('Planilla_General_07-12-2012_8_3'!O1261,"AAAAAFz7Xrs=")</f>
        <v>#VALUE!</v>
      </c>
      <c r="GG84" t="e">
        <f>AND('Planilla_General_07-12-2012_8_3'!P1261,"AAAAAFz7Xrw=")</f>
        <v>#VALUE!</v>
      </c>
      <c r="GH84">
        <f>IF('Planilla_General_07-12-2012_8_3'!1262:1262,"AAAAAFz7Xr0=",0)</f>
        <v>0</v>
      </c>
      <c r="GI84" t="e">
        <f>AND('Planilla_General_07-12-2012_8_3'!A1262,"AAAAAFz7Xr4=")</f>
        <v>#VALUE!</v>
      </c>
      <c r="GJ84" t="e">
        <f>AND('Planilla_General_07-12-2012_8_3'!B1262,"AAAAAFz7Xr8=")</f>
        <v>#VALUE!</v>
      </c>
      <c r="GK84" t="e">
        <f>AND('Planilla_General_07-12-2012_8_3'!C1262,"AAAAAFz7XsA=")</f>
        <v>#VALUE!</v>
      </c>
      <c r="GL84" t="e">
        <f>AND('Planilla_General_07-12-2012_8_3'!D1262,"AAAAAFz7XsE=")</f>
        <v>#VALUE!</v>
      </c>
      <c r="GM84" t="e">
        <f>AND('Planilla_General_07-12-2012_8_3'!E1262,"AAAAAFz7XsI=")</f>
        <v>#VALUE!</v>
      </c>
      <c r="GN84" t="e">
        <f>AND('Planilla_General_07-12-2012_8_3'!F1262,"AAAAAFz7XsM=")</f>
        <v>#VALUE!</v>
      </c>
      <c r="GO84" t="e">
        <f>AND('Planilla_General_07-12-2012_8_3'!G1262,"AAAAAFz7XsQ=")</f>
        <v>#VALUE!</v>
      </c>
      <c r="GP84" t="e">
        <f>AND('Planilla_General_07-12-2012_8_3'!H1262,"AAAAAFz7XsU=")</f>
        <v>#VALUE!</v>
      </c>
      <c r="GQ84" t="e">
        <f>AND('Planilla_General_07-12-2012_8_3'!I1262,"AAAAAFz7XsY=")</f>
        <v>#VALUE!</v>
      </c>
      <c r="GR84" t="e">
        <f>AND('Planilla_General_07-12-2012_8_3'!J1262,"AAAAAFz7Xsc=")</f>
        <v>#VALUE!</v>
      </c>
      <c r="GS84" t="e">
        <f>AND('Planilla_General_07-12-2012_8_3'!K1262,"AAAAAFz7Xsg=")</f>
        <v>#VALUE!</v>
      </c>
      <c r="GT84" t="e">
        <f>AND('Planilla_General_07-12-2012_8_3'!L1262,"AAAAAFz7Xsk=")</f>
        <v>#VALUE!</v>
      </c>
      <c r="GU84" t="e">
        <f>AND('Planilla_General_07-12-2012_8_3'!M1262,"AAAAAFz7Xso=")</f>
        <v>#VALUE!</v>
      </c>
      <c r="GV84" t="e">
        <f>AND('Planilla_General_07-12-2012_8_3'!N1262,"AAAAAFz7Xss=")</f>
        <v>#VALUE!</v>
      </c>
      <c r="GW84" t="e">
        <f>AND('Planilla_General_07-12-2012_8_3'!O1262,"AAAAAFz7Xsw=")</f>
        <v>#VALUE!</v>
      </c>
      <c r="GX84" t="e">
        <f>AND('Planilla_General_07-12-2012_8_3'!P1262,"AAAAAFz7Xs0=")</f>
        <v>#VALUE!</v>
      </c>
      <c r="GY84">
        <f>IF('Planilla_General_07-12-2012_8_3'!1263:1263,"AAAAAFz7Xs4=",0)</f>
        <v>0</v>
      </c>
      <c r="GZ84" t="e">
        <f>AND('Planilla_General_07-12-2012_8_3'!A1263,"AAAAAFz7Xs8=")</f>
        <v>#VALUE!</v>
      </c>
      <c r="HA84" t="e">
        <f>AND('Planilla_General_07-12-2012_8_3'!B1263,"AAAAAFz7XtA=")</f>
        <v>#VALUE!</v>
      </c>
      <c r="HB84" t="e">
        <f>AND('Planilla_General_07-12-2012_8_3'!C1263,"AAAAAFz7XtE=")</f>
        <v>#VALUE!</v>
      </c>
      <c r="HC84" t="e">
        <f>AND('Planilla_General_07-12-2012_8_3'!D1263,"AAAAAFz7XtI=")</f>
        <v>#VALUE!</v>
      </c>
      <c r="HD84" t="e">
        <f>AND('Planilla_General_07-12-2012_8_3'!E1263,"AAAAAFz7XtM=")</f>
        <v>#VALUE!</v>
      </c>
      <c r="HE84" t="e">
        <f>AND('Planilla_General_07-12-2012_8_3'!F1263,"AAAAAFz7XtQ=")</f>
        <v>#VALUE!</v>
      </c>
      <c r="HF84" t="e">
        <f>AND('Planilla_General_07-12-2012_8_3'!G1263,"AAAAAFz7XtU=")</f>
        <v>#VALUE!</v>
      </c>
      <c r="HG84" t="e">
        <f>AND('Planilla_General_07-12-2012_8_3'!H1263,"AAAAAFz7XtY=")</f>
        <v>#VALUE!</v>
      </c>
      <c r="HH84" t="e">
        <f>AND('Planilla_General_07-12-2012_8_3'!I1263,"AAAAAFz7Xtc=")</f>
        <v>#VALUE!</v>
      </c>
      <c r="HI84" t="e">
        <f>AND('Planilla_General_07-12-2012_8_3'!J1263,"AAAAAFz7Xtg=")</f>
        <v>#VALUE!</v>
      </c>
      <c r="HJ84" t="e">
        <f>AND('Planilla_General_07-12-2012_8_3'!K1263,"AAAAAFz7Xtk=")</f>
        <v>#VALUE!</v>
      </c>
      <c r="HK84" t="e">
        <f>AND('Planilla_General_07-12-2012_8_3'!L1263,"AAAAAFz7Xto=")</f>
        <v>#VALUE!</v>
      </c>
      <c r="HL84" t="e">
        <f>AND('Planilla_General_07-12-2012_8_3'!M1263,"AAAAAFz7Xts=")</f>
        <v>#VALUE!</v>
      </c>
      <c r="HM84" t="e">
        <f>AND('Planilla_General_07-12-2012_8_3'!N1263,"AAAAAFz7Xtw=")</f>
        <v>#VALUE!</v>
      </c>
      <c r="HN84" t="e">
        <f>AND('Planilla_General_07-12-2012_8_3'!O1263,"AAAAAFz7Xt0=")</f>
        <v>#VALUE!</v>
      </c>
      <c r="HO84" t="e">
        <f>AND('Planilla_General_07-12-2012_8_3'!P1263,"AAAAAFz7Xt4=")</f>
        <v>#VALUE!</v>
      </c>
      <c r="HP84">
        <f>IF('Planilla_General_07-12-2012_8_3'!1264:1264,"AAAAAFz7Xt8=",0)</f>
        <v>0</v>
      </c>
      <c r="HQ84" t="e">
        <f>AND('Planilla_General_07-12-2012_8_3'!A1264,"AAAAAFz7XuA=")</f>
        <v>#VALUE!</v>
      </c>
      <c r="HR84" t="e">
        <f>AND('Planilla_General_07-12-2012_8_3'!B1264,"AAAAAFz7XuE=")</f>
        <v>#VALUE!</v>
      </c>
      <c r="HS84" t="e">
        <f>AND('Planilla_General_07-12-2012_8_3'!C1264,"AAAAAFz7XuI=")</f>
        <v>#VALUE!</v>
      </c>
      <c r="HT84" t="e">
        <f>AND('Planilla_General_07-12-2012_8_3'!D1264,"AAAAAFz7XuM=")</f>
        <v>#VALUE!</v>
      </c>
      <c r="HU84" t="e">
        <f>AND('Planilla_General_07-12-2012_8_3'!E1264,"AAAAAFz7XuQ=")</f>
        <v>#VALUE!</v>
      </c>
      <c r="HV84" t="e">
        <f>AND('Planilla_General_07-12-2012_8_3'!F1264,"AAAAAFz7XuU=")</f>
        <v>#VALUE!</v>
      </c>
      <c r="HW84" t="e">
        <f>AND('Planilla_General_07-12-2012_8_3'!G1264,"AAAAAFz7XuY=")</f>
        <v>#VALUE!</v>
      </c>
      <c r="HX84" t="e">
        <f>AND('Planilla_General_07-12-2012_8_3'!H1264,"AAAAAFz7Xuc=")</f>
        <v>#VALUE!</v>
      </c>
      <c r="HY84" t="e">
        <f>AND('Planilla_General_07-12-2012_8_3'!I1264,"AAAAAFz7Xug=")</f>
        <v>#VALUE!</v>
      </c>
      <c r="HZ84" t="e">
        <f>AND('Planilla_General_07-12-2012_8_3'!J1264,"AAAAAFz7Xuk=")</f>
        <v>#VALUE!</v>
      </c>
      <c r="IA84" t="e">
        <f>AND('Planilla_General_07-12-2012_8_3'!K1264,"AAAAAFz7Xuo=")</f>
        <v>#VALUE!</v>
      </c>
      <c r="IB84" t="e">
        <f>AND('Planilla_General_07-12-2012_8_3'!L1264,"AAAAAFz7Xus=")</f>
        <v>#VALUE!</v>
      </c>
      <c r="IC84" t="e">
        <f>AND('Planilla_General_07-12-2012_8_3'!M1264,"AAAAAFz7Xuw=")</f>
        <v>#VALUE!</v>
      </c>
      <c r="ID84" t="e">
        <f>AND('Planilla_General_07-12-2012_8_3'!N1264,"AAAAAFz7Xu0=")</f>
        <v>#VALUE!</v>
      </c>
      <c r="IE84" t="e">
        <f>AND('Planilla_General_07-12-2012_8_3'!O1264,"AAAAAFz7Xu4=")</f>
        <v>#VALUE!</v>
      </c>
      <c r="IF84" t="e">
        <f>AND('Planilla_General_07-12-2012_8_3'!P1264,"AAAAAFz7Xu8=")</f>
        <v>#VALUE!</v>
      </c>
      <c r="IG84">
        <f>IF('Planilla_General_07-12-2012_8_3'!1265:1265,"AAAAAFz7XvA=",0)</f>
        <v>0</v>
      </c>
      <c r="IH84" t="e">
        <f>AND('Planilla_General_07-12-2012_8_3'!A1265,"AAAAAFz7XvE=")</f>
        <v>#VALUE!</v>
      </c>
      <c r="II84" t="e">
        <f>AND('Planilla_General_07-12-2012_8_3'!B1265,"AAAAAFz7XvI=")</f>
        <v>#VALUE!</v>
      </c>
      <c r="IJ84" t="e">
        <f>AND('Planilla_General_07-12-2012_8_3'!C1265,"AAAAAFz7XvM=")</f>
        <v>#VALUE!</v>
      </c>
      <c r="IK84" t="e">
        <f>AND('Planilla_General_07-12-2012_8_3'!D1265,"AAAAAFz7XvQ=")</f>
        <v>#VALUE!</v>
      </c>
      <c r="IL84" t="e">
        <f>AND('Planilla_General_07-12-2012_8_3'!E1265,"AAAAAFz7XvU=")</f>
        <v>#VALUE!</v>
      </c>
      <c r="IM84" t="e">
        <f>AND('Planilla_General_07-12-2012_8_3'!F1265,"AAAAAFz7XvY=")</f>
        <v>#VALUE!</v>
      </c>
      <c r="IN84" t="e">
        <f>AND('Planilla_General_07-12-2012_8_3'!G1265,"AAAAAFz7Xvc=")</f>
        <v>#VALUE!</v>
      </c>
      <c r="IO84" t="e">
        <f>AND('Planilla_General_07-12-2012_8_3'!H1265,"AAAAAFz7Xvg=")</f>
        <v>#VALUE!</v>
      </c>
      <c r="IP84" t="e">
        <f>AND('Planilla_General_07-12-2012_8_3'!I1265,"AAAAAFz7Xvk=")</f>
        <v>#VALUE!</v>
      </c>
      <c r="IQ84" t="e">
        <f>AND('Planilla_General_07-12-2012_8_3'!J1265,"AAAAAFz7Xvo=")</f>
        <v>#VALUE!</v>
      </c>
      <c r="IR84" t="e">
        <f>AND('Planilla_General_07-12-2012_8_3'!K1265,"AAAAAFz7Xvs=")</f>
        <v>#VALUE!</v>
      </c>
      <c r="IS84" t="e">
        <f>AND('Planilla_General_07-12-2012_8_3'!L1265,"AAAAAFz7Xvw=")</f>
        <v>#VALUE!</v>
      </c>
      <c r="IT84" t="e">
        <f>AND('Planilla_General_07-12-2012_8_3'!M1265,"AAAAAFz7Xv0=")</f>
        <v>#VALUE!</v>
      </c>
      <c r="IU84" t="e">
        <f>AND('Planilla_General_07-12-2012_8_3'!N1265,"AAAAAFz7Xv4=")</f>
        <v>#VALUE!</v>
      </c>
      <c r="IV84" t="e">
        <f>AND('Planilla_General_07-12-2012_8_3'!O1265,"AAAAAFz7Xv8=")</f>
        <v>#VALUE!</v>
      </c>
    </row>
    <row r="85" spans="1:256" x14ac:dyDescent="0.25">
      <c r="A85" t="e">
        <f>AND('Planilla_General_07-12-2012_8_3'!P1265,"AAAAAFP/bAA=")</f>
        <v>#VALUE!</v>
      </c>
      <c r="B85" t="e">
        <f>IF('Planilla_General_07-12-2012_8_3'!1266:1266,"AAAAAFP/bAE=",0)</f>
        <v>#VALUE!</v>
      </c>
      <c r="C85" t="e">
        <f>AND('Planilla_General_07-12-2012_8_3'!A1266,"AAAAAFP/bAI=")</f>
        <v>#VALUE!</v>
      </c>
      <c r="D85" t="e">
        <f>AND('Planilla_General_07-12-2012_8_3'!B1266,"AAAAAFP/bAM=")</f>
        <v>#VALUE!</v>
      </c>
      <c r="E85" t="e">
        <f>AND('Planilla_General_07-12-2012_8_3'!C1266,"AAAAAFP/bAQ=")</f>
        <v>#VALUE!</v>
      </c>
      <c r="F85" t="e">
        <f>AND('Planilla_General_07-12-2012_8_3'!D1266,"AAAAAFP/bAU=")</f>
        <v>#VALUE!</v>
      </c>
      <c r="G85" t="e">
        <f>AND('Planilla_General_07-12-2012_8_3'!E1266,"AAAAAFP/bAY=")</f>
        <v>#VALUE!</v>
      </c>
      <c r="H85" t="e">
        <f>AND('Planilla_General_07-12-2012_8_3'!F1266,"AAAAAFP/bAc=")</f>
        <v>#VALUE!</v>
      </c>
      <c r="I85" t="e">
        <f>AND('Planilla_General_07-12-2012_8_3'!G1266,"AAAAAFP/bAg=")</f>
        <v>#VALUE!</v>
      </c>
      <c r="J85" t="e">
        <f>AND('Planilla_General_07-12-2012_8_3'!H1266,"AAAAAFP/bAk=")</f>
        <v>#VALUE!</v>
      </c>
      <c r="K85" t="e">
        <f>AND('Planilla_General_07-12-2012_8_3'!I1266,"AAAAAFP/bAo=")</f>
        <v>#VALUE!</v>
      </c>
      <c r="L85" t="e">
        <f>AND('Planilla_General_07-12-2012_8_3'!J1266,"AAAAAFP/bAs=")</f>
        <v>#VALUE!</v>
      </c>
      <c r="M85" t="e">
        <f>AND('Planilla_General_07-12-2012_8_3'!K1266,"AAAAAFP/bAw=")</f>
        <v>#VALUE!</v>
      </c>
      <c r="N85" t="e">
        <f>AND('Planilla_General_07-12-2012_8_3'!L1266,"AAAAAFP/bA0=")</f>
        <v>#VALUE!</v>
      </c>
      <c r="O85" t="e">
        <f>AND('Planilla_General_07-12-2012_8_3'!M1266,"AAAAAFP/bA4=")</f>
        <v>#VALUE!</v>
      </c>
      <c r="P85" t="e">
        <f>AND('Planilla_General_07-12-2012_8_3'!N1266,"AAAAAFP/bA8=")</f>
        <v>#VALUE!</v>
      </c>
      <c r="Q85" t="e">
        <f>AND('Planilla_General_07-12-2012_8_3'!O1266,"AAAAAFP/bBA=")</f>
        <v>#VALUE!</v>
      </c>
      <c r="R85" t="e">
        <f>AND('Planilla_General_07-12-2012_8_3'!P1266,"AAAAAFP/bBE=")</f>
        <v>#VALUE!</v>
      </c>
      <c r="S85">
        <f>IF('Planilla_General_07-12-2012_8_3'!1267:1267,"AAAAAFP/bBI=",0)</f>
        <v>0</v>
      </c>
      <c r="T85" t="e">
        <f>AND('Planilla_General_07-12-2012_8_3'!A1267,"AAAAAFP/bBM=")</f>
        <v>#VALUE!</v>
      </c>
      <c r="U85" t="e">
        <f>AND('Planilla_General_07-12-2012_8_3'!B1267,"AAAAAFP/bBQ=")</f>
        <v>#VALUE!</v>
      </c>
      <c r="V85" t="e">
        <f>AND('Planilla_General_07-12-2012_8_3'!C1267,"AAAAAFP/bBU=")</f>
        <v>#VALUE!</v>
      </c>
      <c r="W85" t="e">
        <f>AND('Planilla_General_07-12-2012_8_3'!D1267,"AAAAAFP/bBY=")</f>
        <v>#VALUE!</v>
      </c>
      <c r="X85" t="e">
        <f>AND('Planilla_General_07-12-2012_8_3'!E1267,"AAAAAFP/bBc=")</f>
        <v>#VALUE!</v>
      </c>
      <c r="Y85" t="e">
        <f>AND('Planilla_General_07-12-2012_8_3'!F1267,"AAAAAFP/bBg=")</f>
        <v>#VALUE!</v>
      </c>
      <c r="Z85" t="e">
        <f>AND('Planilla_General_07-12-2012_8_3'!G1267,"AAAAAFP/bBk=")</f>
        <v>#VALUE!</v>
      </c>
      <c r="AA85" t="e">
        <f>AND('Planilla_General_07-12-2012_8_3'!H1267,"AAAAAFP/bBo=")</f>
        <v>#VALUE!</v>
      </c>
      <c r="AB85" t="e">
        <f>AND('Planilla_General_07-12-2012_8_3'!I1267,"AAAAAFP/bBs=")</f>
        <v>#VALUE!</v>
      </c>
      <c r="AC85" t="e">
        <f>AND('Planilla_General_07-12-2012_8_3'!J1267,"AAAAAFP/bBw=")</f>
        <v>#VALUE!</v>
      </c>
      <c r="AD85" t="e">
        <f>AND('Planilla_General_07-12-2012_8_3'!K1267,"AAAAAFP/bB0=")</f>
        <v>#VALUE!</v>
      </c>
      <c r="AE85" t="e">
        <f>AND('Planilla_General_07-12-2012_8_3'!L1267,"AAAAAFP/bB4=")</f>
        <v>#VALUE!</v>
      </c>
      <c r="AF85" t="e">
        <f>AND('Planilla_General_07-12-2012_8_3'!M1267,"AAAAAFP/bB8=")</f>
        <v>#VALUE!</v>
      </c>
      <c r="AG85" t="e">
        <f>AND('Planilla_General_07-12-2012_8_3'!N1267,"AAAAAFP/bCA=")</f>
        <v>#VALUE!</v>
      </c>
      <c r="AH85" t="e">
        <f>AND('Planilla_General_07-12-2012_8_3'!O1267,"AAAAAFP/bCE=")</f>
        <v>#VALUE!</v>
      </c>
      <c r="AI85" t="e">
        <f>AND('Planilla_General_07-12-2012_8_3'!P1267,"AAAAAFP/bCI=")</f>
        <v>#VALUE!</v>
      </c>
      <c r="AJ85">
        <f>IF('Planilla_General_07-12-2012_8_3'!1268:1268,"AAAAAFP/bCM=",0)</f>
        <v>0</v>
      </c>
      <c r="AK85" t="e">
        <f>AND('Planilla_General_07-12-2012_8_3'!A1268,"AAAAAFP/bCQ=")</f>
        <v>#VALUE!</v>
      </c>
      <c r="AL85" t="e">
        <f>AND('Planilla_General_07-12-2012_8_3'!B1268,"AAAAAFP/bCU=")</f>
        <v>#VALUE!</v>
      </c>
      <c r="AM85" t="e">
        <f>AND('Planilla_General_07-12-2012_8_3'!C1268,"AAAAAFP/bCY=")</f>
        <v>#VALUE!</v>
      </c>
      <c r="AN85" t="e">
        <f>AND('Planilla_General_07-12-2012_8_3'!D1268,"AAAAAFP/bCc=")</f>
        <v>#VALUE!</v>
      </c>
      <c r="AO85" t="e">
        <f>AND('Planilla_General_07-12-2012_8_3'!E1268,"AAAAAFP/bCg=")</f>
        <v>#VALUE!</v>
      </c>
      <c r="AP85" t="e">
        <f>AND('Planilla_General_07-12-2012_8_3'!F1268,"AAAAAFP/bCk=")</f>
        <v>#VALUE!</v>
      </c>
      <c r="AQ85" t="e">
        <f>AND('Planilla_General_07-12-2012_8_3'!G1268,"AAAAAFP/bCo=")</f>
        <v>#VALUE!</v>
      </c>
      <c r="AR85" t="e">
        <f>AND('Planilla_General_07-12-2012_8_3'!H1268,"AAAAAFP/bCs=")</f>
        <v>#VALUE!</v>
      </c>
      <c r="AS85" t="e">
        <f>AND('Planilla_General_07-12-2012_8_3'!I1268,"AAAAAFP/bCw=")</f>
        <v>#VALUE!</v>
      </c>
      <c r="AT85" t="e">
        <f>AND('Planilla_General_07-12-2012_8_3'!J1268,"AAAAAFP/bC0=")</f>
        <v>#VALUE!</v>
      </c>
      <c r="AU85" t="e">
        <f>AND('Planilla_General_07-12-2012_8_3'!K1268,"AAAAAFP/bC4=")</f>
        <v>#VALUE!</v>
      </c>
      <c r="AV85" t="e">
        <f>AND('Planilla_General_07-12-2012_8_3'!L1268,"AAAAAFP/bC8=")</f>
        <v>#VALUE!</v>
      </c>
      <c r="AW85" t="e">
        <f>AND('Planilla_General_07-12-2012_8_3'!M1268,"AAAAAFP/bDA=")</f>
        <v>#VALUE!</v>
      </c>
      <c r="AX85" t="e">
        <f>AND('Planilla_General_07-12-2012_8_3'!N1268,"AAAAAFP/bDE=")</f>
        <v>#VALUE!</v>
      </c>
      <c r="AY85" t="e">
        <f>AND('Planilla_General_07-12-2012_8_3'!O1268,"AAAAAFP/bDI=")</f>
        <v>#VALUE!</v>
      </c>
      <c r="AZ85" t="e">
        <f>AND('Planilla_General_07-12-2012_8_3'!P1268,"AAAAAFP/bDM=")</f>
        <v>#VALUE!</v>
      </c>
      <c r="BA85">
        <f>IF('Planilla_General_07-12-2012_8_3'!1269:1269,"AAAAAFP/bDQ=",0)</f>
        <v>0</v>
      </c>
      <c r="BB85" t="e">
        <f>AND('Planilla_General_07-12-2012_8_3'!A1269,"AAAAAFP/bDU=")</f>
        <v>#VALUE!</v>
      </c>
      <c r="BC85" t="e">
        <f>AND('Planilla_General_07-12-2012_8_3'!B1269,"AAAAAFP/bDY=")</f>
        <v>#VALUE!</v>
      </c>
      <c r="BD85" t="e">
        <f>AND('Planilla_General_07-12-2012_8_3'!C1269,"AAAAAFP/bDc=")</f>
        <v>#VALUE!</v>
      </c>
      <c r="BE85" t="e">
        <f>AND('Planilla_General_07-12-2012_8_3'!D1269,"AAAAAFP/bDg=")</f>
        <v>#VALUE!</v>
      </c>
      <c r="BF85" t="e">
        <f>AND('Planilla_General_07-12-2012_8_3'!E1269,"AAAAAFP/bDk=")</f>
        <v>#VALUE!</v>
      </c>
      <c r="BG85" t="e">
        <f>AND('Planilla_General_07-12-2012_8_3'!F1269,"AAAAAFP/bDo=")</f>
        <v>#VALUE!</v>
      </c>
      <c r="BH85" t="e">
        <f>AND('Planilla_General_07-12-2012_8_3'!G1269,"AAAAAFP/bDs=")</f>
        <v>#VALUE!</v>
      </c>
      <c r="BI85" t="e">
        <f>AND('Planilla_General_07-12-2012_8_3'!H1269,"AAAAAFP/bDw=")</f>
        <v>#VALUE!</v>
      </c>
      <c r="BJ85" t="e">
        <f>AND('Planilla_General_07-12-2012_8_3'!I1269,"AAAAAFP/bD0=")</f>
        <v>#VALUE!</v>
      </c>
      <c r="BK85" t="e">
        <f>AND('Planilla_General_07-12-2012_8_3'!J1269,"AAAAAFP/bD4=")</f>
        <v>#VALUE!</v>
      </c>
      <c r="BL85" t="e">
        <f>AND('Planilla_General_07-12-2012_8_3'!K1269,"AAAAAFP/bD8=")</f>
        <v>#VALUE!</v>
      </c>
      <c r="BM85" t="e">
        <f>AND('Planilla_General_07-12-2012_8_3'!L1269,"AAAAAFP/bEA=")</f>
        <v>#VALUE!</v>
      </c>
      <c r="BN85" t="e">
        <f>AND('Planilla_General_07-12-2012_8_3'!M1269,"AAAAAFP/bEE=")</f>
        <v>#VALUE!</v>
      </c>
      <c r="BO85" t="e">
        <f>AND('Planilla_General_07-12-2012_8_3'!N1269,"AAAAAFP/bEI=")</f>
        <v>#VALUE!</v>
      </c>
      <c r="BP85" t="e">
        <f>AND('Planilla_General_07-12-2012_8_3'!O1269,"AAAAAFP/bEM=")</f>
        <v>#VALUE!</v>
      </c>
      <c r="BQ85" t="e">
        <f>AND('Planilla_General_07-12-2012_8_3'!P1269,"AAAAAFP/bEQ=")</f>
        <v>#VALUE!</v>
      </c>
      <c r="BR85">
        <f>IF('Planilla_General_07-12-2012_8_3'!1270:1270,"AAAAAFP/bEU=",0)</f>
        <v>0</v>
      </c>
      <c r="BS85" t="e">
        <f>AND('Planilla_General_07-12-2012_8_3'!A1270,"AAAAAFP/bEY=")</f>
        <v>#VALUE!</v>
      </c>
      <c r="BT85" t="e">
        <f>AND('Planilla_General_07-12-2012_8_3'!B1270,"AAAAAFP/bEc=")</f>
        <v>#VALUE!</v>
      </c>
      <c r="BU85" t="e">
        <f>AND('Planilla_General_07-12-2012_8_3'!C1270,"AAAAAFP/bEg=")</f>
        <v>#VALUE!</v>
      </c>
      <c r="BV85" t="e">
        <f>AND('Planilla_General_07-12-2012_8_3'!D1270,"AAAAAFP/bEk=")</f>
        <v>#VALUE!</v>
      </c>
      <c r="BW85" t="e">
        <f>AND('Planilla_General_07-12-2012_8_3'!E1270,"AAAAAFP/bEo=")</f>
        <v>#VALUE!</v>
      </c>
      <c r="BX85" t="e">
        <f>AND('Planilla_General_07-12-2012_8_3'!F1270,"AAAAAFP/bEs=")</f>
        <v>#VALUE!</v>
      </c>
      <c r="BY85" t="e">
        <f>AND('Planilla_General_07-12-2012_8_3'!G1270,"AAAAAFP/bEw=")</f>
        <v>#VALUE!</v>
      </c>
      <c r="BZ85" t="e">
        <f>AND('Planilla_General_07-12-2012_8_3'!H1270,"AAAAAFP/bE0=")</f>
        <v>#VALUE!</v>
      </c>
      <c r="CA85" t="e">
        <f>AND('Planilla_General_07-12-2012_8_3'!I1270,"AAAAAFP/bE4=")</f>
        <v>#VALUE!</v>
      </c>
      <c r="CB85" t="e">
        <f>AND('Planilla_General_07-12-2012_8_3'!J1270,"AAAAAFP/bE8=")</f>
        <v>#VALUE!</v>
      </c>
      <c r="CC85" t="e">
        <f>AND('Planilla_General_07-12-2012_8_3'!K1270,"AAAAAFP/bFA=")</f>
        <v>#VALUE!</v>
      </c>
      <c r="CD85" t="e">
        <f>AND('Planilla_General_07-12-2012_8_3'!L1270,"AAAAAFP/bFE=")</f>
        <v>#VALUE!</v>
      </c>
      <c r="CE85" t="e">
        <f>AND('Planilla_General_07-12-2012_8_3'!M1270,"AAAAAFP/bFI=")</f>
        <v>#VALUE!</v>
      </c>
      <c r="CF85" t="e">
        <f>AND('Planilla_General_07-12-2012_8_3'!N1270,"AAAAAFP/bFM=")</f>
        <v>#VALUE!</v>
      </c>
      <c r="CG85" t="e">
        <f>AND('Planilla_General_07-12-2012_8_3'!O1270,"AAAAAFP/bFQ=")</f>
        <v>#VALUE!</v>
      </c>
      <c r="CH85" t="e">
        <f>AND('Planilla_General_07-12-2012_8_3'!P1270,"AAAAAFP/bFU=")</f>
        <v>#VALUE!</v>
      </c>
      <c r="CI85">
        <f>IF('Planilla_General_07-12-2012_8_3'!1271:1271,"AAAAAFP/bFY=",0)</f>
        <v>0</v>
      </c>
      <c r="CJ85" t="e">
        <f>AND('Planilla_General_07-12-2012_8_3'!A1271,"AAAAAFP/bFc=")</f>
        <v>#VALUE!</v>
      </c>
      <c r="CK85" t="e">
        <f>AND('Planilla_General_07-12-2012_8_3'!B1271,"AAAAAFP/bFg=")</f>
        <v>#VALUE!</v>
      </c>
      <c r="CL85" t="e">
        <f>AND('Planilla_General_07-12-2012_8_3'!C1271,"AAAAAFP/bFk=")</f>
        <v>#VALUE!</v>
      </c>
      <c r="CM85" t="e">
        <f>AND('Planilla_General_07-12-2012_8_3'!D1271,"AAAAAFP/bFo=")</f>
        <v>#VALUE!</v>
      </c>
      <c r="CN85" t="e">
        <f>AND('Planilla_General_07-12-2012_8_3'!E1271,"AAAAAFP/bFs=")</f>
        <v>#VALUE!</v>
      </c>
      <c r="CO85" t="e">
        <f>AND('Planilla_General_07-12-2012_8_3'!F1271,"AAAAAFP/bFw=")</f>
        <v>#VALUE!</v>
      </c>
      <c r="CP85" t="e">
        <f>AND('Planilla_General_07-12-2012_8_3'!G1271,"AAAAAFP/bF0=")</f>
        <v>#VALUE!</v>
      </c>
      <c r="CQ85" t="e">
        <f>AND('Planilla_General_07-12-2012_8_3'!H1271,"AAAAAFP/bF4=")</f>
        <v>#VALUE!</v>
      </c>
      <c r="CR85" t="e">
        <f>AND('Planilla_General_07-12-2012_8_3'!I1271,"AAAAAFP/bF8=")</f>
        <v>#VALUE!</v>
      </c>
      <c r="CS85" t="e">
        <f>AND('Planilla_General_07-12-2012_8_3'!J1271,"AAAAAFP/bGA=")</f>
        <v>#VALUE!</v>
      </c>
      <c r="CT85" t="e">
        <f>AND('Planilla_General_07-12-2012_8_3'!K1271,"AAAAAFP/bGE=")</f>
        <v>#VALUE!</v>
      </c>
      <c r="CU85" t="e">
        <f>AND('Planilla_General_07-12-2012_8_3'!L1271,"AAAAAFP/bGI=")</f>
        <v>#VALUE!</v>
      </c>
      <c r="CV85" t="e">
        <f>AND('Planilla_General_07-12-2012_8_3'!M1271,"AAAAAFP/bGM=")</f>
        <v>#VALUE!</v>
      </c>
      <c r="CW85" t="e">
        <f>AND('Planilla_General_07-12-2012_8_3'!N1271,"AAAAAFP/bGQ=")</f>
        <v>#VALUE!</v>
      </c>
      <c r="CX85" t="e">
        <f>AND('Planilla_General_07-12-2012_8_3'!O1271,"AAAAAFP/bGU=")</f>
        <v>#VALUE!</v>
      </c>
      <c r="CY85" t="e">
        <f>AND('Planilla_General_07-12-2012_8_3'!P1271,"AAAAAFP/bGY=")</f>
        <v>#VALUE!</v>
      </c>
      <c r="CZ85">
        <f>IF('Planilla_General_07-12-2012_8_3'!1272:1272,"AAAAAFP/bGc=",0)</f>
        <v>0</v>
      </c>
      <c r="DA85" t="e">
        <f>AND('Planilla_General_07-12-2012_8_3'!A1272,"AAAAAFP/bGg=")</f>
        <v>#VALUE!</v>
      </c>
      <c r="DB85" t="e">
        <f>AND('Planilla_General_07-12-2012_8_3'!B1272,"AAAAAFP/bGk=")</f>
        <v>#VALUE!</v>
      </c>
      <c r="DC85" t="e">
        <f>AND('Planilla_General_07-12-2012_8_3'!C1272,"AAAAAFP/bGo=")</f>
        <v>#VALUE!</v>
      </c>
      <c r="DD85" t="e">
        <f>AND('Planilla_General_07-12-2012_8_3'!D1272,"AAAAAFP/bGs=")</f>
        <v>#VALUE!</v>
      </c>
      <c r="DE85" t="e">
        <f>AND('Planilla_General_07-12-2012_8_3'!E1272,"AAAAAFP/bGw=")</f>
        <v>#VALUE!</v>
      </c>
      <c r="DF85" t="e">
        <f>AND('Planilla_General_07-12-2012_8_3'!F1272,"AAAAAFP/bG0=")</f>
        <v>#VALUE!</v>
      </c>
      <c r="DG85" t="e">
        <f>AND('Planilla_General_07-12-2012_8_3'!G1272,"AAAAAFP/bG4=")</f>
        <v>#VALUE!</v>
      </c>
      <c r="DH85" t="e">
        <f>AND('Planilla_General_07-12-2012_8_3'!H1272,"AAAAAFP/bG8=")</f>
        <v>#VALUE!</v>
      </c>
      <c r="DI85" t="e">
        <f>AND('Planilla_General_07-12-2012_8_3'!I1272,"AAAAAFP/bHA=")</f>
        <v>#VALUE!</v>
      </c>
      <c r="DJ85" t="e">
        <f>AND('Planilla_General_07-12-2012_8_3'!J1272,"AAAAAFP/bHE=")</f>
        <v>#VALUE!</v>
      </c>
      <c r="DK85" t="e">
        <f>AND('Planilla_General_07-12-2012_8_3'!K1272,"AAAAAFP/bHI=")</f>
        <v>#VALUE!</v>
      </c>
      <c r="DL85" t="e">
        <f>AND('Planilla_General_07-12-2012_8_3'!L1272,"AAAAAFP/bHM=")</f>
        <v>#VALUE!</v>
      </c>
      <c r="DM85" t="e">
        <f>AND('Planilla_General_07-12-2012_8_3'!M1272,"AAAAAFP/bHQ=")</f>
        <v>#VALUE!</v>
      </c>
      <c r="DN85" t="e">
        <f>AND('Planilla_General_07-12-2012_8_3'!N1272,"AAAAAFP/bHU=")</f>
        <v>#VALUE!</v>
      </c>
      <c r="DO85" t="e">
        <f>AND('Planilla_General_07-12-2012_8_3'!O1272,"AAAAAFP/bHY=")</f>
        <v>#VALUE!</v>
      </c>
      <c r="DP85" t="e">
        <f>AND('Planilla_General_07-12-2012_8_3'!P1272,"AAAAAFP/bHc=")</f>
        <v>#VALUE!</v>
      </c>
      <c r="DQ85">
        <f>IF('Planilla_General_07-12-2012_8_3'!1273:1273,"AAAAAFP/bHg=",0)</f>
        <v>0</v>
      </c>
      <c r="DR85" t="e">
        <f>AND('Planilla_General_07-12-2012_8_3'!A1273,"AAAAAFP/bHk=")</f>
        <v>#VALUE!</v>
      </c>
      <c r="DS85" t="e">
        <f>AND('Planilla_General_07-12-2012_8_3'!B1273,"AAAAAFP/bHo=")</f>
        <v>#VALUE!</v>
      </c>
      <c r="DT85" t="e">
        <f>AND('Planilla_General_07-12-2012_8_3'!C1273,"AAAAAFP/bHs=")</f>
        <v>#VALUE!</v>
      </c>
      <c r="DU85" t="e">
        <f>AND('Planilla_General_07-12-2012_8_3'!D1273,"AAAAAFP/bHw=")</f>
        <v>#VALUE!</v>
      </c>
      <c r="DV85" t="e">
        <f>AND('Planilla_General_07-12-2012_8_3'!E1273,"AAAAAFP/bH0=")</f>
        <v>#VALUE!</v>
      </c>
      <c r="DW85" t="e">
        <f>AND('Planilla_General_07-12-2012_8_3'!F1273,"AAAAAFP/bH4=")</f>
        <v>#VALUE!</v>
      </c>
      <c r="DX85" t="e">
        <f>AND('Planilla_General_07-12-2012_8_3'!G1273,"AAAAAFP/bH8=")</f>
        <v>#VALUE!</v>
      </c>
      <c r="DY85" t="e">
        <f>AND('Planilla_General_07-12-2012_8_3'!H1273,"AAAAAFP/bIA=")</f>
        <v>#VALUE!</v>
      </c>
      <c r="DZ85" t="e">
        <f>AND('Planilla_General_07-12-2012_8_3'!I1273,"AAAAAFP/bIE=")</f>
        <v>#VALUE!</v>
      </c>
      <c r="EA85" t="e">
        <f>AND('Planilla_General_07-12-2012_8_3'!J1273,"AAAAAFP/bII=")</f>
        <v>#VALUE!</v>
      </c>
      <c r="EB85" t="e">
        <f>AND('Planilla_General_07-12-2012_8_3'!K1273,"AAAAAFP/bIM=")</f>
        <v>#VALUE!</v>
      </c>
      <c r="EC85" t="e">
        <f>AND('Planilla_General_07-12-2012_8_3'!L1273,"AAAAAFP/bIQ=")</f>
        <v>#VALUE!</v>
      </c>
      <c r="ED85" t="e">
        <f>AND('Planilla_General_07-12-2012_8_3'!M1273,"AAAAAFP/bIU=")</f>
        <v>#VALUE!</v>
      </c>
      <c r="EE85" t="e">
        <f>AND('Planilla_General_07-12-2012_8_3'!N1273,"AAAAAFP/bIY=")</f>
        <v>#VALUE!</v>
      </c>
      <c r="EF85" t="e">
        <f>AND('Planilla_General_07-12-2012_8_3'!O1273,"AAAAAFP/bIc=")</f>
        <v>#VALUE!</v>
      </c>
      <c r="EG85" t="e">
        <f>AND('Planilla_General_07-12-2012_8_3'!P1273,"AAAAAFP/bIg=")</f>
        <v>#VALUE!</v>
      </c>
      <c r="EH85">
        <f>IF('Planilla_General_07-12-2012_8_3'!1274:1274,"AAAAAFP/bIk=",0)</f>
        <v>0</v>
      </c>
      <c r="EI85" t="e">
        <f>AND('Planilla_General_07-12-2012_8_3'!A1274,"AAAAAFP/bIo=")</f>
        <v>#VALUE!</v>
      </c>
      <c r="EJ85" t="e">
        <f>AND('Planilla_General_07-12-2012_8_3'!B1274,"AAAAAFP/bIs=")</f>
        <v>#VALUE!</v>
      </c>
      <c r="EK85" t="e">
        <f>AND('Planilla_General_07-12-2012_8_3'!C1274,"AAAAAFP/bIw=")</f>
        <v>#VALUE!</v>
      </c>
      <c r="EL85" t="e">
        <f>AND('Planilla_General_07-12-2012_8_3'!D1274,"AAAAAFP/bI0=")</f>
        <v>#VALUE!</v>
      </c>
      <c r="EM85" t="e">
        <f>AND('Planilla_General_07-12-2012_8_3'!E1274,"AAAAAFP/bI4=")</f>
        <v>#VALUE!</v>
      </c>
      <c r="EN85" t="e">
        <f>AND('Planilla_General_07-12-2012_8_3'!F1274,"AAAAAFP/bI8=")</f>
        <v>#VALUE!</v>
      </c>
      <c r="EO85" t="e">
        <f>AND('Planilla_General_07-12-2012_8_3'!G1274,"AAAAAFP/bJA=")</f>
        <v>#VALUE!</v>
      </c>
      <c r="EP85" t="e">
        <f>AND('Planilla_General_07-12-2012_8_3'!H1274,"AAAAAFP/bJE=")</f>
        <v>#VALUE!</v>
      </c>
      <c r="EQ85" t="e">
        <f>AND('Planilla_General_07-12-2012_8_3'!I1274,"AAAAAFP/bJI=")</f>
        <v>#VALUE!</v>
      </c>
      <c r="ER85" t="e">
        <f>AND('Planilla_General_07-12-2012_8_3'!J1274,"AAAAAFP/bJM=")</f>
        <v>#VALUE!</v>
      </c>
      <c r="ES85" t="e">
        <f>AND('Planilla_General_07-12-2012_8_3'!K1274,"AAAAAFP/bJQ=")</f>
        <v>#VALUE!</v>
      </c>
      <c r="ET85" t="e">
        <f>AND('Planilla_General_07-12-2012_8_3'!L1274,"AAAAAFP/bJU=")</f>
        <v>#VALUE!</v>
      </c>
      <c r="EU85" t="e">
        <f>AND('Planilla_General_07-12-2012_8_3'!M1274,"AAAAAFP/bJY=")</f>
        <v>#VALUE!</v>
      </c>
      <c r="EV85" t="e">
        <f>AND('Planilla_General_07-12-2012_8_3'!N1274,"AAAAAFP/bJc=")</f>
        <v>#VALUE!</v>
      </c>
      <c r="EW85" t="e">
        <f>AND('Planilla_General_07-12-2012_8_3'!O1274,"AAAAAFP/bJg=")</f>
        <v>#VALUE!</v>
      </c>
      <c r="EX85" t="e">
        <f>AND('Planilla_General_07-12-2012_8_3'!P1274,"AAAAAFP/bJk=")</f>
        <v>#VALUE!</v>
      </c>
      <c r="EY85">
        <f>IF('Planilla_General_07-12-2012_8_3'!1275:1275,"AAAAAFP/bJo=",0)</f>
        <v>0</v>
      </c>
      <c r="EZ85" t="e">
        <f>AND('Planilla_General_07-12-2012_8_3'!A1275,"AAAAAFP/bJs=")</f>
        <v>#VALUE!</v>
      </c>
      <c r="FA85" t="e">
        <f>AND('Planilla_General_07-12-2012_8_3'!B1275,"AAAAAFP/bJw=")</f>
        <v>#VALUE!</v>
      </c>
      <c r="FB85" t="e">
        <f>AND('Planilla_General_07-12-2012_8_3'!C1275,"AAAAAFP/bJ0=")</f>
        <v>#VALUE!</v>
      </c>
      <c r="FC85" t="e">
        <f>AND('Planilla_General_07-12-2012_8_3'!D1275,"AAAAAFP/bJ4=")</f>
        <v>#VALUE!</v>
      </c>
      <c r="FD85" t="e">
        <f>AND('Planilla_General_07-12-2012_8_3'!E1275,"AAAAAFP/bJ8=")</f>
        <v>#VALUE!</v>
      </c>
      <c r="FE85" t="e">
        <f>AND('Planilla_General_07-12-2012_8_3'!F1275,"AAAAAFP/bKA=")</f>
        <v>#VALUE!</v>
      </c>
      <c r="FF85" t="e">
        <f>AND('Planilla_General_07-12-2012_8_3'!G1275,"AAAAAFP/bKE=")</f>
        <v>#VALUE!</v>
      </c>
      <c r="FG85" t="e">
        <f>AND('Planilla_General_07-12-2012_8_3'!H1275,"AAAAAFP/bKI=")</f>
        <v>#VALUE!</v>
      </c>
      <c r="FH85" t="e">
        <f>AND('Planilla_General_07-12-2012_8_3'!I1275,"AAAAAFP/bKM=")</f>
        <v>#VALUE!</v>
      </c>
      <c r="FI85" t="e">
        <f>AND('Planilla_General_07-12-2012_8_3'!J1275,"AAAAAFP/bKQ=")</f>
        <v>#VALUE!</v>
      </c>
      <c r="FJ85" t="e">
        <f>AND('Planilla_General_07-12-2012_8_3'!K1275,"AAAAAFP/bKU=")</f>
        <v>#VALUE!</v>
      </c>
      <c r="FK85" t="e">
        <f>AND('Planilla_General_07-12-2012_8_3'!L1275,"AAAAAFP/bKY=")</f>
        <v>#VALUE!</v>
      </c>
      <c r="FL85" t="e">
        <f>AND('Planilla_General_07-12-2012_8_3'!M1275,"AAAAAFP/bKc=")</f>
        <v>#VALUE!</v>
      </c>
      <c r="FM85" t="e">
        <f>AND('Planilla_General_07-12-2012_8_3'!N1275,"AAAAAFP/bKg=")</f>
        <v>#VALUE!</v>
      </c>
      <c r="FN85" t="e">
        <f>AND('Planilla_General_07-12-2012_8_3'!O1275,"AAAAAFP/bKk=")</f>
        <v>#VALUE!</v>
      </c>
      <c r="FO85" t="e">
        <f>AND('Planilla_General_07-12-2012_8_3'!P1275,"AAAAAFP/bKo=")</f>
        <v>#VALUE!</v>
      </c>
      <c r="FP85">
        <f>IF('Planilla_General_07-12-2012_8_3'!1276:1276,"AAAAAFP/bKs=",0)</f>
        <v>0</v>
      </c>
      <c r="FQ85" t="e">
        <f>AND('Planilla_General_07-12-2012_8_3'!A1276,"AAAAAFP/bKw=")</f>
        <v>#VALUE!</v>
      </c>
      <c r="FR85" t="e">
        <f>AND('Planilla_General_07-12-2012_8_3'!B1276,"AAAAAFP/bK0=")</f>
        <v>#VALUE!</v>
      </c>
      <c r="FS85" t="e">
        <f>AND('Planilla_General_07-12-2012_8_3'!C1276,"AAAAAFP/bK4=")</f>
        <v>#VALUE!</v>
      </c>
      <c r="FT85" t="e">
        <f>AND('Planilla_General_07-12-2012_8_3'!D1276,"AAAAAFP/bK8=")</f>
        <v>#VALUE!</v>
      </c>
      <c r="FU85" t="e">
        <f>AND('Planilla_General_07-12-2012_8_3'!E1276,"AAAAAFP/bLA=")</f>
        <v>#VALUE!</v>
      </c>
      <c r="FV85" t="e">
        <f>AND('Planilla_General_07-12-2012_8_3'!F1276,"AAAAAFP/bLE=")</f>
        <v>#VALUE!</v>
      </c>
      <c r="FW85" t="e">
        <f>AND('Planilla_General_07-12-2012_8_3'!G1276,"AAAAAFP/bLI=")</f>
        <v>#VALUE!</v>
      </c>
      <c r="FX85" t="e">
        <f>AND('Planilla_General_07-12-2012_8_3'!H1276,"AAAAAFP/bLM=")</f>
        <v>#VALUE!</v>
      </c>
      <c r="FY85" t="e">
        <f>AND('Planilla_General_07-12-2012_8_3'!I1276,"AAAAAFP/bLQ=")</f>
        <v>#VALUE!</v>
      </c>
      <c r="FZ85" t="e">
        <f>AND('Planilla_General_07-12-2012_8_3'!J1276,"AAAAAFP/bLU=")</f>
        <v>#VALUE!</v>
      </c>
      <c r="GA85" t="e">
        <f>AND('Planilla_General_07-12-2012_8_3'!K1276,"AAAAAFP/bLY=")</f>
        <v>#VALUE!</v>
      </c>
      <c r="GB85" t="e">
        <f>AND('Planilla_General_07-12-2012_8_3'!L1276,"AAAAAFP/bLc=")</f>
        <v>#VALUE!</v>
      </c>
      <c r="GC85" t="e">
        <f>AND('Planilla_General_07-12-2012_8_3'!M1276,"AAAAAFP/bLg=")</f>
        <v>#VALUE!</v>
      </c>
      <c r="GD85" t="e">
        <f>AND('Planilla_General_07-12-2012_8_3'!N1276,"AAAAAFP/bLk=")</f>
        <v>#VALUE!</v>
      </c>
      <c r="GE85" t="e">
        <f>AND('Planilla_General_07-12-2012_8_3'!O1276,"AAAAAFP/bLo=")</f>
        <v>#VALUE!</v>
      </c>
      <c r="GF85" t="e">
        <f>AND('Planilla_General_07-12-2012_8_3'!P1276,"AAAAAFP/bLs=")</f>
        <v>#VALUE!</v>
      </c>
      <c r="GG85">
        <f>IF('Planilla_General_07-12-2012_8_3'!1277:1277,"AAAAAFP/bLw=",0)</f>
        <v>0</v>
      </c>
      <c r="GH85" t="e">
        <f>AND('Planilla_General_07-12-2012_8_3'!A1277,"AAAAAFP/bL0=")</f>
        <v>#VALUE!</v>
      </c>
      <c r="GI85" t="e">
        <f>AND('Planilla_General_07-12-2012_8_3'!B1277,"AAAAAFP/bL4=")</f>
        <v>#VALUE!</v>
      </c>
      <c r="GJ85" t="e">
        <f>AND('Planilla_General_07-12-2012_8_3'!C1277,"AAAAAFP/bL8=")</f>
        <v>#VALUE!</v>
      </c>
      <c r="GK85" t="e">
        <f>AND('Planilla_General_07-12-2012_8_3'!D1277,"AAAAAFP/bMA=")</f>
        <v>#VALUE!</v>
      </c>
      <c r="GL85" t="e">
        <f>AND('Planilla_General_07-12-2012_8_3'!E1277,"AAAAAFP/bME=")</f>
        <v>#VALUE!</v>
      </c>
      <c r="GM85" t="e">
        <f>AND('Planilla_General_07-12-2012_8_3'!F1277,"AAAAAFP/bMI=")</f>
        <v>#VALUE!</v>
      </c>
      <c r="GN85" t="e">
        <f>AND('Planilla_General_07-12-2012_8_3'!G1277,"AAAAAFP/bMM=")</f>
        <v>#VALUE!</v>
      </c>
      <c r="GO85" t="e">
        <f>AND('Planilla_General_07-12-2012_8_3'!H1277,"AAAAAFP/bMQ=")</f>
        <v>#VALUE!</v>
      </c>
      <c r="GP85" t="e">
        <f>AND('Planilla_General_07-12-2012_8_3'!I1277,"AAAAAFP/bMU=")</f>
        <v>#VALUE!</v>
      </c>
      <c r="GQ85" t="e">
        <f>AND('Planilla_General_07-12-2012_8_3'!J1277,"AAAAAFP/bMY=")</f>
        <v>#VALUE!</v>
      </c>
      <c r="GR85" t="e">
        <f>AND('Planilla_General_07-12-2012_8_3'!K1277,"AAAAAFP/bMc=")</f>
        <v>#VALUE!</v>
      </c>
      <c r="GS85" t="e">
        <f>AND('Planilla_General_07-12-2012_8_3'!L1277,"AAAAAFP/bMg=")</f>
        <v>#VALUE!</v>
      </c>
      <c r="GT85" t="e">
        <f>AND('Planilla_General_07-12-2012_8_3'!M1277,"AAAAAFP/bMk=")</f>
        <v>#VALUE!</v>
      </c>
      <c r="GU85" t="e">
        <f>AND('Planilla_General_07-12-2012_8_3'!N1277,"AAAAAFP/bMo=")</f>
        <v>#VALUE!</v>
      </c>
      <c r="GV85" t="e">
        <f>AND('Planilla_General_07-12-2012_8_3'!O1277,"AAAAAFP/bMs=")</f>
        <v>#VALUE!</v>
      </c>
      <c r="GW85" t="e">
        <f>AND('Planilla_General_07-12-2012_8_3'!P1277,"AAAAAFP/bMw=")</f>
        <v>#VALUE!</v>
      </c>
      <c r="GX85">
        <f>IF('Planilla_General_07-12-2012_8_3'!1278:1278,"AAAAAFP/bM0=",0)</f>
        <v>0</v>
      </c>
      <c r="GY85" t="e">
        <f>AND('Planilla_General_07-12-2012_8_3'!A1278,"AAAAAFP/bM4=")</f>
        <v>#VALUE!</v>
      </c>
      <c r="GZ85" t="e">
        <f>AND('Planilla_General_07-12-2012_8_3'!B1278,"AAAAAFP/bM8=")</f>
        <v>#VALUE!</v>
      </c>
      <c r="HA85" t="e">
        <f>AND('Planilla_General_07-12-2012_8_3'!C1278,"AAAAAFP/bNA=")</f>
        <v>#VALUE!</v>
      </c>
      <c r="HB85" t="e">
        <f>AND('Planilla_General_07-12-2012_8_3'!D1278,"AAAAAFP/bNE=")</f>
        <v>#VALUE!</v>
      </c>
      <c r="HC85" t="e">
        <f>AND('Planilla_General_07-12-2012_8_3'!E1278,"AAAAAFP/bNI=")</f>
        <v>#VALUE!</v>
      </c>
      <c r="HD85" t="e">
        <f>AND('Planilla_General_07-12-2012_8_3'!F1278,"AAAAAFP/bNM=")</f>
        <v>#VALUE!</v>
      </c>
      <c r="HE85" t="e">
        <f>AND('Planilla_General_07-12-2012_8_3'!G1278,"AAAAAFP/bNQ=")</f>
        <v>#VALUE!</v>
      </c>
      <c r="HF85" t="e">
        <f>AND('Planilla_General_07-12-2012_8_3'!H1278,"AAAAAFP/bNU=")</f>
        <v>#VALUE!</v>
      </c>
      <c r="HG85" t="e">
        <f>AND('Planilla_General_07-12-2012_8_3'!I1278,"AAAAAFP/bNY=")</f>
        <v>#VALUE!</v>
      </c>
      <c r="HH85" t="e">
        <f>AND('Planilla_General_07-12-2012_8_3'!J1278,"AAAAAFP/bNc=")</f>
        <v>#VALUE!</v>
      </c>
      <c r="HI85" t="e">
        <f>AND('Planilla_General_07-12-2012_8_3'!K1278,"AAAAAFP/bNg=")</f>
        <v>#VALUE!</v>
      </c>
      <c r="HJ85" t="e">
        <f>AND('Planilla_General_07-12-2012_8_3'!L1278,"AAAAAFP/bNk=")</f>
        <v>#VALUE!</v>
      </c>
      <c r="HK85" t="e">
        <f>AND('Planilla_General_07-12-2012_8_3'!M1278,"AAAAAFP/bNo=")</f>
        <v>#VALUE!</v>
      </c>
      <c r="HL85" t="e">
        <f>AND('Planilla_General_07-12-2012_8_3'!N1278,"AAAAAFP/bNs=")</f>
        <v>#VALUE!</v>
      </c>
      <c r="HM85" t="e">
        <f>AND('Planilla_General_07-12-2012_8_3'!O1278,"AAAAAFP/bNw=")</f>
        <v>#VALUE!</v>
      </c>
      <c r="HN85" t="e">
        <f>AND('Planilla_General_07-12-2012_8_3'!P1278,"AAAAAFP/bN0=")</f>
        <v>#VALUE!</v>
      </c>
      <c r="HO85">
        <f>IF('Planilla_General_07-12-2012_8_3'!1279:1279,"AAAAAFP/bN4=",0)</f>
        <v>0</v>
      </c>
      <c r="HP85" t="e">
        <f>AND('Planilla_General_07-12-2012_8_3'!A1279,"AAAAAFP/bN8=")</f>
        <v>#VALUE!</v>
      </c>
      <c r="HQ85" t="e">
        <f>AND('Planilla_General_07-12-2012_8_3'!B1279,"AAAAAFP/bOA=")</f>
        <v>#VALUE!</v>
      </c>
      <c r="HR85" t="e">
        <f>AND('Planilla_General_07-12-2012_8_3'!C1279,"AAAAAFP/bOE=")</f>
        <v>#VALUE!</v>
      </c>
      <c r="HS85" t="e">
        <f>AND('Planilla_General_07-12-2012_8_3'!D1279,"AAAAAFP/bOI=")</f>
        <v>#VALUE!</v>
      </c>
      <c r="HT85" t="e">
        <f>AND('Planilla_General_07-12-2012_8_3'!E1279,"AAAAAFP/bOM=")</f>
        <v>#VALUE!</v>
      </c>
      <c r="HU85" t="e">
        <f>AND('Planilla_General_07-12-2012_8_3'!F1279,"AAAAAFP/bOQ=")</f>
        <v>#VALUE!</v>
      </c>
      <c r="HV85" t="e">
        <f>AND('Planilla_General_07-12-2012_8_3'!G1279,"AAAAAFP/bOU=")</f>
        <v>#VALUE!</v>
      </c>
      <c r="HW85" t="e">
        <f>AND('Planilla_General_07-12-2012_8_3'!H1279,"AAAAAFP/bOY=")</f>
        <v>#VALUE!</v>
      </c>
      <c r="HX85" t="e">
        <f>AND('Planilla_General_07-12-2012_8_3'!I1279,"AAAAAFP/bOc=")</f>
        <v>#VALUE!</v>
      </c>
      <c r="HY85" t="e">
        <f>AND('Planilla_General_07-12-2012_8_3'!J1279,"AAAAAFP/bOg=")</f>
        <v>#VALUE!</v>
      </c>
      <c r="HZ85" t="e">
        <f>AND('Planilla_General_07-12-2012_8_3'!K1279,"AAAAAFP/bOk=")</f>
        <v>#VALUE!</v>
      </c>
      <c r="IA85" t="e">
        <f>AND('Planilla_General_07-12-2012_8_3'!L1279,"AAAAAFP/bOo=")</f>
        <v>#VALUE!</v>
      </c>
      <c r="IB85" t="e">
        <f>AND('Planilla_General_07-12-2012_8_3'!M1279,"AAAAAFP/bOs=")</f>
        <v>#VALUE!</v>
      </c>
      <c r="IC85" t="e">
        <f>AND('Planilla_General_07-12-2012_8_3'!N1279,"AAAAAFP/bOw=")</f>
        <v>#VALUE!</v>
      </c>
      <c r="ID85" t="e">
        <f>AND('Planilla_General_07-12-2012_8_3'!O1279,"AAAAAFP/bO0=")</f>
        <v>#VALUE!</v>
      </c>
      <c r="IE85" t="e">
        <f>AND('Planilla_General_07-12-2012_8_3'!P1279,"AAAAAFP/bO4=")</f>
        <v>#VALUE!</v>
      </c>
      <c r="IF85">
        <f>IF('Planilla_General_07-12-2012_8_3'!1280:1280,"AAAAAFP/bO8=",0)</f>
        <v>0</v>
      </c>
      <c r="IG85" t="e">
        <f>AND('Planilla_General_07-12-2012_8_3'!A1280,"AAAAAFP/bPA=")</f>
        <v>#VALUE!</v>
      </c>
      <c r="IH85" t="e">
        <f>AND('Planilla_General_07-12-2012_8_3'!B1280,"AAAAAFP/bPE=")</f>
        <v>#VALUE!</v>
      </c>
      <c r="II85" t="e">
        <f>AND('Planilla_General_07-12-2012_8_3'!C1280,"AAAAAFP/bPI=")</f>
        <v>#VALUE!</v>
      </c>
      <c r="IJ85" t="e">
        <f>AND('Planilla_General_07-12-2012_8_3'!D1280,"AAAAAFP/bPM=")</f>
        <v>#VALUE!</v>
      </c>
      <c r="IK85" t="e">
        <f>AND('Planilla_General_07-12-2012_8_3'!E1280,"AAAAAFP/bPQ=")</f>
        <v>#VALUE!</v>
      </c>
      <c r="IL85" t="e">
        <f>AND('Planilla_General_07-12-2012_8_3'!F1280,"AAAAAFP/bPU=")</f>
        <v>#VALUE!</v>
      </c>
      <c r="IM85" t="e">
        <f>AND('Planilla_General_07-12-2012_8_3'!G1280,"AAAAAFP/bPY=")</f>
        <v>#VALUE!</v>
      </c>
      <c r="IN85" t="e">
        <f>AND('Planilla_General_07-12-2012_8_3'!H1280,"AAAAAFP/bPc=")</f>
        <v>#VALUE!</v>
      </c>
      <c r="IO85" t="e">
        <f>AND('Planilla_General_07-12-2012_8_3'!I1280,"AAAAAFP/bPg=")</f>
        <v>#VALUE!</v>
      </c>
      <c r="IP85" t="e">
        <f>AND('Planilla_General_07-12-2012_8_3'!J1280,"AAAAAFP/bPk=")</f>
        <v>#VALUE!</v>
      </c>
      <c r="IQ85" t="e">
        <f>AND('Planilla_General_07-12-2012_8_3'!K1280,"AAAAAFP/bPo=")</f>
        <v>#VALUE!</v>
      </c>
      <c r="IR85" t="e">
        <f>AND('Planilla_General_07-12-2012_8_3'!L1280,"AAAAAFP/bPs=")</f>
        <v>#VALUE!</v>
      </c>
      <c r="IS85" t="e">
        <f>AND('Planilla_General_07-12-2012_8_3'!M1280,"AAAAAFP/bPw=")</f>
        <v>#VALUE!</v>
      </c>
      <c r="IT85" t="e">
        <f>AND('Planilla_General_07-12-2012_8_3'!N1280,"AAAAAFP/bP0=")</f>
        <v>#VALUE!</v>
      </c>
      <c r="IU85" t="e">
        <f>AND('Planilla_General_07-12-2012_8_3'!O1280,"AAAAAFP/bP4=")</f>
        <v>#VALUE!</v>
      </c>
      <c r="IV85" t="e">
        <f>AND('Planilla_General_07-12-2012_8_3'!P1280,"AAAAAFP/bP8=")</f>
        <v>#VALUE!</v>
      </c>
    </row>
    <row r="86" spans="1:256" x14ac:dyDescent="0.25">
      <c r="A86" t="e">
        <f>IF('Planilla_General_07-12-2012_8_3'!1281:1281,"AAAAAH2tRwA=",0)</f>
        <v>#VALUE!</v>
      </c>
      <c r="B86" t="e">
        <f>AND('Planilla_General_07-12-2012_8_3'!A1281,"AAAAAH2tRwE=")</f>
        <v>#VALUE!</v>
      </c>
      <c r="C86" t="e">
        <f>AND('Planilla_General_07-12-2012_8_3'!B1281,"AAAAAH2tRwI=")</f>
        <v>#VALUE!</v>
      </c>
      <c r="D86" t="e">
        <f>AND('Planilla_General_07-12-2012_8_3'!C1281,"AAAAAH2tRwM=")</f>
        <v>#VALUE!</v>
      </c>
      <c r="E86" t="e">
        <f>AND('Planilla_General_07-12-2012_8_3'!D1281,"AAAAAH2tRwQ=")</f>
        <v>#VALUE!</v>
      </c>
      <c r="F86" t="e">
        <f>AND('Planilla_General_07-12-2012_8_3'!E1281,"AAAAAH2tRwU=")</f>
        <v>#VALUE!</v>
      </c>
      <c r="G86" t="e">
        <f>AND('Planilla_General_07-12-2012_8_3'!F1281,"AAAAAH2tRwY=")</f>
        <v>#VALUE!</v>
      </c>
      <c r="H86" t="e">
        <f>AND('Planilla_General_07-12-2012_8_3'!G1281,"AAAAAH2tRwc=")</f>
        <v>#VALUE!</v>
      </c>
      <c r="I86" t="e">
        <f>AND('Planilla_General_07-12-2012_8_3'!H1281,"AAAAAH2tRwg=")</f>
        <v>#VALUE!</v>
      </c>
      <c r="J86" t="e">
        <f>AND('Planilla_General_07-12-2012_8_3'!I1281,"AAAAAH2tRwk=")</f>
        <v>#VALUE!</v>
      </c>
      <c r="K86" t="e">
        <f>AND('Planilla_General_07-12-2012_8_3'!J1281,"AAAAAH2tRwo=")</f>
        <v>#VALUE!</v>
      </c>
      <c r="L86" t="e">
        <f>AND('Planilla_General_07-12-2012_8_3'!K1281,"AAAAAH2tRws=")</f>
        <v>#VALUE!</v>
      </c>
      <c r="M86" t="e">
        <f>AND('Planilla_General_07-12-2012_8_3'!L1281,"AAAAAH2tRww=")</f>
        <v>#VALUE!</v>
      </c>
      <c r="N86" t="e">
        <f>AND('Planilla_General_07-12-2012_8_3'!M1281,"AAAAAH2tRw0=")</f>
        <v>#VALUE!</v>
      </c>
      <c r="O86" t="e">
        <f>AND('Planilla_General_07-12-2012_8_3'!N1281,"AAAAAH2tRw4=")</f>
        <v>#VALUE!</v>
      </c>
      <c r="P86" t="e">
        <f>AND('Planilla_General_07-12-2012_8_3'!O1281,"AAAAAH2tRw8=")</f>
        <v>#VALUE!</v>
      </c>
      <c r="Q86" t="e">
        <f>AND('Planilla_General_07-12-2012_8_3'!P1281,"AAAAAH2tRxA=")</f>
        <v>#VALUE!</v>
      </c>
      <c r="R86">
        <f>IF('Planilla_General_07-12-2012_8_3'!1282:1282,"AAAAAH2tRxE=",0)</f>
        <v>0</v>
      </c>
      <c r="S86" t="e">
        <f>AND('Planilla_General_07-12-2012_8_3'!A1282,"AAAAAH2tRxI=")</f>
        <v>#VALUE!</v>
      </c>
      <c r="T86" t="e">
        <f>AND('Planilla_General_07-12-2012_8_3'!B1282,"AAAAAH2tRxM=")</f>
        <v>#VALUE!</v>
      </c>
      <c r="U86" t="e">
        <f>AND('Planilla_General_07-12-2012_8_3'!C1282,"AAAAAH2tRxQ=")</f>
        <v>#VALUE!</v>
      </c>
      <c r="V86" t="e">
        <f>AND('Planilla_General_07-12-2012_8_3'!D1282,"AAAAAH2tRxU=")</f>
        <v>#VALUE!</v>
      </c>
      <c r="W86" t="e">
        <f>AND('Planilla_General_07-12-2012_8_3'!E1282,"AAAAAH2tRxY=")</f>
        <v>#VALUE!</v>
      </c>
      <c r="X86" t="e">
        <f>AND('Planilla_General_07-12-2012_8_3'!F1282,"AAAAAH2tRxc=")</f>
        <v>#VALUE!</v>
      </c>
      <c r="Y86" t="e">
        <f>AND('Planilla_General_07-12-2012_8_3'!G1282,"AAAAAH2tRxg=")</f>
        <v>#VALUE!</v>
      </c>
      <c r="Z86" t="e">
        <f>AND('Planilla_General_07-12-2012_8_3'!H1282,"AAAAAH2tRxk=")</f>
        <v>#VALUE!</v>
      </c>
      <c r="AA86" t="e">
        <f>AND('Planilla_General_07-12-2012_8_3'!I1282,"AAAAAH2tRxo=")</f>
        <v>#VALUE!</v>
      </c>
      <c r="AB86" t="e">
        <f>AND('Planilla_General_07-12-2012_8_3'!J1282,"AAAAAH2tRxs=")</f>
        <v>#VALUE!</v>
      </c>
      <c r="AC86" t="e">
        <f>AND('Planilla_General_07-12-2012_8_3'!K1282,"AAAAAH2tRxw=")</f>
        <v>#VALUE!</v>
      </c>
      <c r="AD86" t="e">
        <f>AND('Planilla_General_07-12-2012_8_3'!L1282,"AAAAAH2tRx0=")</f>
        <v>#VALUE!</v>
      </c>
      <c r="AE86" t="e">
        <f>AND('Planilla_General_07-12-2012_8_3'!M1282,"AAAAAH2tRx4=")</f>
        <v>#VALUE!</v>
      </c>
      <c r="AF86" t="e">
        <f>AND('Planilla_General_07-12-2012_8_3'!N1282,"AAAAAH2tRx8=")</f>
        <v>#VALUE!</v>
      </c>
      <c r="AG86" t="e">
        <f>AND('Planilla_General_07-12-2012_8_3'!O1282,"AAAAAH2tRyA=")</f>
        <v>#VALUE!</v>
      </c>
      <c r="AH86" t="e">
        <f>AND('Planilla_General_07-12-2012_8_3'!P1282,"AAAAAH2tRyE=")</f>
        <v>#VALUE!</v>
      </c>
      <c r="AI86">
        <f>IF('Planilla_General_07-12-2012_8_3'!1283:1283,"AAAAAH2tRyI=",0)</f>
        <v>0</v>
      </c>
      <c r="AJ86" t="e">
        <f>AND('Planilla_General_07-12-2012_8_3'!A1283,"AAAAAH2tRyM=")</f>
        <v>#VALUE!</v>
      </c>
      <c r="AK86" t="e">
        <f>AND('Planilla_General_07-12-2012_8_3'!B1283,"AAAAAH2tRyQ=")</f>
        <v>#VALUE!</v>
      </c>
      <c r="AL86" t="e">
        <f>AND('Planilla_General_07-12-2012_8_3'!C1283,"AAAAAH2tRyU=")</f>
        <v>#VALUE!</v>
      </c>
      <c r="AM86" t="e">
        <f>AND('Planilla_General_07-12-2012_8_3'!D1283,"AAAAAH2tRyY=")</f>
        <v>#VALUE!</v>
      </c>
      <c r="AN86" t="e">
        <f>AND('Planilla_General_07-12-2012_8_3'!E1283,"AAAAAH2tRyc=")</f>
        <v>#VALUE!</v>
      </c>
      <c r="AO86" t="e">
        <f>AND('Planilla_General_07-12-2012_8_3'!F1283,"AAAAAH2tRyg=")</f>
        <v>#VALUE!</v>
      </c>
      <c r="AP86" t="e">
        <f>AND('Planilla_General_07-12-2012_8_3'!G1283,"AAAAAH2tRyk=")</f>
        <v>#VALUE!</v>
      </c>
      <c r="AQ86" t="e">
        <f>AND('Planilla_General_07-12-2012_8_3'!H1283,"AAAAAH2tRyo=")</f>
        <v>#VALUE!</v>
      </c>
      <c r="AR86" t="e">
        <f>AND('Planilla_General_07-12-2012_8_3'!I1283,"AAAAAH2tRys=")</f>
        <v>#VALUE!</v>
      </c>
      <c r="AS86" t="e">
        <f>AND('Planilla_General_07-12-2012_8_3'!J1283,"AAAAAH2tRyw=")</f>
        <v>#VALUE!</v>
      </c>
      <c r="AT86" t="e">
        <f>AND('Planilla_General_07-12-2012_8_3'!K1283,"AAAAAH2tRy0=")</f>
        <v>#VALUE!</v>
      </c>
      <c r="AU86" t="e">
        <f>AND('Planilla_General_07-12-2012_8_3'!L1283,"AAAAAH2tRy4=")</f>
        <v>#VALUE!</v>
      </c>
      <c r="AV86" t="e">
        <f>AND('Planilla_General_07-12-2012_8_3'!M1283,"AAAAAH2tRy8=")</f>
        <v>#VALUE!</v>
      </c>
      <c r="AW86" t="e">
        <f>AND('Planilla_General_07-12-2012_8_3'!N1283,"AAAAAH2tRzA=")</f>
        <v>#VALUE!</v>
      </c>
      <c r="AX86" t="e">
        <f>AND('Planilla_General_07-12-2012_8_3'!O1283,"AAAAAH2tRzE=")</f>
        <v>#VALUE!</v>
      </c>
      <c r="AY86" t="e">
        <f>AND('Planilla_General_07-12-2012_8_3'!P1283,"AAAAAH2tRzI=")</f>
        <v>#VALUE!</v>
      </c>
      <c r="AZ86">
        <f>IF('Planilla_General_07-12-2012_8_3'!1284:1284,"AAAAAH2tRzM=",0)</f>
        <v>0</v>
      </c>
      <c r="BA86" t="e">
        <f>AND('Planilla_General_07-12-2012_8_3'!A1284,"AAAAAH2tRzQ=")</f>
        <v>#VALUE!</v>
      </c>
      <c r="BB86" t="e">
        <f>AND('Planilla_General_07-12-2012_8_3'!B1284,"AAAAAH2tRzU=")</f>
        <v>#VALUE!</v>
      </c>
      <c r="BC86" t="e">
        <f>AND('Planilla_General_07-12-2012_8_3'!C1284,"AAAAAH2tRzY=")</f>
        <v>#VALUE!</v>
      </c>
      <c r="BD86" t="e">
        <f>AND('Planilla_General_07-12-2012_8_3'!D1284,"AAAAAH2tRzc=")</f>
        <v>#VALUE!</v>
      </c>
      <c r="BE86" t="e">
        <f>AND('Planilla_General_07-12-2012_8_3'!E1284,"AAAAAH2tRzg=")</f>
        <v>#VALUE!</v>
      </c>
      <c r="BF86" t="e">
        <f>AND('Planilla_General_07-12-2012_8_3'!F1284,"AAAAAH2tRzk=")</f>
        <v>#VALUE!</v>
      </c>
      <c r="BG86" t="e">
        <f>AND('Planilla_General_07-12-2012_8_3'!G1284,"AAAAAH2tRzo=")</f>
        <v>#VALUE!</v>
      </c>
      <c r="BH86" t="e">
        <f>AND('Planilla_General_07-12-2012_8_3'!H1284,"AAAAAH2tRzs=")</f>
        <v>#VALUE!</v>
      </c>
      <c r="BI86" t="e">
        <f>AND('Planilla_General_07-12-2012_8_3'!I1284,"AAAAAH2tRzw=")</f>
        <v>#VALUE!</v>
      </c>
      <c r="BJ86" t="e">
        <f>AND('Planilla_General_07-12-2012_8_3'!J1284,"AAAAAH2tRz0=")</f>
        <v>#VALUE!</v>
      </c>
      <c r="BK86" t="e">
        <f>AND('Planilla_General_07-12-2012_8_3'!K1284,"AAAAAH2tRz4=")</f>
        <v>#VALUE!</v>
      </c>
      <c r="BL86" t="e">
        <f>AND('Planilla_General_07-12-2012_8_3'!L1284,"AAAAAH2tRz8=")</f>
        <v>#VALUE!</v>
      </c>
      <c r="BM86" t="e">
        <f>AND('Planilla_General_07-12-2012_8_3'!M1284,"AAAAAH2tR0A=")</f>
        <v>#VALUE!</v>
      </c>
      <c r="BN86" t="e">
        <f>AND('Planilla_General_07-12-2012_8_3'!N1284,"AAAAAH2tR0E=")</f>
        <v>#VALUE!</v>
      </c>
      <c r="BO86" t="e">
        <f>AND('Planilla_General_07-12-2012_8_3'!O1284,"AAAAAH2tR0I=")</f>
        <v>#VALUE!</v>
      </c>
      <c r="BP86" t="e">
        <f>AND('Planilla_General_07-12-2012_8_3'!P1284,"AAAAAH2tR0M=")</f>
        <v>#VALUE!</v>
      </c>
      <c r="BQ86">
        <f>IF('Planilla_General_07-12-2012_8_3'!1285:1285,"AAAAAH2tR0Q=",0)</f>
        <v>0</v>
      </c>
      <c r="BR86" t="e">
        <f>AND('Planilla_General_07-12-2012_8_3'!A1285,"AAAAAH2tR0U=")</f>
        <v>#VALUE!</v>
      </c>
      <c r="BS86" t="e">
        <f>AND('Planilla_General_07-12-2012_8_3'!B1285,"AAAAAH2tR0Y=")</f>
        <v>#VALUE!</v>
      </c>
      <c r="BT86" t="e">
        <f>AND('Planilla_General_07-12-2012_8_3'!C1285,"AAAAAH2tR0c=")</f>
        <v>#VALUE!</v>
      </c>
      <c r="BU86" t="e">
        <f>AND('Planilla_General_07-12-2012_8_3'!D1285,"AAAAAH2tR0g=")</f>
        <v>#VALUE!</v>
      </c>
      <c r="BV86" t="e">
        <f>AND('Planilla_General_07-12-2012_8_3'!E1285,"AAAAAH2tR0k=")</f>
        <v>#VALUE!</v>
      </c>
      <c r="BW86" t="e">
        <f>AND('Planilla_General_07-12-2012_8_3'!F1285,"AAAAAH2tR0o=")</f>
        <v>#VALUE!</v>
      </c>
      <c r="BX86" t="e">
        <f>AND('Planilla_General_07-12-2012_8_3'!G1285,"AAAAAH2tR0s=")</f>
        <v>#VALUE!</v>
      </c>
      <c r="BY86" t="e">
        <f>AND('Planilla_General_07-12-2012_8_3'!H1285,"AAAAAH2tR0w=")</f>
        <v>#VALUE!</v>
      </c>
      <c r="BZ86" t="e">
        <f>AND('Planilla_General_07-12-2012_8_3'!I1285,"AAAAAH2tR00=")</f>
        <v>#VALUE!</v>
      </c>
      <c r="CA86" t="e">
        <f>AND('Planilla_General_07-12-2012_8_3'!J1285,"AAAAAH2tR04=")</f>
        <v>#VALUE!</v>
      </c>
      <c r="CB86" t="e">
        <f>AND('Planilla_General_07-12-2012_8_3'!K1285,"AAAAAH2tR08=")</f>
        <v>#VALUE!</v>
      </c>
      <c r="CC86" t="e">
        <f>AND('Planilla_General_07-12-2012_8_3'!L1285,"AAAAAH2tR1A=")</f>
        <v>#VALUE!</v>
      </c>
      <c r="CD86" t="e">
        <f>AND('Planilla_General_07-12-2012_8_3'!M1285,"AAAAAH2tR1E=")</f>
        <v>#VALUE!</v>
      </c>
      <c r="CE86" t="e">
        <f>AND('Planilla_General_07-12-2012_8_3'!N1285,"AAAAAH2tR1I=")</f>
        <v>#VALUE!</v>
      </c>
      <c r="CF86" t="e">
        <f>AND('Planilla_General_07-12-2012_8_3'!O1285,"AAAAAH2tR1M=")</f>
        <v>#VALUE!</v>
      </c>
      <c r="CG86" t="e">
        <f>AND('Planilla_General_07-12-2012_8_3'!P1285,"AAAAAH2tR1Q=")</f>
        <v>#VALUE!</v>
      </c>
      <c r="CH86">
        <f>IF('Planilla_General_07-12-2012_8_3'!1286:1286,"AAAAAH2tR1U=",0)</f>
        <v>0</v>
      </c>
      <c r="CI86" t="e">
        <f>AND('Planilla_General_07-12-2012_8_3'!A1286,"AAAAAH2tR1Y=")</f>
        <v>#VALUE!</v>
      </c>
      <c r="CJ86" t="e">
        <f>AND('Planilla_General_07-12-2012_8_3'!B1286,"AAAAAH2tR1c=")</f>
        <v>#VALUE!</v>
      </c>
      <c r="CK86" t="e">
        <f>AND('Planilla_General_07-12-2012_8_3'!C1286,"AAAAAH2tR1g=")</f>
        <v>#VALUE!</v>
      </c>
      <c r="CL86" t="e">
        <f>AND('Planilla_General_07-12-2012_8_3'!D1286,"AAAAAH2tR1k=")</f>
        <v>#VALUE!</v>
      </c>
      <c r="CM86" t="e">
        <f>AND('Planilla_General_07-12-2012_8_3'!E1286,"AAAAAH2tR1o=")</f>
        <v>#VALUE!</v>
      </c>
      <c r="CN86" t="e">
        <f>AND('Planilla_General_07-12-2012_8_3'!F1286,"AAAAAH2tR1s=")</f>
        <v>#VALUE!</v>
      </c>
      <c r="CO86" t="e">
        <f>AND('Planilla_General_07-12-2012_8_3'!G1286,"AAAAAH2tR1w=")</f>
        <v>#VALUE!</v>
      </c>
      <c r="CP86" t="e">
        <f>AND('Planilla_General_07-12-2012_8_3'!H1286,"AAAAAH2tR10=")</f>
        <v>#VALUE!</v>
      </c>
      <c r="CQ86" t="e">
        <f>AND('Planilla_General_07-12-2012_8_3'!I1286,"AAAAAH2tR14=")</f>
        <v>#VALUE!</v>
      </c>
      <c r="CR86" t="e">
        <f>AND('Planilla_General_07-12-2012_8_3'!J1286,"AAAAAH2tR18=")</f>
        <v>#VALUE!</v>
      </c>
      <c r="CS86" t="e">
        <f>AND('Planilla_General_07-12-2012_8_3'!K1286,"AAAAAH2tR2A=")</f>
        <v>#VALUE!</v>
      </c>
      <c r="CT86" t="e">
        <f>AND('Planilla_General_07-12-2012_8_3'!L1286,"AAAAAH2tR2E=")</f>
        <v>#VALUE!</v>
      </c>
      <c r="CU86" t="e">
        <f>AND('Planilla_General_07-12-2012_8_3'!M1286,"AAAAAH2tR2I=")</f>
        <v>#VALUE!</v>
      </c>
      <c r="CV86" t="e">
        <f>AND('Planilla_General_07-12-2012_8_3'!N1286,"AAAAAH2tR2M=")</f>
        <v>#VALUE!</v>
      </c>
      <c r="CW86" t="e">
        <f>AND('Planilla_General_07-12-2012_8_3'!O1286,"AAAAAH2tR2Q=")</f>
        <v>#VALUE!</v>
      </c>
      <c r="CX86" t="e">
        <f>AND('Planilla_General_07-12-2012_8_3'!P1286,"AAAAAH2tR2U=")</f>
        <v>#VALUE!</v>
      </c>
      <c r="CY86">
        <f>IF('Planilla_General_07-12-2012_8_3'!1287:1287,"AAAAAH2tR2Y=",0)</f>
        <v>0</v>
      </c>
      <c r="CZ86" t="e">
        <f>AND('Planilla_General_07-12-2012_8_3'!A1287,"AAAAAH2tR2c=")</f>
        <v>#VALUE!</v>
      </c>
      <c r="DA86" t="e">
        <f>AND('Planilla_General_07-12-2012_8_3'!B1287,"AAAAAH2tR2g=")</f>
        <v>#VALUE!</v>
      </c>
      <c r="DB86" t="e">
        <f>AND('Planilla_General_07-12-2012_8_3'!C1287,"AAAAAH2tR2k=")</f>
        <v>#VALUE!</v>
      </c>
      <c r="DC86" t="e">
        <f>AND('Planilla_General_07-12-2012_8_3'!D1287,"AAAAAH2tR2o=")</f>
        <v>#VALUE!</v>
      </c>
      <c r="DD86" t="e">
        <f>AND('Planilla_General_07-12-2012_8_3'!E1287,"AAAAAH2tR2s=")</f>
        <v>#VALUE!</v>
      </c>
      <c r="DE86" t="e">
        <f>AND('Planilla_General_07-12-2012_8_3'!F1287,"AAAAAH2tR2w=")</f>
        <v>#VALUE!</v>
      </c>
      <c r="DF86" t="e">
        <f>AND('Planilla_General_07-12-2012_8_3'!G1287,"AAAAAH2tR20=")</f>
        <v>#VALUE!</v>
      </c>
      <c r="DG86" t="e">
        <f>AND('Planilla_General_07-12-2012_8_3'!H1287,"AAAAAH2tR24=")</f>
        <v>#VALUE!</v>
      </c>
      <c r="DH86" t="e">
        <f>AND('Planilla_General_07-12-2012_8_3'!I1287,"AAAAAH2tR28=")</f>
        <v>#VALUE!</v>
      </c>
      <c r="DI86" t="e">
        <f>AND('Planilla_General_07-12-2012_8_3'!J1287,"AAAAAH2tR3A=")</f>
        <v>#VALUE!</v>
      </c>
      <c r="DJ86" t="e">
        <f>AND('Planilla_General_07-12-2012_8_3'!K1287,"AAAAAH2tR3E=")</f>
        <v>#VALUE!</v>
      </c>
      <c r="DK86" t="e">
        <f>AND('Planilla_General_07-12-2012_8_3'!L1287,"AAAAAH2tR3I=")</f>
        <v>#VALUE!</v>
      </c>
      <c r="DL86" t="e">
        <f>AND('Planilla_General_07-12-2012_8_3'!M1287,"AAAAAH2tR3M=")</f>
        <v>#VALUE!</v>
      </c>
      <c r="DM86" t="e">
        <f>AND('Planilla_General_07-12-2012_8_3'!N1287,"AAAAAH2tR3Q=")</f>
        <v>#VALUE!</v>
      </c>
      <c r="DN86" t="e">
        <f>AND('Planilla_General_07-12-2012_8_3'!O1287,"AAAAAH2tR3U=")</f>
        <v>#VALUE!</v>
      </c>
      <c r="DO86" t="e">
        <f>AND('Planilla_General_07-12-2012_8_3'!P1287,"AAAAAH2tR3Y=")</f>
        <v>#VALUE!</v>
      </c>
      <c r="DP86">
        <f>IF('Planilla_General_07-12-2012_8_3'!1288:1288,"AAAAAH2tR3c=",0)</f>
        <v>0</v>
      </c>
      <c r="DQ86" t="e">
        <f>AND('Planilla_General_07-12-2012_8_3'!A1288,"AAAAAH2tR3g=")</f>
        <v>#VALUE!</v>
      </c>
      <c r="DR86" t="e">
        <f>AND('Planilla_General_07-12-2012_8_3'!B1288,"AAAAAH2tR3k=")</f>
        <v>#VALUE!</v>
      </c>
      <c r="DS86" t="e">
        <f>AND('Planilla_General_07-12-2012_8_3'!C1288,"AAAAAH2tR3o=")</f>
        <v>#VALUE!</v>
      </c>
      <c r="DT86" t="e">
        <f>AND('Planilla_General_07-12-2012_8_3'!D1288,"AAAAAH2tR3s=")</f>
        <v>#VALUE!</v>
      </c>
      <c r="DU86" t="e">
        <f>AND('Planilla_General_07-12-2012_8_3'!E1288,"AAAAAH2tR3w=")</f>
        <v>#VALUE!</v>
      </c>
      <c r="DV86" t="e">
        <f>AND('Planilla_General_07-12-2012_8_3'!F1288,"AAAAAH2tR30=")</f>
        <v>#VALUE!</v>
      </c>
      <c r="DW86" t="e">
        <f>AND('Planilla_General_07-12-2012_8_3'!G1288,"AAAAAH2tR34=")</f>
        <v>#VALUE!</v>
      </c>
      <c r="DX86" t="e">
        <f>AND('Planilla_General_07-12-2012_8_3'!H1288,"AAAAAH2tR38=")</f>
        <v>#VALUE!</v>
      </c>
      <c r="DY86" t="e">
        <f>AND('Planilla_General_07-12-2012_8_3'!I1288,"AAAAAH2tR4A=")</f>
        <v>#VALUE!</v>
      </c>
      <c r="DZ86" t="e">
        <f>AND('Planilla_General_07-12-2012_8_3'!J1288,"AAAAAH2tR4E=")</f>
        <v>#VALUE!</v>
      </c>
      <c r="EA86" t="e">
        <f>AND('Planilla_General_07-12-2012_8_3'!K1288,"AAAAAH2tR4I=")</f>
        <v>#VALUE!</v>
      </c>
      <c r="EB86" t="e">
        <f>AND('Planilla_General_07-12-2012_8_3'!L1288,"AAAAAH2tR4M=")</f>
        <v>#VALUE!</v>
      </c>
      <c r="EC86" t="e">
        <f>AND('Planilla_General_07-12-2012_8_3'!M1288,"AAAAAH2tR4Q=")</f>
        <v>#VALUE!</v>
      </c>
      <c r="ED86" t="e">
        <f>AND('Planilla_General_07-12-2012_8_3'!N1288,"AAAAAH2tR4U=")</f>
        <v>#VALUE!</v>
      </c>
      <c r="EE86" t="e">
        <f>AND('Planilla_General_07-12-2012_8_3'!O1288,"AAAAAH2tR4Y=")</f>
        <v>#VALUE!</v>
      </c>
      <c r="EF86" t="e">
        <f>AND('Planilla_General_07-12-2012_8_3'!P1288,"AAAAAH2tR4c=")</f>
        <v>#VALUE!</v>
      </c>
      <c r="EG86">
        <f>IF('Planilla_General_07-12-2012_8_3'!1289:1289,"AAAAAH2tR4g=",0)</f>
        <v>0</v>
      </c>
      <c r="EH86" t="e">
        <f>AND('Planilla_General_07-12-2012_8_3'!A1289,"AAAAAH2tR4k=")</f>
        <v>#VALUE!</v>
      </c>
      <c r="EI86" t="e">
        <f>AND('Planilla_General_07-12-2012_8_3'!B1289,"AAAAAH2tR4o=")</f>
        <v>#VALUE!</v>
      </c>
      <c r="EJ86" t="e">
        <f>AND('Planilla_General_07-12-2012_8_3'!C1289,"AAAAAH2tR4s=")</f>
        <v>#VALUE!</v>
      </c>
      <c r="EK86" t="e">
        <f>AND('Planilla_General_07-12-2012_8_3'!D1289,"AAAAAH2tR4w=")</f>
        <v>#VALUE!</v>
      </c>
      <c r="EL86" t="e">
        <f>AND('Planilla_General_07-12-2012_8_3'!E1289,"AAAAAH2tR40=")</f>
        <v>#VALUE!</v>
      </c>
      <c r="EM86" t="e">
        <f>AND('Planilla_General_07-12-2012_8_3'!F1289,"AAAAAH2tR44=")</f>
        <v>#VALUE!</v>
      </c>
      <c r="EN86" t="e">
        <f>AND('Planilla_General_07-12-2012_8_3'!G1289,"AAAAAH2tR48=")</f>
        <v>#VALUE!</v>
      </c>
      <c r="EO86" t="e">
        <f>AND('Planilla_General_07-12-2012_8_3'!H1289,"AAAAAH2tR5A=")</f>
        <v>#VALUE!</v>
      </c>
      <c r="EP86" t="e">
        <f>AND('Planilla_General_07-12-2012_8_3'!I1289,"AAAAAH2tR5E=")</f>
        <v>#VALUE!</v>
      </c>
      <c r="EQ86" t="e">
        <f>AND('Planilla_General_07-12-2012_8_3'!J1289,"AAAAAH2tR5I=")</f>
        <v>#VALUE!</v>
      </c>
      <c r="ER86" t="e">
        <f>AND('Planilla_General_07-12-2012_8_3'!K1289,"AAAAAH2tR5M=")</f>
        <v>#VALUE!</v>
      </c>
      <c r="ES86" t="e">
        <f>AND('Planilla_General_07-12-2012_8_3'!L1289,"AAAAAH2tR5Q=")</f>
        <v>#VALUE!</v>
      </c>
      <c r="ET86" t="e">
        <f>AND('Planilla_General_07-12-2012_8_3'!M1289,"AAAAAH2tR5U=")</f>
        <v>#VALUE!</v>
      </c>
      <c r="EU86" t="e">
        <f>AND('Planilla_General_07-12-2012_8_3'!N1289,"AAAAAH2tR5Y=")</f>
        <v>#VALUE!</v>
      </c>
      <c r="EV86" t="e">
        <f>AND('Planilla_General_07-12-2012_8_3'!O1289,"AAAAAH2tR5c=")</f>
        <v>#VALUE!</v>
      </c>
      <c r="EW86" t="e">
        <f>AND('Planilla_General_07-12-2012_8_3'!P1289,"AAAAAH2tR5g=")</f>
        <v>#VALUE!</v>
      </c>
      <c r="EX86">
        <f>IF('Planilla_General_07-12-2012_8_3'!1290:1290,"AAAAAH2tR5k=",0)</f>
        <v>0</v>
      </c>
      <c r="EY86" t="e">
        <f>AND('Planilla_General_07-12-2012_8_3'!A1290,"AAAAAH2tR5o=")</f>
        <v>#VALUE!</v>
      </c>
      <c r="EZ86" t="e">
        <f>AND('Planilla_General_07-12-2012_8_3'!B1290,"AAAAAH2tR5s=")</f>
        <v>#VALUE!</v>
      </c>
      <c r="FA86" t="e">
        <f>AND('Planilla_General_07-12-2012_8_3'!C1290,"AAAAAH2tR5w=")</f>
        <v>#VALUE!</v>
      </c>
      <c r="FB86" t="e">
        <f>AND('Planilla_General_07-12-2012_8_3'!D1290,"AAAAAH2tR50=")</f>
        <v>#VALUE!</v>
      </c>
      <c r="FC86" t="e">
        <f>AND('Planilla_General_07-12-2012_8_3'!E1290,"AAAAAH2tR54=")</f>
        <v>#VALUE!</v>
      </c>
      <c r="FD86" t="e">
        <f>AND('Planilla_General_07-12-2012_8_3'!F1290,"AAAAAH2tR58=")</f>
        <v>#VALUE!</v>
      </c>
      <c r="FE86" t="e">
        <f>AND('Planilla_General_07-12-2012_8_3'!G1290,"AAAAAH2tR6A=")</f>
        <v>#VALUE!</v>
      </c>
      <c r="FF86" t="e">
        <f>AND('Planilla_General_07-12-2012_8_3'!H1290,"AAAAAH2tR6E=")</f>
        <v>#VALUE!</v>
      </c>
      <c r="FG86" t="e">
        <f>AND('Planilla_General_07-12-2012_8_3'!I1290,"AAAAAH2tR6I=")</f>
        <v>#VALUE!</v>
      </c>
      <c r="FH86" t="e">
        <f>AND('Planilla_General_07-12-2012_8_3'!J1290,"AAAAAH2tR6M=")</f>
        <v>#VALUE!</v>
      </c>
      <c r="FI86" t="e">
        <f>AND('Planilla_General_07-12-2012_8_3'!K1290,"AAAAAH2tR6Q=")</f>
        <v>#VALUE!</v>
      </c>
      <c r="FJ86" t="e">
        <f>AND('Planilla_General_07-12-2012_8_3'!L1290,"AAAAAH2tR6U=")</f>
        <v>#VALUE!</v>
      </c>
      <c r="FK86" t="e">
        <f>AND('Planilla_General_07-12-2012_8_3'!M1290,"AAAAAH2tR6Y=")</f>
        <v>#VALUE!</v>
      </c>
      <c r="FL86" t="e">
        <f>AND('Planilla_General_07-12-2012_8_3'!N1290,"AAAAAH2tR6c=")</f>
        <v>#VALUE!</v>
      </c>
      <c r="FM86" t="e">
        <f>AND('Planilla_General_07-12-2012_8_3'!O1290,"AAAAAH2tR6g=")</f>
        <v>#VALUE!</v>
      </c>
      <c r="FN86" t="e">
        <f>AND('Planilla_General_07-12-2012_8_3'!P1290,"AAAAAH2tR6k=")</f>
        <v>#VALUE!</v>
      </c>
      <c r="FO86">
        <f>IF('Planilla_General_07-12-2012_8_3'!1291:1291,"AAAAAH2tR6o=",0)</f>
        <v>0</v>
      </c>
      <c r="FP86" t="e">
        <f>AND('Planilla_General_07-12-2012_8_3'!A1291,"AAAAAH2tR6s=")</f>
        <v>#VALUE!</v>
      </c>
      <c r="FQ86" t="e">
        <f>AND('Planilla_General_07-12-2012_8_3'!B1291,"AAAAAH2tR6w=")</f>
        <v>#VALUE!</v>
      </c>
      <c r="FR86" t="e">
        <f>AND('Planilla_General_07-12-2012_8_3'!C1291,"AAAAAH2tR60=")</f>
        <v>#VALUE!</v>
      </c>
      <c r="FS86" t="e">
        <f>AND('Planilla_General_07-12-2012_8_3'!D1291,"AAAAAH2tR64=")</f>
        <v>#VALUE!</v>
      </c>
      <c r="FT86" t="e">
        <f>AND('Planilla_General_07-12-2012_8_3'!E1291,"AAAAAH2tR68=")</f>
        <v>#VALUE!</v>
      </c>
      <c r="FU86" t="e">
        <f>AND('Planilla_General_07-12-2012_8_3'!F1291,"AAAAAH2tR7A=")</f>
        <v>#VALUE!</v>
      </c>
      <c r="FV86" t="e">
        <f>AND('Planilla_General_07-12-2012_8_3'!G1291,"AAAAAH2tR7E=")</f>
        <v>#VALUE!</v>
      </c>
      <c r="FW86" t="e">
        <f>AND('Planilla_General_07-12-2012_8_3'!H1291,"AAAAAH2tR7I=")</f>
        <v>#VALUE!</v>
      </c>
      <c r="FX86" t="e">
        <f>AND('Planilla_General_07-12-2012_8_3'!I1291,"AAAAAH2tR7M=")</f>
        <v>#VALUE!</v>
      </c>
      <c r="FY86" t="e">
        <f>AND('Planilla_General_07-12-2012_8_3'!J1291,"AAAAAH2tR7Q=")</f>
        <v>#VALUE!</v>
      </c>
      <c r="FZ86" t="e">
        <f>AND('Planilla_General_07-12-2012_8_3'!K1291,"AAAAAH2tR7U=")</f>
        <v>#VALUE!</v>
      </c>
      <c r="GA86" t="e">
        <f>AND('Planilla_General_07-12-2012_8_3'!L1291,"AAAAAH2tR7Y=")</f>
        <v>#VALUE!</v>
      </c>
      <c r="GB86" t="e">
        <f>AND('Planilla_General_07-12-2012_8_3'!M1291,"AAAAAH2tR7c=")</f>
        <v>#VALUE!</v>
      </c>
      <c r="GC86" t="e">
        <f>AND('Planilla_General_07-12-2012_8_3'!N1291,"AAAAAH2tR7g=")</f>
        <v>#VALUE!</v>
      </c>
      <c r="GD86" t="e">
        <f>AND('Planilla_General_07-12-2012_8_3'!O1291,"AAAAAH2tR7k=")</f>
        <v>#VALUE!</v>
      </c>
      <c r="GE86" t="e">
        <f>AND('Planilla_General_07-12-2012_8_3'!P1291,"AAAAAH2tR7o=")</f>
        <v>#VALUE!</v>
      </c>
      <c r="GF86">
        <f>IF('Planilla_General_07-12-2012_8_3'!1292:1292,"AAAAAH2tR7s=",0)</f>
        <v>0</v>
      </c>
      <c r="GG86" t="e">
        <f>AND('Planilla_General_07-12-2012_8_3'!A1292,"AAAAAH2tR7w=")</f>
        <v>#VALUE!</v>
      </c>
      <c r="GH86" t="e">
        <f>AND('Planilla_General_07-12-2012_8_3'!B1292,"AAAAAH2tR70=")</f>
        <v>#VALUE!</v>
      </c>
      <c r="GI86" t="e">
        <f>AND('Planilla_General_07-12-2012_8_3'!C1292,"AAAAAH2tR74=")</f>
        <v>#VALUE!</v>
      </c>
      <c r="GJ86" t="e">
        <f>AND('Planilla_General_07-12-2012_8_3'!D1292,"AAAAAH2tR78=")</f>
        <v>#VALUE!</v>
      </c>
      <c r="GK86" t="e">
        <f>AND('Planilla_General_07-12-2012_8_3'!E1292,"AAAAAH2tR8A=")</f>
        <v>#VALUE!</v>
      </c>
      <c r="GL86" t="e">
        <f>AND('Planilla_General_07-12-2012_8_3'!F1292,"AAAAAH2tR8E=")</f>
        <v>#VALUE!</v>
      </c>
      <c r="GM86" t="e">
        <f>AND('Planilla_General_07-12-2012_8_3'!G1292,"AAAAAH2tR8I=")</f>
        <v>#VALUE!</v>
      </c>
      <c r="GN86" t="e">
        <f>AND('Planilla_General_07-12-2012_8_3'!H1292,"AAAAAH2tR8M=")</f>
        <v>#VALUE!</v>
      </c>
      <c r="GO86" t="e">
        <f>AND('Planilla_General_07-12-2012_8_3'!I1292,"AAAAAH2tR8Q=")</f>
        <v>#VALUE!</v>
      </c>
      <c r="GP86" t="e">
        <f>AND('Planilla_General_07-12-2012_8_3'!J1292,"AAAAAH2tR8U=")</f>
        <v>#VALUE!</v>
      </c>
      <c r="GQ86" t="e">
        <f>AND('Planilla_General_07-12-2012_8_3'!K1292,"AAAAAH2tR8Y=")</f>
        <v>#VALUE!</v>
      </c>
      <c r="GR86" t="e">
        <f>AND('Planilla_General_07-12-2012_8_3'!L1292,"AAAAAH2tR8c=")</f>
        <v>#VALUE!</v>
      </c>
      <c r="GS86" t="e">
        <f>AND('Planilla_General_07-12-2012_8_3'!M1292,"AAAAAH2tR8g=")</f>
        <v>#VALUE!</v>
      </c>
      <c r="GT86" t="e">
        <f>AND('Planilla_General_07-12-2012_8_3'!N1292,"AAAAAH2tR8k=")</f>
        <v>#VALUE!</v>
      </c>
      <c r="GU86" t="e">
        <f>AND('Planilla_General_07-12-2012_8_3'!O1292,"AAAAAH2tR8o=")</f>
        <v>#VALUE!</v>
      </c>
      <c r="GV86" t="e">
        <f>AND('Planilla_General_07-12-2012_8_3'!P1292,"AAAAAH2tR8s=")</f>
        <v>#VALUE!</v>
      </c>
      <c r="GW86">
        <f>IF('Planilla_General_07-12-2012_8_3'!1293:1293,"AAAAAH2tR8w=",0)</f>
        <v>0</v>
      </c>
      <c r="GX86" t="e">
        <f>AND('Planilla_General_07-12-2012_8_3'!A1293,"AAAAAH2tR80=")</f>
        <v>#VALUE!</v>
      </c>
      <c r="GY86" t="e">
        <f>AND('Planilla_General_07-12-2012_8_3'!B1293,"AAAAAH2tR84=")</f>
        <v>#VALUE!</v>
      </c>
      <c r="GZ86" t="e">
        <f>AND('Planilla_General_07-12-2012_8_3'!C1293,"AAAAAH2tR88=")</f>
        <v>#VALUE!</v>
      </c>
      <c r="HA86" t="e">
        <f>AND('Planilla_General_07-12-2012_8_3'!D1293,"AAAAAH2tR9A=")</f>
        <v>#VALUE!</v>
      </c>
      <c r="HB86" t="e">
        <f>AND('Planilla_General_07-12-2012_8_3'!E1293,"AAAAAH2tR9E=")</f>
        <v>#VALUE!</v>
      </c>
      <c r="HC86" t="e">
        <f>AND('Planilla_General_07-12-2012_8_3'!F1293,"AAAAAH2tR9I=")</f>
        <v>#VALUE!</v>
      </c>
      <c r="HD86" t="e">
        <f>AND('Planilla_General_07-12-2012_8_3'!G1293,"AAAAAH2tR9M=")</f>
        <v>#VALUE!</v>
      </c>
      <c r="HE86" t="e">
        <f>AND('Planilla_General_07-12-2012_8_3'!H1293,"AAAAAH2tR9Q=")</f>
        <v>#VALUE!</v>
      </c>
      <c r="HF86" t="e">
        <f>AND('Planilla_General_07-12-2012_8_3'!I1293,"AAAAAH2tR9U=")</f>
        <v>#VALUE!</v>
      </c>
      <c r="HG86" t="e">
        <f>AND('Planilla_General_07-12-2012_8_3'!J1293,"AAAAAH2tR9Y=")</f>
        <v>#VALUE!</v>
      </c>
      <c r="HH86" t="e">
        <f>AND('Planilla_General_07-12-2012_8_3'!K1293,"AAAAAH2tR9c=")</f>
        <v>#VALUE!</v>
      </c>
      <c r="HI86" t="e">
        <f>AND('Planilla_General_07-12-2012_8_3'!L1293,"AAAAAH2tR9g=")</f>
        <v>#VALUE!</v>
      </c>
      <c r="HJ86" t="e">
        <f>AND('Planilla_General_07-12-2012_8_3'!M1293,"AAAAAH2tR9k=")</f>
        <v>#VALUE!</v>
      </c>
      <c r="HK86" t="e">
        <f>AND('Planilla_General_07-12-2012_8_3'!N1293,"AAAAAH2tR9o=")</f>
        <v>#VALUE!</v>
      </c>
      <c r="HL86" t="e">
        <f>AND('Planilla_General_07-12-2012_8_3'!O1293,"AAAAAH2tR9s=")</f>
        <v>#VALUE!</v>
      </c>
      <c r="HM86" t="e">
        <f>AND('Planilla_General_07-12-2012_8_3'!P1293,"AAAAAH2tR9w=")</f>
        <v>#VALUE!</v>
      </c>
      <c r="HN86">
        <f>IF('Planilla_General_07-12-2012_8_3'!1294:1294,"AAAAAH2tR90=",0)</f>
        <v>0</v>
      </c>
      <c r="HO86" t="e">
        <f>AND('Planilla_General_07-12-2012_8_3'!A1294,"AAAAAH2tR94=")</f>
        <v>#VALUE!</v>
      </c>
      <c r="HP86" t="e">
        <f>AND('Planilla_General_07-12-2012_8_3'!B1294,"AAAAAH2tR98=")</f>
        <v>#VALUE!</v>
      </c>
      <c r="HQ86" t="e">
        <f>AND('Planilla_General_07-12-2012_8_3'!C1294,"AAAAAH2tR+A=")</f>
        <v>#VALUE!</v>
      </c>
      <c r="HR86" t="e">
        <f>AND('Planilla_General_07-12-2012_8_3'!D1294,"AAAAAH2tR+E=")</f>
        <v>#VALUE!</v>
      </c>
      <c r="HS86" t="e">
        <f>AND('Planilla_General_07-12-2012_8_3'!E1294,"AAAAAH2tR+I=")</f>
        <v>#VALUE!</v>
      </c>
      <c r="HT86" t="e">
        <f>AND('Planilla_General_07-12-2012_8_3'!F1294,"AAAAAH2tR+M=")</f>
        <v>#VALUE!</v>
      </c>
      <c r="HU86" t="e">
        <f>AND('Planilla_General_07-12-2012_8_3'!G1294,"AAAAAH2tR+Q=")</f>
        <v>#VALUE!</v>
      </c>
      <c r="HV86" t="e">
        <f>AND('Planilla_General_07-12-2012_8_3'!H1294,"AAAAAH2tR+U=")</f>
        <v>#VALUE!</v>
      </c>
      <c r="HW86" t="e">
        <f>AND('Planilla_General_07-12-2012_8_3'!I1294,"AAAAAH2tR+Y=")</f>
        <v>#VALUE!</v>
      </c>
      <c r="HX86" t="e">
        <f>AND('Planilla_General_07-12-2012_8_3'!J1294,"AAAAAH2tR+c=")</f>
        <v>#VALUE!</v>
      </c>
      <c r="HY86" t="e">
        <f>AND('Planilla_General_07-12-2012_8_3'!K1294,"AAAAAH2tR+g=")</f>
        <v>#VALUE!</v>
      </c>
      <c r="HZ86" t="e">
        <f>AND('Planilla_General_07-12-2012_8_3'!L1294,"AAAAAH2tR+k=")</f>
        <v>#VALUE!</v>
      </c>
      <c r="IA86" t="e">
        <f>AND('Planilla_General_07-12-2012_8_3'!M1294,"AAAAAH2tR+o=")</f>
        <v>#VALUE!</v>
      </c>
      <c r="IB86" t="e">
        <f>AND('Planilla_General_07-12-2012_8_3'!N1294,"AAAAAH2tR+s=")</f>
        <v>#VALUE!</v>
      </c>
      <c r="IC86" t="e">
        <f>AND('Planilla_General_07-12-2012_8_3'!O1294,"AAAAAH2tR+w=")</f>
        <v>#VALUE!</v>
      </c>
      <c r="ID86" t="e">
        <f>AND('Planilla_General_07-12-2012_8_3'!P1294,"AAAAAH2tR+0=")</f>
        <v>#VALUE!</v>
      </c>
      <c r="IE86">
        <f>IF('Planilla_General_07-12-2012_8_3'!1295:1295,"AAAAAH2tR+4=",0)</f>
        <v>0</v>
      </c>
      <c r="IF86" t="e">
        <f>AND('Planilla_General_07-12-2012_8_3'!A1295,"AAAAAH2tR+8=")</f>
        <v>#VALUE!</v>
      </c>
      <c r="IG86" t="e">
        <f>AND('Planilla_General_07-12-2012_8_3'!B1295,"AAAAAH2tR/A=")</f>
        <v>#VALUE!</v>
      </c>
      <c r="IH86" t="e">
        <f>AND('Planilla_General_07-12-2012_8_3'!C1295,"AAAAAH2tR/E=")</f>
        <v>#VALUE!</v>
      </c>
      <c r="II86" t="e">
        <f>AND('Planilla_General_07-12-2012_8_3'!D1295,"AAAAAH2tR/I=")</f>
        <v>#VALUE!</v>
      </c>
      <c r="IJ86" t="e">
        <f>AND('Planilla_General_07-12-2012_8_3'!E1295,"AAAAAH2tR/M=")</f>
        <v>#VALUE!</v>
      </c>
      <c r="IK86" t="e">
        <f>AND('Planilla_General_07-12-2012_8_3'!F1295,"AAAAAH2tR/Q=")</f>
        <v>#VALUE!</v>
      </c>
      <c r="IL86" t="e">
        <f>AND('Planilla_General_07-12-2012_8_3'!G1295,"AAAAAH2tR/U=")</f>
        <v>#VALUE!</v>
      </c>
      <c r="IM86" t="e">
        <f>AND('Planilla_General_07-12-2012_8_3'!H1295,"AAAAAH2tR/Y=")</f>
        <v>#VALUE!</v>
      </c>
      <c r="IN86" t="e">
        <f>AND('Planilla_General_07-12-2012_8_3'!I1295,"AAAAAH2tR/c=")</f>
        <v>#VALUE!</v>
      </c>
      <c r="IO86" t="e">
        <f>AND('Planilla_General_07-12-2012_8_3'!J1295,"AAAAAH2tR/g=")</f>
        <v>#VALUE!</v>
      </c>
      <c r="IP86" t="e">
        <f>AND('Planilla_General_07-12-2012_8_3'!K1295,"AAAAAH2tR/k=")</f>
        <v>#VALUE!</v>
      </c>
      <c r="IQ86" t="e">
        <f>AND('Planilla_General_07-12-2012_8_3'!L1295,"AAAAAH2tR/o=")</f>
        <v>#VALUE!</v>
      </c>
      <c r="IR86" t="e">
        <f>AND('Planilla_General_07-12-2012_8_3'!M1295,"AAAAAH2tR/s=")</f>
        <v>#VALUE!</v>
      </c>
      <c r="IS86" t="e">
        <f>AND('Planilla_General_07-12-2012_8_3'!N1295,"AAAAAH2tR/w=")</f>
        <v>#VALUE!</v>
      </c>
      <c r="IT86" t="e">
        <f>AND('Planilla_General_07-12-2012_8_3'!O1295,"AAAAAH2tR/0=")</f>
        <v>#VALUE!</v>
      </c>
      <c r="IU86" t="e">
        <f>AND('Planilla_General_07-12-2012_8_3'!P1295,"AAAAAH2tR/4=")</f>
        <v>#VALUE!</v>
      </c>
      <c r="IV86">
        <f>IF('Planilla_General_07-12-2012_8_3'!1296:1296,"AAAAAH2tR/8=",0)</f>
        <v>0</v>
      </c>
    </row>
    <row r="87" spans="1:256" x14ac:dyDescent="0.25">
      <c r="A87" t="e">
        <f>AND('Planilla_General_07-12-2012_8_3'!A1296,"AAAAAEv5cwA=")</f>
        <v>#VALUE!</v>
      </c>
      <c r="B87" t="e">
        <f>AND('Planilla_General_07-12-2012_8_3'!B1296,"AAAAAEv5cwE=")</f>
        <v>#VALUE!</v>
      </c>
      <c r="C87" t="e">
        <f>AND('Planilla_General_07-12-2012_8_3'!C1296,"AAAAAEv5cwI=")</f>
        <v>#VALUE!</v>
      </c>
      <c r="D87" t="e">
        <f>AND('Planilla_General_07-12-2012_8_3'!D1296,"AAAAAEv5cwM=")</f>
        <v>#VALUE!</v>
      </c>
      <c r="E87" t="e">
        <f>AND('Planilla_General_07-12-2012_8_3'!E1296,"AAAAAEv5cwQ=")</f>
        <v>#VALUE!</v>
      </c>
      <c r="F87" t="e">
        <f>AND('Planilla_General_07-12-2012_8_3'!F1296,"AAAAAEv5cwU=")</f>
        <v>#VALUE!</v>
      </c>
      <c r="G87" t="e">
        <f>AND('Planilla_General_07-12-2012_8_3'!G1296,"AAAAAEv5cwY=")</f>
        <v>#VALUE!</v>
      </c>
      <c r="H87" t="e">
        <f>AND('Planilla_General_07-12-2012_8_3'!H1296,"AAAAAEv5cwc=")</f>
        <v>#VALUE!</v>
      </c>
      <c r="I87" t="e">
        <f>AND('Planilla_General_07-12-2012_8_3'!I1296,"AAAAAEv5cwg=")</f>
        <v>#VALUE!</v>
      </c>
      <c r="J87" t="e">
        <f>AND('Planilla_General_07-12-2012_8_3'!J1296,"AAAAAEv5cwk=")</f>
        <v>#VALUE!</v>
      </c>
      <c r="K87" t="e">
        <f>AND('Planilla_General_07-12-2012_8_3'!K1296,"AAAAAEv5cwo=")</f>
        <v>#VALUE!</v>
      </c>
      <c r="L87" t="e">
        <f>AND('Planilla_General_07-12-2012_8_3'!L1296,"AAAAAEv5cws=")</f>
        <v>#VALUE!</v>
      </c>
      <c r="M87" t="e">
        <f>AND('Planilla_General_07-12-2012_8_3'!M1296,"AAAAAEv5cww=")</f>
        <v>#VALUE!</v>
      </c>
      <c r="N87" t="e">
        <f>AND('Planilla_General_07-12-2012_8_3'!N1296,"AAAAAEv5cw0=")</f>
        <v>#VALUE!</v>
      </c>
      <c r="O87" t="e">
        <f>AND('Planilla_General_07-12-2012_8_3'!O1296,"AAAAAEv5cw4=")</f>
        <v>#VALUE!</v>
      </c>
      <c r="P87" t="e">
        <f>AND('Planilla_General_07-12-2012_8_3'!P1296,"AAAAAEv5cw8=")</f>
        <v>#VALUE!</v>
      </c>
      <c r="Q87">
        <f>IF('Planilla_General_07-12-2012_8_3'!1297:1297,"AAAAAEv5cxA=",0)</f>
        <v>0</v>
      </c>
      <c r="R87" t="e">
        <f>AND('Planilla_General_07-12-2012_8_3'!A1297,"AAAAAEv5cxE=")</f>
        <v>#VALUE!</v>
      </c>
      <c r="S87" t="e">
        <f>AND('Planilla_General_07-12-2012_8_3'!B1297,"AAAAAEv5cxI=")</f>
        <v>#VALUE!</v>
      </c>
      <c r="T87" t="e">
        <f>AND('Planilla_General_07-12-2012_8_3'!C1297,"AAAAAEv5cxM=")</f>
        <v>#VALUE!</v>
      </c>
      <c r="U87" t="e">
        <f>AND('Planilla_General_07-12-2012_8_3'!D1297,"AAAAAEv5cxQ=")</f>
        <v>#VALUE!</v>
      </c>
      <c r="V87" t="e">
        <f>AND('Planilla_General_07-12-2012_8_3'!E1297,"AAAAAEv5cxU=")</f>
        <v>#VALUE!</v>
      </c>
      <c r="W87" t="e">
        <f>AND('Planilla_General_07-12-2012_8_3'!F1297,"AAAAAEv5cxY=")</f>
        <v>#VALUE!</v>
      </c>
      <c r="X87" t="e">
        <f>AND('Planilla_General_07-12-2012_8_3'!G1297,"AAAAAEv5cxc=")</f>
        <v>#VALUE!</v>
      </c>
      <c r="Y87" t="e">
        <f>AND('Planilla_General_07-12-2012_8_3'!H1297,"AAAAAEv5cxg=")</f>
        <v>#VALUE!</v>
      </c>
      <c r="Z87" t="e">
        <f>AND('Planilla_General_07-12-2012_8_3'!I1297,"AAAAAEv5cxk=")</f>
        <v>#VALUE!</v>
      </c>
      <c r="AA87" t="e">
        <f>AND('Planilla_General_07-12-2012_8_3'!J1297,"AAAAAEv5cxo=")</f>
        <v>#VALUE!</v>
      </c>
      <c r="AB87" t="e">
        <f>AND('Planilla_General_07-12-2012_8_3'!K1297,"AAAAAEv5cxs=")</f>
        <v>#VALUE!</v>
      </c>
      <c r="AC87" t="e">
        <f>AND('Planilla_General_07-12-2012_8_3'!L1297,"AAAAAEv5cxw=")</f>
        <v>#VALUE!</v>
      </c>
      <c r="AD87" t="e">
        <f>AND('Planilla_General_07-12-2012_8_3'!M1297,"AAAAAEv5cx0=")</f>
        <v>#VALUE!</v>
      </c>
      <c r="AE87" t="e">
        <f>AND('Planilla_General_07-12-2012_8_3'!N1297,"AAAAAEv5cx4=")</f>
        <v>#VALUE!</v>
      </c>
      <c r="AF87" t="e">
        <f>AND('Planilla_General_07-12-2012_8_3'!O1297,"AAAAAEv5cx8=")</f>
        <v>#VALUE!</v>
      </c>
      <c r="AG87" t="e">
        <f>AND('Planilla_General_07-12-2012_8_3'!P1297,"AAAAAEv5cyA=")</f>
        <v>#VALUE!</v>
      </c>
      <c r="AH87">
        <f>IF('Planilla_General_07-12-2012_8_3'!1298:1298,"AAAAAEv5cyE=",0)</f>
        <v>0</v>
      </c>
      <c r="AI87" t="e">
        <f>AND('Planilla_General_07-12-2012_8_3'!A1298,"AAAAAEv5cyI=")</f>
        <v>#VALUE!</v>
      </c>
      <c r="AJ87" t="e">
        <f>AND('Planilla_General_07-12-2012_8_3'!B1298,"AAAAAEv5cyM=")</f>
        <v>#VALUE!</v>
      </c>
      <c r="AK87" t="e">
        <f>AND('Planilla_General_07-12-2012_8_3'!C1298,"AAAAAEv5cyQ=")</f>
        <v>#VALUE!</v>
      </c>
      <c r="AL87" t="e">
        <f>AND('Planilla_General_07-12-2012_8_3'!D1298,"AAAAAEv5cyU=")</f>
        <v>#VALUE!</v>
      </c>
      <c r="AM87" t="e">
        <f>AND('Planilla_General_07-12-2012_8_3'!E1298,"AAAAAEv5cyY=")</f>
        <v>#VALUE!</v>
      </c>
      <c r="AN87" t="e">
        <f>AND('Planilla_General_07-12-2012_8_3'!F1298,"AAAAAEv5cyc=")</f>
        <v>#VALUE!</v>
      </c>
      <c r="AO87" t="e">
        <f>AND('Planilla_General_07-12-2012_8_3'!G1298,"AAAAAEv5cyg=")</f>
        <v>#VALUE!</v>
      </c>
      <c r="AP87" t="e">
        <f>AND('Planilla_General_07-12-2012_8_3'!H1298,"AAAAAEv5cyk=")</f>
        <v>#VALUE!</v>
      </c>
      <c r="AQ87" t="e">
        <f>AND('Planilla_General_07-12-2012_8_3'!I1298,"AAAAAEv5cyo=")</f>
        <v>#VALUE!</v>
      </c>
      <c r="AR87" t="e">
        <f>AND('Planilla_General_07-12-2012_8_3'!J1298,"AAAAAEv5cys=")</f>
        <v>#VALUE!</v>
      </c>
      <c r="AS87" t="e">
        <f>AND('Planilla_General_07-12-2012_8_3'!K1298,"AAAAAEv5cyw=")</f>
        <v>#VALUE!</v>
      </c>
      <c r="AT87" t="e">
        <f>AND('Planilla_General_07-12-2012_8_3'!L1298,"AAAAAEv5cy0=")</f>
        <v>#VALUE!</v>
      </c>
      <c r="AU87" t="e">
        <f>AND('Planilla_General_07-12-2012_8_3'!M1298,"AAAAAEv5cy4=")</f>
        <v>#VALUE!</v>
      </c>
      <c r="AV87" t="e">
        <f>AND('Planilla_General_07-12-2012_8_3'!N1298,"AAAAAEv5cy8=")</f>
        <v>#VALUE!</v>
      </c>
      <c r="AW87" t="e">
        <f>AND('Planilla_General_07-12-2012_8_3'!O1298,"AAAAAEv5czA=")</f>
        <v>#VALUE!</v>
      </c>
      <c r="AX87" t="e">
        <f>AND('Planilla_General_07-12-2012_8_3'!P1298,"AAAAAEv5czE=")</f>
        <v>#VALUE!</v>
      </c>
      <c r="AY87">
        <f>IF('Planilla_General_07-12-2012_8_3'!1299:1299,"AAAAAEv5czI=",0)</f>
        <v>0</v>
      </c>
      <c r="AZ87" t="e">
        <f>AND('Planilla_General_07-12-2012_8_3'!A1299,"AAAAAEv5czM=")</f>
        <v>#VALUE!</v>
      </c>
      <c r="BA87" t="e">
        <f>AND('Planilla_General_07-12-2012_8_3'!B1299,"AAAAAEv5czQ=")</f>
        <v>#VALUE!</v>
      </c>
      <c r="BB87" t="e">
        <f>AND('Planilla_General_07-12-2012_8_3'!C1299,"AAAAAEv5czU=")</f>
        <v>#VALUE!</v>
      </c>
      <c r="BC87" t="e">
        <f>AND('Planilla_General_07-12-2012_8_3'!D1299,"AAAAAEv5czY=")</f>
        <v>#VALUE!</v>
      </c>
      <c r="BD87" t="e">
        <f>AND('Planilla_General_07-12-2012_8_3'!E1299,"AAAAAEv5czc=")</f>
        <v>#VALUE!</v>
      </c>
      <c r="BE87" t="e">
        <f>AND('Planilla_General_07-12-2012_8_3'!F1299,"AAAAAEv5czg=")</f>
        <v>#VALUE!</v>
      </c>
      <c r="BF87" t="e">
        <f>AND('Planilla_General_07-12-2012_8_3'!G1299,"AAAAAEv5czk=")</f>
        <v>#VALUE!</v>
      </c>
      <c r="BG87" t="e">
        <f>AND('Planilla_General_07-12-2012_8_3'!H1299,"AAAAAEv5czo=")</f>
        <v>#VALUE!</v>
      </c>
      <c r="BH87" t="e">
        <f>AND('Planilla_General_07-12-2012_8_3'!I1299,"AAAAAEv5czs=")</f>
        <v>#VALUE!</v>
      </c>
      <c r="BI87" t="e">
        <f>AND('Planilla_General_07-12-2012_8_3'!J1299,"AAAAAEv5czw=")</f>
        <v>#VALUE!</v>
      </c>
      <c r="BJ87" t="e">
        <f>AND('Planilla_General_07-12-2012_8_3'!K1299,"AAAAAEv5cz0=")</f>
        <v>#VALUE!</v>
      </c>
      <c r="BK87" t="e">
        <f>AND('Planilla_General_07-12-2012_8_3'!L1299,"AAAAAEv5cz4=")</f>
        <v>#VALUE!</v>
      </c>
      <c r="BL87" t="e">
        <f>AND('Planilla_General_07-12-2012_8_3'!M1299,"AAAAAEv5cz8=")</f>
        <v>#VALUE!</v>
      </c>
      <c r="BM87" t="e">
        <f>AND('Planilla_General_07-12-2012_8_3'!N1299,"AAAAAEv5c0A=")</f>
        <v>#VALUE!</v>
      </c>
      <c r="BN87" t="e">
        <f>AND('Planilla_General_07-12-2012_8_3'!O1299,"AAAAAEv5c0E=")</f>
        <v>#VALUE!</v>
      </c>
      <c r="BO87" t="e">
        <f>AND('Planilla_General_07-12-2012_8_3'!P1299,"AAAAAEv5c0I=")</f>
        <v>#VALUE!</v>
      </c>
      <c r="BP87">
        <f>IF('Planilla_General_07-12-2012_8_3'!1300:1300,"AAAAAEv5c0M=",0)</f>
        <v>0</v>
      </c>
      <c r="BQ87" t="e">
        <f>AND('Planilla_General_07-12-2012_8_3'!A1300,"AAAAAEv5c0Q=")</f>
        <v>#VALUE!</v>
      </c>
      <c r="BR87" t="e">
        <f>AND('Planilla_General_07-12-2012_8_3'!B1300,"AAAAAEv5c0U=")</f>
        <v>#VALUE!</v>
      </c>
      <c r="BS87" t="e">
        <f>AND('Planilla_General_07-12-2012_8_3'!C1300,"AAAAAEv5c0Y=")</f>
        <v>#VALUE!</v>
      </c>
      <c r="BT87" t="e">
        <f>AND('Planilla_General_07-12-2012_8_3'!D1300,"AAAAAEv5c0c=")</f>
        <v>#VALUE!</v>
      </c>
      <c r="BU87" t="e">
        <f>AND('Planilla_General_07-12-2012_8_3'!E1300,"AAAAAEv5c0g=")</f>
        <v>#VALUE!</v>
      </c>
      <c r="BV87" t="e">
        <f>AND('Planilla_General_07-12-2012_8_3'!F1300,"AAAAAEv5c0k=")</f>
        <v>#VALUE!</v>
      </c>
      <c r="BW87" t="e">
        <f>AND('Planilla_General_07-12-2012_8_3'!G1300,"AAAAAEv5c0o=")</f>
        <v>#VALUE!</v>
      </c>
      <c r="BX87" t="e">
        <f>AND('Planilla_General_07-12-2012_8_3'!H1300,"AAAAAEv5c0s=")</f>
        <v>#VALUE!</v>
      </c>
      <c r="BY87" t="e">
        <f>AND('Planilla_General_07-12-2012_8_3'!I1300,"AAAAAEv5c0w=")</f>
        <v>#VALUE!</v>
      </c>
      <c r="BZ87" t="e">
        <f>AND('Planilla_General_07-12-2012_8_3'!J1300,"AAAAAEv5c00=")</f>
        <v>#VALUE!</v>
      </c>
      <c r="CA87" t="e">
        <f>AND('Planilla_General_07-12-2012_8_3'!K1300,"AAAAAEv5c04=")</f>
        <v>#VALUE!</v>
      </c>
      <c r="CB87" t="e">
        <f>AND('Planilla_General_07-12-2012_8_3'!L1300,"AAAAAEv5c08=")</f>
        <v>#VALUE!</v>
      </c>
      <c r="CC87" t="e">
        <f>AND('Planilla_General_07-12-2012_8_3'!M1300,"AAAAAEv5c1A=")</f>
        <v>#VALUE!</v>
      </c>
      <c r="CD87" t="e">
        <f>AND('Planilla_General_07-12-2012_8_3'!N1300,"AAAAAEv5c1E=")</f>
        <v>#VALUE!</v>
      </c>
      <c r="CE87" t="e">
        <f>AND('Planilla_General_07-12-2012_8_3'!O1300,"AAAAAEv5c1I=")</f>
        <v>#VALUE!</v>
      </c>
      <c r="CF87" t="e">
        <f>AND('Planilla_General_07-12-2012_8_3'!P1300,"AAAAAEv5c1M=")</f>
        <v>#VALUE!</v>
      </c>
      <c r="CG87">
        <f>IF('Planilla_General_07-12-2012_8_3'!1301:1301,"AAAAAEv5c1Q=",0)</f>
        <v>0</v>
      </c>
      <c r="CH87" t="e">
        <f>AND('Planilla_General_07-12-2012_8_3'!A1301,"AAAAAEv5c1U=")</f>
        <v>#VALUE!</v>
      </c>
      <c r="CI87" t="e">
        <f>AND('Planilla_General_07-12-2012_8_3'!B1301,"AAAAAEv5c1Y=")</f>
        <v>#VALUE!</v>
      </c>
      <c r="CJ87" t="e">
        <f>AND('Planilla_General_07-12-2012_8_3'!C1301,"AAAAAEv5c1c=")</f>
        <v>#VALUE!</v>
      </c>
      <c r="CK87" t="e">
        <f>AND('Planilla_General_07-12-2012_8_3'!D1301,"AAAAAEv5c1g=")</f>
        <v>#VALUE!</v>
      </c>
      <c r="CL87" t="e">
        <f>AND('Planilla_General_07-12-2012_8_3'!E1301,"AAAAAEv5c1k=")</f>
        <v>#VALUE!</v>
      </c>
      <c r="CM87" t="e">
        <f>AND('Planilla_General_07-12-2012_8_3'!F1301,"AAAAAEv5c1o=")</f>
        <v>#VALUE!</v>
      </c>
      <c r="CN87" t="e">
        <f>AND('Planilla_General_07-12-2012_8_3'!G1301,"AAAAAEv5c1s=")</f>
        <v>#VALUE!</v>
      </c>
      <c r="CO87" t="e">
        <f>AND('Planilla_General_07-12-2012_8_3'!H1301,"AAAAAEv5c1w=")</f>
        <v>#VALUE!</v>
      </c>
      <c r="CP87" t="e">
        <f>AND('Planilla_General_07-12-2012_8_3'!I1301,"AAAAAEv5c10=")</f>
        <v>#VALUE!</v>
      </c>
      <c r="CQ87" t="e">
        <f>AND('Planilla_General_07-12-2012_8_3'!J1301,"AAAAAEv5c14=")</f>
        <v>#VALUE!</v>
      </c>
      <c r="CR87" t="e">
        <f>AND('Planilla_General_07-12-2012_8_3'!K1301,"AAAAAEv5c18=")</f>
        <v>#VALUE!</v>
      </c>
      <c r="CS87" t="e">
        <f>AND('Planilla_General_07-12-2012_8_3'!L1301,"AAAAAEv5c2A=")</f>
        <v>#VALUE!</v>
      </c>
      <c r="CT87" t="e">
        <f>AND('Planilla_General_07-12-2012_8_3'!M1301,"AAAAAEv5c2E=")</f>
        <v>#VALUE!</v>
      </c>
      <c r="CU87" t="e">
        <f>AND('Planilla_General_07-12-2012_8_3'!N1301,"AAAAAEv5c2I=")</f>
        <v>#VALUE!</v>
      </c>
      <c r="CV87" t="e">
        <f>AND('Planilla_General_07-12-2012_8_3'!O1301,"AAAAAEv5c2M=")</f>
        <v>#VALUE!</v>
      </c>
      <c r="CW87" t="e">
        <f>AND('Planilla_General_07-12-2012_8_3'!P1301,"AAAAAEv5c2Q=")</f>
        <v>#VALUE!</v>
      </c>
      <c r="CX87">
        <f>IF('Planilla_General_07-12-2012_8_3'!1302:1302,"AAAAAEv5c2U=",0)</f>
        <v>0</v>
      </c>
      <c r="CY87" t="e">
        <f>AND('Planilla_General_07-12-2012_8_3'!A1302,"AAAAAEv5c2Y=")</f>
        <v>#VALUE!</v>
      </c>
      <c r="CZ87" t="e">
        <f>AND('Planilla_General_07-12-2012_8_3'!B1302,"AAAAAEv5c2c=")</f>
        <v>#VALUE!</v>
      </c>
      <c r="DA87" t="e">
        <f>AND('Planilla_General_07-12-2012_8_3'!C1302,"AAAAAEv5c2g=")</f>
        <v>#VALUE!</v>
      </c>
      <c r="DB87" t="e">
        <f>AND('Planilla_General_07-12-2012_8_3'!D1302,"AAAAAEv5c2k=")</f>
        <v>#VALUE!</v>
      </c>
      <c r="DC87" t="e">
        <f>AND('Planilla_General_07-12-2012_8_3'!E1302,"AAAAAEv5c2o=")</f>
        <v>#VALUE!</v>
      </c>
      <c r="DD87" t="e">
        <f>AND('Planilla_General_07-12-2012_8_3'!F1302,"AAAAAEv5c2s=")</f>
        <v>#VALUE!</v>
      </c>
      <c r="DE87" t="e">
        <f>AND('Planilla_General_07-12-2012_8_3'!G1302,"AAAAAEv5c2w=")</f>
        <v>#VALUE!</v>
      </c>
      <c r="DF87" t="e">
        <f>AND('Planilla_General_07-12-2012_8_3'!H1302,"AAAAAEv5c20=")</f>
        <v>#VALUE!</v>
      </c>
      <c r="DG87" t="e">
        <f>AND('Planilla_General_07-12-2012_8_3'!I1302,"AAAAAEv5c24=")</f>
        <v>#VALUE!</v>
      </c>
      <c r="DH87" t="e">
        <f>AND('Planilla_General_07-12-2012_8_3'!J1302,"AAAAAEv5c28=")</f>
        <v>#VALUE!</v>
      </c>
      <c r="DI87" t="e">
        <f>AND('Planilla_General_07-12-2012_8_3'!K1302,"AAAAAEv5c3A=")</f>
        <v>#VALUE!</v>
      </c>
      <c r="DJ87" t="e">
        <f>AND('Planilla_General_07-12-2012_8_3'!L1302,"AAAAAEv5c3E=")</f>
        <v>#VALUE!</v>
      </c>
      <c r="DK87" t="e">
        <f>AND('Planilla_General_07-12-2012_8_3'!M1302,"AAAAAEv5c3I=")</f>
        <v>#VALUE!</v>
      </c>
      <c r="DL87" t="e">
        <f>AND('Planilla_General_07-12-2012_8_3'!N1302,"AAAAAEv5c3M=")</f>
        <v>#VALUE!</v>
      </c>
      <c r="DM87" t="e">
        <f>AND('Planilla_General_07-12-2012_8_3'!O1302,"AAAAAEv5c3Q=")</f>
        <v>#VALUE!</v>
      </c>
      <c r="DN87" t="e">
        <f>AND('Planilla_General_07-12-2012_8_3'!P1302,"AAAAAEv5c3U=")</f>
        <v>#VALUE!</v>
      </c>
      <c r="DO87">
        <f>IF('Planilla_General_07-12-2012_8_3'!1303:1303,"AAAAAEv5c3Y=",0)</f>
        <v>0</v>
      </c>
      <c r="DP87" t="e">
        <f>AND('Planilla_General_07-12-2012_8_3'!A1303,"AAAAAEv5c3c=")</f>
        <v>#VALUE!</v>
      </c>
      <c r="DQ87" t="e">
        <f>AND('Planilla_General_07-12-2012_8_3'!B1303,"AAAAAEv5c3g=")</f>
        <v>#VALUE!</v>
      </c>
      <c r="DR87" t="e">
        <f>AND('Planilla_General_07-12-2012_8_3'!C1303,"AAAAAEv5c3k=")</f>
        <v>#VALUE!</v>
      </c>
      <c r="DS87" t="e">
        <f>AND('Planilla_General_07-12-2012_8_3'!D1303,"AAAAAEv5c3o=")</f>
        <v>#VALUE!</v>
      </c>
      <c r="DT87" t="e">
        <f>AND('Planilla_General_07-12-2012_8_3'!E1303,"AAAAAEv5c3s=")</f>
        <v>#VALUE!</v>
      </c>
      <c r="DU87" t="e">
        <f>AND('Planilla_General_07-12-2012_8_3'!F1303,"AAAAAEv5c3w=")</f>
        <v>#VALUE!</v>
      </c>
      <c r="DV87" t="e">
        <f>AND('Planilla_General_07-12-2012_8_3'!G1303,"AAAAAEv5c30=")</f>
        <v>#VALUE!</v>
      </c>
      <c r="DW87" t="e">
        <f>AND('Planilla_General_07-12-2012_8_3'!H1303,"AAAAAEv5c34=")</f>
        <v>#VALUE!</v>
      </c>
      <c r="DX87" t="e">
        <f>AND('Planilla_General_07-12-2012_8_3'!I1303,"AAAAAEv5c38=")</f>
        <v>#VALUE!</v>
      </c>
      <c r="DY87" t="e">
        <f>AND('Planilla_General_07-12-2012_8_3'!J1303,"AAAAAEv5c4A=")</f>
        <v>#VALUE!</v>
      </c>
      <c r="DZ87" t="e">
        <f>AND('Planilla_General_07-12-2012_8_3'!K1303,"AAAAAEv5c4E=")</f>
        <v>#VALUE!</v>
      </c>
      <c r="EA87" t="e">
        <f>AND('Planilla_General_07-12-2012_8_3'!L1303,"AAAAAEv5c4I=")</f>
        <v>#VALUE!</v>
      </c>
      <c r="EB87" t="e">
        <f>AND('Planilla_General_07-12-2012_8_3'!M1303,"AAAAAEv5c4M=")</f>
        <v>#VALUE!</v>
      </c>
      <c r="EC87" t="e">
        <f>AND('Planilla_General_07-12-2012_8_3'!N1303,"AAAAAEv5c4Q=")</f>
        <v>#VALUE!</v>
      </c>
      <c r="ED87" t="e">
        <f>AND('Planilla_General_07-12-2012_8_3'!O1303,"AAAAAEv5c4U=")</f>
        <v>#VALUE!</v>
      </c>
      <c r="EE87" t="e">
        <f>AND('Planilla_General_07-12-2012_8_3'!P1303,"AAAAAEv5c4Y=")</f>
        <v>#VALUE!</v>
      </c>
      <c r="EF87">
        <f>IF('Planilla_General_07-12-2012_8_3'!1304:1304,"AAAAAEv5c4c=",0)</f>
        <v>0</v>
      </c>
      <c r="EG87" t="e">
        <f>AND('Planilla_General_07-12-2012_8_3'!A1304,"AAAAAEv5c4g=")</f>
        <v>#VALUE!</v>
      </c>
      <c r="EH87" t="e">
        <f>AND('Planilla_General_07-12-2012_8_3'!B1304,"AAAAAEv5c4k=")</f>
        <v>#VALUE!</v>
      </c>
      <c r="EI87" t="e">
        <f>AND('Planilla_General_07-12-2012_8_3'!C1304,"AAAAAEv5c4o=")</f>
        <v>#VALUE!</v>
      </c>
      <c r="EJ87" t="e">
        <f>AND('Planilla_General_07-12-2012_8_3'!D1304,"AAAAAEv5c4s=")</f>
        <v>#VALUE!</v>
      </c>
      <c r="EK87" t="e">
        <f>AND('Planilla_General_07-12-2012_8_3'!E1304,"AAAAAEv5c4w=")</f>
        <v>#VALUE!</v>
      </c>
      <c r="EL87" t="e">
        <f>AND('Planilla_General_07-12-2012_8_3'!F1304,"AAAAAEv5c40=")</f>
        <v>#VALUE!</v>
      </c>
      <c r="EM87" t="e">
        <f>AND('Planilla_General_07-12-2012_8_3'!G1304,"AAAAAEv5c44=")</f>
        <v>#VALUE!</v>
      </c>
      <c r="EN87" t="e">
        <f>AND('Planilla_General_07-12-2012_8_3'!H1304,"AAAAAEv5c48=")</f>
        <v>#VALUE!</v>
      </c>
      <c r="EO87" t="e">
        <f>AND('Planilla_General_07-12-2012_8_3'!I1304,"AAAAAEv5c5A=")</f>
        <v>#VALUE!</v>
      </c>
      <c r="EP87" t="e">
        <f>AND('Planilla_General_07-12-2012_8_3'!J1304,"AAAAAEv5c5E=")</f>
        <v>#VALUE!</v>
      </c>
      <c r="EQ87" t="e">
        <f>AND('Planilla_General_07-12-2012_8_3'!K1304,"AAAAAEv5c5I=")</f>
        <v>#VALUE!</v>
      </c>
      <c r="ER87" t="e">
        <f>AND('Planilla_General_07-12-2012_8_3'!L1304,"AAAAAEv5c5M=")</f>
        <v>#VALUE!</v>
      </c>
      <c r="ES87" t="e">
        <f>AND('Planilla_General_07-12-2012_8_3'!M1304,"AAAAAEv5c5Q=")</f>
        <v>#VALUE!</v>
      </c>
      <c r="ET87" t="e">
        <f>AND('Planilla_General_07-12-2012_8_3'!N1304,"AAAAAEv5c5U=")</f>
        <v>#VALUE!</v>
      </c>
      <c r="EU87" t="e">
        <f>AND('Planilla_General_07-12-2012_8_3'!O1304,"AAAAAEv5c5Y=")</f>
        <v>#VALUE!</v>
      </c>
      <c r="EV87" t="e">
        <f>AND('Planilla_General_07-12-2012_8_3'!P1304,"AAAAAEv5c5c=")</f>
        <v>#VALUE!</v>
      </c>
      <c r="EW87">
        <f>IF('Planilla_General_07-12-2012_8_3'!1305:1305,"AAAAAEv5c5g=",0)</f>
        <v>0</v>
      </c>
      <c r="EX87" t="e">
        <f>AND('Planilla_General_07-12-2012_8_3'!A1305,"AAAAAEv5c5k=")</f>
        <v>#VALUE!</v>
      </c>
      <c r="EY87" t="e">
        <f>AND('Planilla_General_07-12-2012_8_3'!B1305,"AAAAAEv5c5o=")</f>
        <v>#VALUE!</v>
      </c>
      <c r="EZ87" t="e">
        <f>AND('Planilla_General_07-12-2012_8_3'!C1305,"AAAAAEv5c5s=")</f>
        <v>#VALUE!</v>
      </c>
      <c r="FA87" t="e">
        <f>AND('Planilla_General_07-12-2012_8_3'!D1305,"AAAAAEv5c5w=")</f>
        <v>#VALUE!</v>
      </c>
      <c r="FB87" t="e">
        <f>AND('Planilla_General_07-12-2012_8_3'!E1305,"AAAAAEv5c50=")</f>
        <v>#VALUE!</v>
      </c>
      <c r="FC87" t="e">
        <f>AND('Planilla_General_07-12-2012_8_3'!F1305,"AAAAAEv5c54=")</f>
        <v>#VALUE!</v>
      </c>
      <c r="FD87" t="e">
        <f>AND('Planilla_General_07-12-2012_8_3'!G1305,"AAAAAEv5c58=")</f>
        <v>#VALUE!</v>
      </c>
      <c r="FE87" t="e">
        <f>AND('Planilla_General_07-12-2012_8_3'!H1305,"AAAAAEv5c6A=")</f>
        <v>#VALUE!</v>
      </c>
      <c r="FF87" t="e">
        <f>AND('Planilla_General_07-12-2012_8_3'!I1305,"AAAAAEv5c6E=")</f>
        <v>#VALUE!</v>
      </c>
      <c r="FG87" t="e">
        <f>AND('Planilla_General_07-12-2012_8_3'!J1305,"AAAAAEv5c6I=")</f>
        <v>#VALUE!</v>
      </c>
      <c r="FH87" t="e">
        <f>AND('Planilla_General_07-12-2012_8_3'!K1305,"AAAAAEv5c6M=")</f>
        <v>#VALUE!</v>
      </c>
      <c r="FI87" t="e">
        <f>AND('Planilla_General_07-12-2012_8_3'!L1305,"AAAAAEv5c6Q=")</f>
        <v>#VALUE!</v>
      </c>
      <c r="FJ87" t="e">
        <f>AND('Planilla_General_07-12-2012_8_3'!M1305,"AAAAAEv5c6U=")</f>
        <v>#VALUE!</v>
      </c>
      <c r="FK87" t="e">
        <f>AND('Planilla_General_07-12-2012_8_3'!N1305,"AAAAAEv5c6Y=")</f>
        <v>#VALUE!</v>
      </c>
      <c r="FL87" t="e">
        <f>AND('Planilla_General_07-12-2012_8_3'!O1305,"AAAAAEv5c6c=")</f>
        <v>#VALUE!</v>
      </c>
      <c r="FM87" t="e">
        <f>AND('Planilla_General_07-12-2012_8_3'!P1305,"AAAAAEv5c6g=")</f>
        <v>#VALUE!</v>
      </c>
      <c r="FN87">
        <f>IF('Planilla_General_07-12-2012_8_3'!1306:1306,"AAAAAEv5c6k=",0)</f>
        <v>0</v>
      </c>
      <c r="FO87" t="e">
        <f>AND('Planilla_General_07-12-2012_8_3'!A1306,"AAAAAEv5c6o=")</f>
        <v>#VALUE!</v>
      </c>
      <c r="FP87" t="e">
        <f>AND('Planilla_General_07-12-2012_8_3'!B1306,"AAAAAEv5c6s=")</f>
        <v>#VALUE!</v>
      </c>
      <c r="FQ87" t="e">
        <f>AND('Planilla_General_07-12-2012_8_3'!C1306,"AAAAAEv5c6w=")</f>
        <v>#VALUE!</v>
      </c>
      <c r="FR87" t="e">
        <f>AND('Planilla_General_07-12-2012_8_3'!D1306,"AAAAAEv5c60=")</f>
        <v>#VALUE!</v>
      </c>
      <c r="FS87" t="e">
        <f>AND('Planilla_General_07-12-2012_8_3'!E1306,"AAAAAEv5c64=")</f>
        <v>#VALUE!</v>
      </c>
      <c r="FT87" t="e">
        <f>AND('Planilla_General_07-12-2012_8_3'!F1306,"AAAAAEv5c68=")</f>
        <v>#VALUE!</v>
      </c>
      <c r="FU87" t="e">
        <f>AND('Planilla_General_07-12-2012_8_3'!G1306,"AAAAAEv5c7A=")</f>
        <v>#VALUE!</v>
      </c>
      <c r="FV87" t="e">
        <f>AND('Planilla_General_07-12-2012_8_3'!H1306,"AAAAAEv5c7E=")</f>
        <v>#VALUE!</v>
      </c>
      <c r="FW87" t="e">
        <f>AND('Planilla_General_07-12-2012_8_3'!I1306,"AAAAAEv5c7I=")</f>
        <v>#VALUE!</v>
      </c>
      <c r="FX87" t="e">
        <f>AND('Planilla_General_07-12-2012_8_3'!J1306,"AAAAAEv5c7M=")</f>
        <v>#VALUE!</v>
      </c>
      <c r="FY87" t="e">
        <f>AND('Planilla_General_07-12-2012_8_3'!K1306,"AAAAAEv5c7Q=")</f>
        <v>#VALUE!</v>
      </c>
      <c r="FZ87" t="e">
        <f>AND('Planilla_General_07-12-2012_8_3'!L1306,"AAAAAEv5c7U=")</f>
        <v>#VALUE!</v>
      </c>
      <c r="GA87" t="e">
        <f>AND('Planilla_General_07-12-2012_8_3'!M1306,"AAAAAEv5c7Y=")</f>
        <v>#VALUE!</v>
      </c>
      <c r="GB87" t="e">
        <f>AND('Planilla_General_07-12-2012_8_3'!N1306,"AAAAAEv5c7c=")</f>
        <v>#VALUE!</v>
      </c>
      <c r="GC87" t="e">
        <f>AND('Planilla_General_07-12-2012_8_3'!O1306,"AAAAAEv5c7g=")</f>
        <v>#VALUE!</v>
      </c>
      <c r="GD87" t="e">
        <f>AND('Planilla_General_07-12-2012_8_3'!P1306,"AAAAAEv5c7k=")</f>
        <v>#VALUE!</v>
      </c>
      <c r="GE87">
        <f>IF('Planilla_General_07-12-2012_8_3'!1307:1307,"AAAAAEv5c7o=",0)</f>
        <v>0</v>
      </c>
      <c r="GF87" t="e">
        <f>AND('Planilla_General_07-12-2012_8_3'!A1307,"AAAAAEv5c7s=")</f>
        <v>#VALUE!</v>
      </c>
      <c r="GG87" t="e">
        <f>AND('Planilla_General_07-12-2012_8_3'!B1307,"AAAAAEv5c7w=")</f>
        <v>#VALUE!</v>
      </c>
      <c r="GH87" t="e">
        <f>AND('Planilla_General_07-12-2012_8_3'!C1307,"AAAAAEv5c70=")</f>
        <v>#VALUE!</v>
      </c>
      <c r="GI87" t="e">
        <f>AND('Planilla_General_07-12-2012_8_3'!D1307,"AAAAAEv5c74=")</f>
        <v>#VALUE!</v>
      </c>
      <c r="GJ87" t="e">
        <f>AND('Planilla_General_07-12-2012_8_3'!E1307,"AAAAAEv5c78=")</f>
        <v>#VALUE!</v>
      </c>
      <c r="GK87" t="e">
        <f>AND('Planilla_General_07-12-2012_8_3'!F1307,"AAAAAEv5c8A=")</f>
        <v>#VALUE!</v>
      </c>
      <c r="GL87" t="e">
        <f>AND('Planilla_General_07-12-2012_8_3'!G1307,"AAAAAEv5c8E=")</f>
        <v>#VALUE!</v>
      </c>
      <c r="GM87" t="e">
        <f>AND('Planilla_General_07-12-2012_8_3'!H1307,"AAAAAEv5c8I=")</f>
        <v>#VALUE!</v>
      </c>
      <c r="GN87" t="e">
        <f>AND('Planilla_General_07-12-2012_8_3'!I1307,"AAAAAEv5c8M=")</f>
        <v>#VALUE!</v>
      </c>
      <c r="GO87" t="e">
        <f>AND('Planilla_General_07-12-2012_8_3'!J1307,"AAAAAEv5c8Q=")</f>
        <v>#VALUE!</v>
      </c>
      <c r="GP87" t="e">
        <f>AND('Planilla_General_07-12-2012_8_3'!K1307,"AAAAAEv5c8U=")</f>
        <v>#VALUE!</v>
      </c>
      <c r="GQ87" t="e">
        <f>AND('Planilla_General_07-12-2012_8_3'!L1307,"AAAAAEv5c8Y=")</f>
        <v>#VALUE!</v>
      </c>
      <c r="GR87" t="e">
        <f>AND('Planilla_General_07-12-2012_8_3'!M1307,"AAAAAEv5c8c=")</f>
        <v>#VALUE!</v>
      </c>
      <c r="GS87" t="e">
        <f>AND('Planilla_General_07-12-2012_8_3'!N1307,"AAAAAEv5c8g=")</f>
        <v>#VALUE!</v>
      </c>
      <c r="GT87" t="e">
        <f>AND('Planilla_General_07-12-2012_8_3'!O1307,"AAAAAEv5c8k=")</f>
        <v>#VALUE!</v>
      </c>
      <c r="GU87" t="e">
        <f>AND('Planilla_General_07-12-2012_8_3'!P1307,"AAAAAEv5c8o=")</f>
        <v>#VALUE!</v>
      </c>
      <c r="GV87">
        <f>IF('Planilla_General_07-12-2012_8_3'!1308:1308,"AAAAAEv5c8s=",0)</f>
        <v>0</v>
      </c>
      <c r="GW87" t="e">
        <f>AND('Planilla_General_07-12-2012_8_3'!A1308,"AAAAAEv5c8w=")</f>
        <v>#VALUE!</v>
      </c>
      <c r="GX87" t="e">
        <f>AND('Planilla_General_07-12-2012_8_3'!B1308,"AAAAAEv5c80=")</f>
        <v>#VALUE!</v>
      </c>
      <c r="GY87" t="e">
        <f>AND('Planilla_General_07-12-2012_8_3'!C1308,"AAAAAEv5c84=")</f>
        <v>#VALUE!</v>
      </c>
      <c r="GZ87" t="e">
        <f>AND('Planilla_General_07-12-2012_8_3'!D1308,"AAAAAEv5c88=")</f>
        <v>#VALUE!</v>
      </c>
      <c r="HA87" t="e">
        <f>AND('Planilla_General_07-12-2012_8_3'!E1308,"AAAAAEv5c9A=")</f>
        <v>#VALUE!</v>
      </c>
      <c r="HB87" t="e">
        <f>AND('Planilla_General_07-12-2012_8_3'!F1308,"AAAAAEv5c9E=")</f>
        <v>#VALUE!</v>
      </c>
      <c r="HC87" t="e">
        <f>AND('Planilla_General_07-12-2012_8_3'!G1308,"AAAAAEv5c9I=")</f>
        <v>#VALUE!</v>
      </c>
      <c r="HD87" t="e">
        <f>AND('Planilla_General_07-12-2012_8_3'!H1308,"AAAAAEv5c9M=")</f>
        <v>#VALUE!</v>
      </c>
      <c r="HE87" t="e">
        <f>AND('Planilla_General_07-12-2012_8_3'!I1308,"AAAAAEv5c9Q=")</f>
        <v>#VALUE!</v>
      </c>
      <c r="HF87" t="e">
        <f>AND('Planilla_General_07-12-2012_8_3'!J1308,"AAAAAEv5c9U=")</f>
        <v>#VALUE!</v>
      </c>
      <c r="HG87" t="e">
        <f>AND('Planilla_General_07-12-2012_8_3'!K1308,"AAAAAEv5c9Y=")</f>
        <v>#VALUE!</v>
      </c>
      <c r="HH87" t="e">
        <f>AND('Planilla_General_07-12-2012_8_3'!L1308,"AAAAAEv5c9c=")</f>
        <v>#VALUE!</v>
      </c>
      <c r="HI87" t="e">
        <f>AND('Planilla_General_07-12-2012_8_3'!M1308,"AAAAAEv5c9g=")</f>
        <v>#VALUE!</v>
      </c>
      <c r="HJ87" t="e">
        <f>AND('Planilla_General_07-12-2012_8_3'!N1308,"AAAAAEv5c9k=")</f>
        <v>#VALUE!</v>
      </c>
      <c r="HK87" t="e">
        <f>AND('Planilla_General_07-12-2012_8_3'!O1308,"AAAAAEv5c9o=")</f>
        <v>#VALUE!</v>
      </c>
      <c r="HL87" t="e">
        <f>AND('Planilla_General_07-12-2012_8_3'!P1308,"AAAAAEv5c9s=")</f>
        <v>#VALUE!</v>
      </c>
      <c r="HM87">
        <f>IF('Planilla_General_07-12-2012_8_3'!1309:1309,"AAAAAEv5c9w=",0)</f>
        <v>0</v>
      </c>
      <c r="HN87" t="e">
        <f>AND('Planilla_General_07-12-2012_8_3'!A1309,"AAAAAEv5c90=")</f>
        <v>#VALUE!</v>
      </c>
      <c r="HO87" t="e">
        <f>AND('Planilla_General_07-12-2012_8_3'!B1309,"AAAAAEv5c94=")</f>
        <v>#VALUE!</v>
      </c>
      <c r="HP87" t="e">
        <f>AND('Planilla_General_07-12-2012_8_3'!C1309,"AAAAAEv5c98=")</f>
        <v>#VALUE!</v>
      </c>
      <c r="HQ87" t="e">
        <f>AND('Planilla_General_07-12-2012_8_3'!D1309,"AAAAAEv5c+A=")</f>
        <v>#VALUE!</v>
      </c>
      <c r="HR87" t="e">
        <f>AND('Planilla_General_07-12-2012_8_3'!E1309,"AAAAAEv5c+E=")</f>
        <v>#VALUE!</v>
      </c>
      <c r="HS87" t="e">
        <f>AND('Planilla_General_07-12-2012_8_3'!F1309,"AAAAAEv5c+I=")</f>
        <v>#VALUE!</v>
      </c>
      <c r="HT87" t="e">
        <f>AND('Planilla_General_07-12-2012_8_3'!G1309,"AAAAAEv5c+M=")</f>
        <v>#VALUE!</v>
      </c>
      <c r="HU87" t="e">
        <f>AND('Planilla_General_07-12-2012_8_3'!H1309,"AAAAAEv5c+Q=")</f>
        <v>#VALUE!</v>
      </c>
      <c r="HV87" t="e">
        <f>AND('Planilla_General_07-12-2012_8_3'!I1309,"AAAAAEv5c+U=")</f>
        <v>#VALUE!</v>
      </c>
      <c r="HW87" t="e">
        <f>AND('Planilla_General_07-12-2012_8_3'!J1309,"AAAAAEv5c+Y=")</f>
        <v>#VALUE!</v>
      </c>
      <c r="HX87" t="e">
        <f>AND('Planilla_General_07-12-2012_8_3'!K1309,"AAAAAEv5c+c=")</f>
        <v>#VALUE!</v>
      </c>
      <c r="HY87" t="e">
        <f>AND('Planilla_General_07-12-2012_8_3'!L1309,"AAAAAEv5c+g=")</f>
        <v>#VALUE!</v>
      </c>
      <c r="HZ87" t="e">
        <f>AND('Planilla_General_07-12-2012_8_3'!M1309,"AAAAAEv5c+k=")</f>
        <v>#VALUE!</v>
      </c>
      <c r="IA87" t="e">
        <f>AND('Planilla_General_07-12-2012_8_3'!N1309,"AAAAAEv5c+o=")</f>
        <v>#VALUE!</v>
      </c>
      <c r="IB87" t="e">
        <f>AND('Planilla_General_07-12-2012_8_3'!O1309,"AAAAAEv5c+s=")</f>
        <v>#VALUE!</v>
      </c>
      <c r="IC87" t="e">
        <f>AND('Planilla_General_07-12-2012_8_3'!P1309,"AAAAAEv5c+w=")</f>
        <v>#VALUE!</v>
      </c>
      <c r="ID87">
        <f>IF('Planilla_General_07-12-2012_8_3'!1310:1310,"AAAAAEv5c+0=",0)</f>
        <v>0</v>
      </c>
      <c r="IE87" t="e">
        <f>AND('Planilla_General_07-12-2012_8_3'!A1310,"AAAAAEv5c+4=")</f>
        <v>#VALUE!</v>
      </c>
      <c r="IF87" t="e">
        <f>AND('Planilla_General_07-12-2012_8_3'!B1310,"AAAAAEv5c+8=")</f>
        <v>#VALUE!</v>
      </c>
      <c r="IG87" t="e">
        <f>AND('Planilla_General_07-12-2012_8_3'!C1310,"AAAAAEv5c/A=")</f>
        <v>#VALUE!</v>
      </c>
      <c r="IH87" t="e">
        <f>AND('Planilla_General_07-12-2012_8_3'!D1310,"AAAAAEv5c/E=")</f>
        <v>#VALUE!</v>
      </c>
      <c r="II87" t="e">
        <f>AND('Planilla_General_07-12-2012_8_3'!E1310,"AAAAAEv5c/I=")</f>
        <v>#VALUE!</v>
      </c>
      <c r="IJ87" t="e">
        <f>AND('Planilla_General_07-12-2012_8_3'!F1310,"AAAAAEv5c/M=")</f>
        <v>#VALUE!</v>
      </c>
      <c r="IK87" t="e">
        <f>AND('Planilla_General_07-12-2012_8_3'!G1310,"AAAAAEv5c/Q=")</f>
        <v>#VALUE!</v>
      </c>
      <c r="IL87" t="e">
        <f>AND('Planilla_General_07-12-2012_8_3'!H1310,"AAAAAEv5c/U=")</f>
        <v>#VALUE!</v>
      </c>
      <c r="IM87" t="e">
        <f>AND('Planilla_General_07-12-2012_8_3'!I1310,"AAAAAEv5c/Y=")</f>
        <v>#VALUE!</v>
      </c>
      <c r="IN87" t="e">
        <f>AND('Planilla_General_07-12-2012_8_3'!J1310,"AAAAAEv5c/c=")</f>
        <v>#VALUE!</v>
      </c>
      <c r="IO87" t="e">
        <f>AND('Planilla_General_07-12-2012_8_3'!K1310,"AAAAAEv5c/g=")</f>
        <v>#VALUE!</v>
      </c>
      <c r="IP87" t="e">
        <f>AND('Planilla_General_07-12-2012_8_3'!L1310,"AAAAAEv5c/k=")</f>
        <v>#VALUE!</v>
      </c>
      <c r="IQ87" t="e">
        <f>AND('Planilla_General_07-12-2012_8_3'!M1310,"AAAAAEv5c/o=")</f>
        <v>#VALUE!</v>
      </c>
      <c r="IR87" t="e">
        <f>AND('Planilla_General_07-12-2012_8_3'!N1310,"AAAAAEv5c/s=")</f>
        <v>#VALUE!</v>
      </c>
      <c r="IS87" t="e">
        <f>AND('Planilla_General_07-12-2012_8_3'!O1310,"AAAAAEv5c/w=")</f>
        <v>#VALUE!</v>
      </c>
      <c r="IT87" t="e">
        <f>AND('Planilla_General_07-12-2012_8_3'!P1310,"AAAAAEv5c/0=")</f>
        <v>#VALUE!</v>
      </c>
      <c r="IU87">
        <f>IF('Planilla_General_07-12-2012_8_3'!1311:1311,"AAAAAEv5c/4=",0)</f>
        <v>0</v>
      </c>
      <c r="IV87" t="e">
        <f>AND('Planilla_General_07-12-2012_8_3'!A1311,"AAAAAEv5c/8=")</f>
        <v>#VALUE!</v>
      </c>
    </row>
    <row r="88" spans="1:256" x14ac:dyDescent="0.25">
      <c r="A88" t="e">
        <f>AND('Planilla_General_07-12-2012_8_3'!B1311,"AAAAAG9s+wA=")</f>
        <v>#VALUE!</v>
      </c>
      <c r="B88" t="e">
        <f>AND('Planilla_General_07-12-2012_8_3'!C1311,"AAAAAG9s+wE=")</f>
        <v>#VALUE!</v>
      </c>
      <c r="C88" t="e">
        <f>AND('Planilla_General_07-12-2012_8_3'!D1311,"AAAAAG9s+wI=")</f>
        <v>#VALUE!</v>
      </c>
      <c r="D88" t="e">
        <f>AND('Planilla_General_07-12-2012_8_3'!E1311,"AAAAAG9s+wM=")</f>
        <v>#VALUE!</v>
      </c>
      <c r="E88" t="e">
        <f>AND('Planilla_General_07-12-2012_8_3'!F1311,"AAAAAG9s+wQ=")</f>
        <v>#VALUE!</v>
      </c>
      <c r="F88" t="e">
        <f>AND('Planilla_General_07-12-2012_8_3'!G1311,"AAAAAG9s+wU=")</f>
        <v>#VALUE!</v>
      </c>
      <c r="G88" t="e">
        <f>AND('Planilla_General_07-12-2012_8_3'!H1311,"AAAAAG9s+wY=")</f>
        <v>#VALUE!</v>
      </c>
      <c r="H88" t="e">
        <f>AND('Planilla_General_07-12-2012_8_3'!I1311,"AAAAAG9s+wc=")</f>
        <v>#VALUE!</v>
      </c>
      <c r="I88" t="e">
        <f>AND('Planilla_General_07-12-2012_8_3'!J1311,"AAAAAG9s+wg=")</f>
        <v>#VALUE!</v>
      </c>
      <c r="J88" t="e">
        <f>AND('Planilla_General_07-12-2012_8_3'!K1311,"AAAAAG9s+wk=")</f>
        <v>#VALUE!</v>
      </c>
      <c r="K88" t="e">
        <f>AND('Planilla_General_07-12-2012_8_3'!L1311,"AAAAAG9s+wo=")</f>
        <v>#VALUE!</v>
      </c>
      <c r="L88" t="e">
        <f>AND('Planilla_General_07-12-2012_8_3'!M1311,"AAAAAG9s+ws=")</f>
        <v>#VALUE!</v>
      </c>
      <c r="M88" t="e">
        <f>AND('Planilla_General_07-12-2012_8_3'!N1311,"AAAAAG9s+ww=")</f>
        <v>#VALUE!</v>
      </c>
      <c r="N88" t="e">
        <f>AND('Planilla_General_07-12-2012_8_3'!O1311,"AAAAAG9s+w0=")</f>
        <v>#VALUE!</v>
      </c>
      <c r="O88" t="e">
        <f>AND('Planilla_General_07-12-2012_8_3'!P1311,"AAAAAG9s+w4=")</f>
        <v>#VALUE!</v>
      </c>
      <c r="P88">
        <f>IF('Planilla_General_07-12-2012_8_3'!1312:1312,"AAAAAG9s+w8=",0)</f>
        <v>0</v>
      </c>
      <c r="Q88" t="e">
        <f>AND('Planilla_General_07-12-2012_8_3'!A1312,"AAAAAG9s+xA=")</f>
        <v>#VALUE!</v>
      </c>
      <c r="R88" t="e">
        <f>AND('Planilla_General_07-12-2012_8_3'!B1312,"AAAAAG9s+xE=")</f>
        <v>#VALUE!</v>
      </c>
      <c r="S88" t="e">
        <f>AND('Planilla_General_07-12-2012_8_3'!C1312,"AAAAAG9s+xI=")</f>
        <v>#VALUE!</v>
      </c>
      <c r="T88" t="e">
        <f>AND('Planilla_General_07-12-2012_8_3'!D1312,"AAAAAG9s+xM=")</f>
        <v>#VALUE!</v>
      </c>
      <c r="U88" t="e">
        <f>AND('Planilla_General_07-12-2012_8_3'!E1312,"AAAAAG9s+xQ=")</f>
        <v>#VALUE!</v>
      </c>
      <c r="V88" t="e">
        <f>AND('Planilla_General_07-12-2012_8_3'!F1312,"AAAAAG9s+xU=")</f>
        <v>#VALUE!</v>
      </c>
      <c r="W88" t="e">
        <f>AND('Planilla_General_07-12-2012_8_3'!G1312,"AAAAAG9s+xY=")</f>
        <v>#VALUE!</v>
      </c>
      <c r="X88" t="e">
        <f>AND('Planilla_General_07-12-2012_8_3'!H1312,"AAAAAG9s+xc=")</f>
        <v>#VALUE!</v>
      </c>
      <c r="Y88" t="e">
        <f>AND('Planilla_General_07-12-2012_8_3'!I1312,"AAAAAG9s+xg=")</f>
        <v>#VALUE!</v>
      </c>
      <c r="Z88" t="e">
        <f>AND('Planilla_General_07-12-2012_8_3'!J1312,"AAAAAG9s+xk=")</f>
        <v>#VALUE!</v>
      </c>
      <c r="AA88" t="e">
        <f>AND('Planilla_General_07-12-2012_8_3'!K1312,"AAAAAG9s+xo=")</f>
        <v>#VALUE!</v>
      </c>
      <c r="AB88" t="e">
        <f>AND('Planilla_General_07-12-2012_8_3'!L1312,"AAAAAG9s+xs=")</f>
        <v>#VALUE!</v>
      </c>
      <c r="AC88" t="e">
        <f>AND('Planilla_General_07-12-2012_8_3'!M1312,"AAAAAG9s+xw=")</f>
        <v>#VALUE!</v>
      </c>
      <c r="AD88" t="e">
        <f>AND('Planilla_General_07-12-2012_8_3'!N1312,"AAAAAG9s+x0=")</f>
        <v>#VALUE!</v>
      </c>
      <c r="AE88" t="e">
        <f>AND('Planilla_General_07-12-2012_8_3'!O1312,"AAAAAG9s+x4=")</f>
        <v>#VALUE!</v>
      </c>
      <c r="AF88" t="e">
        <f>AND('Planilla_General_07-12-2012_8_3'!P1312,"AAAAAG9s+x8=")</f>
        <v>#VALUE!</v>
      </c>
      <c r="AG88">
        <f>IF('Planilla_General_07-12-2012_8_3'!1313:1313,"AAAAAG9s+yA=",0)</f>
        <v>0</v>
      </c>
      <c r="AH88" t="e">
        <f>AND('Planilla_General_07-12-2012_8_3'!A1313,"AAAAAG9s+yE=")</f>
        <v>#VALUE!</v>
      </c>
      <c r="AI88" t="e">
        <f>AND('Planilla_General_07-12-2012_8_3'!B1313,"AAAAAG9s+yI=")</f>
        <v>#VALUE!</v>
      </c>
      <c r="AJ88" t="e">
        <f>AND('Planilla_General_07-12-2012_8_3'!C1313,"AAAAAG9s+yM=")</f>
        <v>#VALUE!</v>
      </c>
      <c r="AK88" t="e">
        <f>AND('Planilla_General_07-12-2012_8_3'!D1313,"AAAAAG9s+yQ=")</f>
        <v>#VALUE!</v>
      </c>
      <c r="AL88" t="e">
        <f>AND('Planilla_General_07-12-2012_8_3'!E1313,"AAAAAG9s+yU=")</f>
        <v>#VALUE!</v>
      </c>
      <c r="AM88" t="e">
        <f>AND('Planilla_General_07-12-2012_8_3'!F1313,"AAAAAG9s+yY=")</f>
        <v>#VALUE!</v>
      </c>
      <c r="AN88" t="e">
        <f>AND('Planilla_General_07-12-2012_8_3'!G1313,"AAAAAG9s+yc=")</f>
        <v>#VALUE!</v>
      </c>
      <c r="AO88" t="e">
        <f>AND('Planilla_General_07-12-2012_8_3'!H1313,"AAAAAG9s+yg=")</f>
        <v>#VALUE!</v>
      </c>
      <c r="AP88" t="e">
        <f>AND('Planilla_General_07-12-2012_8_3'!I1313,"AAAAAG9s+yk=")</f>
        <v>#VALUE!</v>
      </c>
      <c r="AQ88" t="e">
        <f>AND('Planilla_General_07-12-2012_8_3'!J1313,"AAAAAG9s+yo=")</f>
        <v>#VALUE!</v>
      </c>
      <c r="AR88" t="e">
        <f>AND('Planilla_General_07-12-2012_8_3'!K1313,"AAAAAG9s+ys=")</f>
        <v>#VALUE!</v>
      </c>
      <c r="AS88" t="e">
        <f>AND('Planilla_General_07-12-2012_8_3'!L1313,"AAAAAG9s+yw=")</f>
        <v>#VALUE!</v>
      </c>
      <c r="AT88" t="e">
        <f>AND('Planilla_General_07-12-2012_8_3'!M1313,"AAAAAG9s+y0=")</f>
        <v>#VALUE!</v>
      </c>
      <c r="AU88" t="e">
        <f>AND('Planilla_General_07-12-2012_8_3'!N1313,"AAAAAG9s+y4=")</f>
        <v>#VALUE!</v>
      </c>
      <c r="AV88" t="e">
        <f>AND('Planilla_General_07-12-2012_8_3'!O1313,"AAAAAG9s+y8=")</f>
        <v>#VALUE!</v>
      </c>
      <c r="AW88" t="e">
        <f>AND('Planilla_General_07-12-2012_8_3'!P1313,"AAAAAG9s+zA=")</f>
        <v>#VALUE!</v>
      </c>
      <c r="AX88">
        <f>IF('Planilla_General_07-12-2012_8_3'!1314:1314,"AAAAAG9s+zE=",0)</f>
        <v>0</v>
      </c>
      <c r="AY88" t="e">
        <f>AND('Planilla_General_07-12-2012_8_3'!A1314,"AAAAAG9s+zI=")</f>
        <v>#VALUE!</v>
      </c>
      <c r="AZ88" t="e">
        <f>AND('Planilla_General_07-12-2012_8_3'!B1314,"AAAAAG9s+zM=")</f>
        <v>#VALUE!</v>
      </c>
      <c r="BA88" t="e">
        <f>AND('Planilla_General_07-12-2012_8_3'!C1314,"AAAAAG9s+zQ=")</f>
        <v>#VALUE!</v>
      </c>
      <c r="BB88" t="e">
        <f>AND('Planilla_General_07-12-2012_8_3'!D1314,"AAAAAG9s+zU=")</f>
        <v>#VALUE!</v>
      </c>
      <c r="BC88" t="e">
        <f>AND('Planilla_General_07-12-2012_8_3'!E1314,"AAAAAG9s+zY=")</f>
        <v>#VALUE!</v>
      </c>
      <c r="BD88" t="e">
        <f>AND('Planilla_General_07-12-2012_8_3'!F1314,"AAAAAG9s+zc=")</f>
        <v>#VALUE!</v>
      </c>
      <c r="BE88" t="e">
        <f>AND('Planilla_General_07-12-2012_8_3'!G1314,"AAAAAG9s+zg=")</f>
        <v>#VALUE!</v>
      </c>
      <c r="BF88" t="e">
        <f>AND('Planilla_General_07-12-2012_8_3'!H1314,"AAAAAG9s+zk=")</f>
        <v>#VALUE!</v>
      </c>
      <c r="BG88" t="e">
        <f>AND('Planilla_General_07-12-2012_8_3'!I1314,"AAAAAG9s+zo=")</f>
        <v>#VALUE!</v>
      </c>
      <c r="BH88" t="e">
        <f>AND('Planilla_General_07-12-2012_8_3'!J1314,"AAAAAG9s+zs=")</f>
        <v>#VALUE!</v>
      </c>
      <c r="BI88" t="e">
        <f>AND('Planilla_General_07-12-2012_8_3'!K1314,"AAAAAG9s+zw=")</f>
        <v>#VALUE!</v>
      </c>
      <c r="BJ88" t="e">
        <f>AND('Planilla_General_07-12-2012_8_3'!L1314,"AAAAAG9s+z0=")</f>
        <v>#VALUE!</v>
      </c>
      <c r="BK88" t="e">
        <f>AND('Planilla_General_07-12-2012_8_3'!M1314,"AAAAAG9s+z4=")</f>
        <v>#VALUE!</v>
      </c>
      <c r="BL88" t="e">
        <f>AND('Planilla_General_07-12-2012_8_3'!N1314,"AAAAAG9s+z8=")</f>
        <v>#VALUE!</v>
      </c>
      <c r="BM88" t="e">
        <f>AND('Planilla_General_07-12-2012_8_3'!O1314,"AAAAAG9s+0A=")</f>
        <v>#VALUE!</v>
      </c>
      <c r="BN88" t="e">
        <f>AND('Planilla_General_07-12-2012_8_3'!P1314,"AAAAAG9s+0E=")</f>
        <v>#VALUE!</v>
      </c>
      <c r="BO88">
        <f>IF('Planilla_General_07-12-2012_8_3'!1315:1315,"AAAAAG9s+0I=",0)</f>
        <v>0</v>
      </c>
      <c r="BP88" t="e">
        <f>AND('Planilla_General_07-12-2012_8_3'!A1315,"AAAAAG9s+0M=")</f>
        <v>#VALUE!</v>
      </c>
      <c r="BQ88" t="e">
        <f>AND('Planilla_General_07-12-2012_8_3'!B1315,"AAAAAG9s+0Q=")</f>
        <v>#VALUE!</v>
      </c>
      <c r="BR88" t="e">
        <f>AND('Planilla_General_07-12-2012_8_3'!C1315,"AAAAAG9s+0U=")</f>
        <v>#VALUE!</v>
      </c>
      <c r="BS88" t="e">
        <f>AND('Planilla_General_07-12-2012_8_3'!D1315,"AAAAAG9s+0Y=")</f>
        <v>#VALUE!</v>
      </c>
      <c r="BT88" t="e">
        <f>AND('Planilla_General_07-12-2012_8_3'!E1315,"AAAAAG9s+0c=")</f>
        <v>#VALUE!</v>
      </c>
      <c r="BU88" t="e">
        <f>AND('Planilla_General_07-12-2012_8_3'!F1315,"AAAAAG9s+0g=")</f>
        <v>#VALUE!</v>
      </c>
      <c r="BV88" t="e">
        <f>AND('Planilla_General_07-12-2012_8_3'!G1315,"AAAAAG9s+0k=")</f>
        <v>#VALUE!</v>
      </c>
      <c r="BW88" t="e">
        <f>AND('Planilla_General_07-12-2012_8_3'!H1315,"AAAAAG9s+0o=")</f>
        <v>#VALUE!</v>
      </c>
      <c r="BX88" t="e">
        <f>AND('Planilla_General_07-12-2012_8_3'!I1315,"AAAAAG9s+0s=")</f>
        <v>#VALUE!</v>
      </c>
      <c r="BY88" t="e">
        <f>AND('Planilla_General_07-12-2012_8_3'!J1315,"AAAAAG9s+0w=")</f>
        <v>#VALUE!</v>
      </c>
      <c r="BZ88" t="e">
        <f>AND('Planilla_General_07-12-2012_8_3'!K1315,"AAAAAG9s+00=")</f>
        <v>#VALUE!</v>
      </c>
      <c r="CA88" t="e">
        <f>AND('Planilla_General_07-12-2012_8_3'!L1315,"AAAAAG9s+04=")</f>
        <v>#VALUE!</v>
      </c>
      <c r="CB88" t="e">
        <f>AND('Planilla_General_07-12-2012_8_3'!M1315,"AAAAAG9s+08=")</f>
        <v>#VALUE!</v>
      </c>
      <c r="CC88" t="e">
        <f>AND('Planilla_General_07-12-2012_8_3'!N1315,"AAAAAG9s+1A=")</f>
        <v>#VALUE!</v>
      </c>
      <c r="CD88" t="e">
        <f>AND('Planilla_General_07-12-2012_8_3'!O1315,"AAAAAG9s+1E=")</f>
        <v>#VALUE!</v>
      </c>
      <c r="CE88" t="e">
        <f>AND('Planilla_General_07-12-2012_8_3'!P1315,"AAAAAG9s+1I=")</f>
        <v>#VALUE!</v>
      </c>
      <c r="CF88">
        <f>IF('Planilla_General_07-12-2012_8_3'!1316:1316,"AAAAAG9s+1M=",0)</f>
        <v>0</v>
      </c>
      <c r="CG88" t="e">
        <f>AND('Planilla_General_07-12-2012_8_3'!A1316,"AAAAAG9s+1Q=")</f>
        <v>#VALUE!</v>
      </c>
      <c r="CH88" t="e">
        <f>AND('Planilla_General_07-12-2012_8_3'!B1316,"AAAAAG9s+1U=")</f>
        <v>#VALUE!</v>
      </c>
      <c r="CI88" t="e">
        <f>AND('Planilla_General_07-12-2012_8_3'!C1316,"AAAAAG9s+1Y=")</f>
        <v>#VALUE!</v>
      </c>
      <c r="CJ88" t="e">
        <f>AND('Planilla_General_07-12-2012_8_3'!D1316,"AAAAAG9s+1c=")</f>
        <v>#VALUE!</v>
      </c>
      <c r="CK88" t="e">
        <f>AND('Planilla_General_07-12-2012_8_3'!E1316,"AAAAAG9s+1g=")</f>
        <v>#VALUE!</v>
      </c>
      <c r="CL88" t="e">
        <f>AND('Planilla_General_07-12-2012_8_3'!F1316,"AAAAAG9s+1k=")</f>
        <v>#VALUE!</v>
      </c>
      <c r="CM88" t="e">
        <f>AND('Planilla_General_07-12-2012_8_3'!G1316,"AAAAAG9s+1o=")</f>
        <v>#VALUE!</v>
      </c>
      <c r="CN88" t="e">
        <f>AND('Planilla_General_07-12-2012_8_3'!H1316,"AAAAAG9s+1s=")</f>
        <v>#VALUE!</v>
      </c>
      <c r="CO88" t="e">
        <f>AND('Planilla_General_07-12-2012_8_3'!I1316,"AAAAAG9s+1w=")</f>
        <v>#VALUE!</v>
      </c>
      <c r="CP88" t="e">
        <f>AND('Planilla_General_07-12-2012_8_3'!J1316,"AAAAAG9s+10=")</f>
        <v>#VALUE!</v>
      </c>
      <c r="CQ88" t="e">
        <f>AND('Planilla_General_07-12-2012_8_3'!K1316,"AAAAAG9s+14=")</f>
        <v>#VALUE!</v>
      </c>
      <c r="CR88" t="e">
        <f>AND('Planilla_General_07-12-2012_8_3'!L1316,"AAAAAG9s+18=")</f>
        <v>#VALUE!</v>
      </c>
      <c r="CS88" t="e">
        <f>AND('Planilla_General_07-12-2012_8_3'!M1316,"AAAAAG9s+2A=")</f>
        <v>#VALUE!</v>
      </c>
      <c r="CT88" t="e">
        <f>AND('Planilla_General_07-12-2012_8_3'!N1316,"AAAAAG9s+2E=")</f>
        <v>#VALUE!</v>
      </c>
      <c r="CU88" t="e">
        <f>AND('Planilla_General_07-12-2012_8_3'!O1316,"AAAAAG9s+2I=")</f>
        <v>#VALUE!</v>
      </c>
      <c r="CV88" t="e">
        <f>AND('Planilla_General_07-12-2012_8_3'!P1316,"AAAAAG9s+2M=")</f>
        <v>#VALUE!</v>
      </c>
      <c r="CW88">
        <f>IF('Planilla_General_07-12-2012_8_3'!1317:1317,"AAAAAG9s+2Q=",0)</f>
        <v>0</v>
      </c>
      <c r="CX88" t="e">
        <f>AND('Planilla_General_07-12-2012_8_3'!A1317,"AAAAAG9s+2U=")</f>
        <v>#VALUE!</v>
      </c>
      <c r="CY88" t="e">
        <f>AND('Planilla_General_07-12-2012_8_3'!B1317,"AAAAAG9s+2Y=")</f>
        <v>#VALUE!</v>
      </c>
      <c r="CZ88" t="e">
        <f>AND('Planilla_General_07-12-2012_8_3'!C1317,"AAAAAG9s+2c=")</f>
        <v>#VALUE!</v>
      </c>
      <c r="DA88" t="e">
        <f>AND('Planilla_General_07-12-2012_8_3'!D1317,"AAAAAG9s+2g=")</f>
        <v>#VALUE!</v>
      </c>
      <c r="DB88" t="e">
        <f>AND('Planilla_General_07-12-2012_8_3'!E1317,"AAAAAG9s+2k=")</f>
        <v>#VALUE!</v>
      </c>
      <c r="DC88" t="e">
        <f>AND('Planilla_General_07-12-2012_8_3'!F1317,"AAAAAG9s+2o=")</f>
        <v>#VALUE!</v>
      </c>
      <c r="DD88" t="e">
        <f>AND('Planilla_General_07-12-2012_8_3'!G1317,"AAAAAG9s+2s=")</f>
        <v>#VALUE!</v>
      </c>
      <c r="DE88" t="e">
        <f>AND('Planilla_General_07-12-2012_8_3'!H1317,"AAAAAG9s+2w=")</f>
        <v>#VALUE!</v>
      </c>
      <c r="DF88" t="e">
        <f>AND('Planilla_General_07-12-2012_8_3'!I1317,"AAAAAG9s+20=")</f>
        <v>#VALUE!</v>
      </c>
      <c r="DG88" t="e">
        <f>AND('Planilla_General_07-12-2012_8_3'!J1317,"AAAAAG9s+24=")</f>
        <v>#VALUE!</v>
      </c>
      <c r="DH88" t="e">
        <f>AND('Planilla_General_07-12-2012_8_3'!K1317,"AAAAAG9s+28=")</f>
        <v>#VALUE!</v>
      </c>
      <c r="DI88" t="e">
        <f>AND('Planilla_General_07-12-2012_8_3'!L1317,"AAAAAG9s+3A=")</f>
        <v>#VALUE!</v>
      </c>
      <c r="DJ88" t="e">
        <f>AND('Planilla_General_07-12-2012_8_3'!M1317,"AAAAAG9s+3E=")</f>
        <v>#VALUE!</v>
      </c>
      <c r="DK88" t="e">
        <f>AND('Planilla_General_07-12-2012_8_3'!N1317,"AAAAAG9s+3I=")</f>
        <v>#VALUE!</v>
      </c>
      <c r="DL88" t="e">
        <f>AND('Planilla_General_07-12-2012_8_3'!O1317,"AAAAAG9s+3M=")</f>
        <v>#VALUE!</v>
      </c>
      <c r="DM88" t="e">
        <f>AND('Planilla_General_07-12-2012_8_3'!P1317,"AAAAAG9s+3Q=")</f>
        <v>#VALUE!</v>
      </c>
      <c r="DN88">
        <f>IF('Planilla_General_07-12-2012_8_3'!1318:1318,"AAAAAG9s+3U=",0)</f>
        <v>0</v>
      </c>
      <c r="DO88" t="e">
        <f>AND('Planilla_General_07-12-2012_8_3'!A1318,"AAAAAG9s+3Y=")</f>
        <v>#VALUE!</v>
      </c>
      <c r="DP88" t="e">
        <f>AND('Planilla_General_07-12-2012_8_3'!B1318,"AAAAAG9s+3c=")</f>
        <v>#VALUE!</v>
      </c>
      <c r="DQ88" t="e">
        <f>AND('Planilla_General_07-12-2012_8_3'!C1318,"AAAAAG9s+3g=")</f>
        <v>#VALUE!</v>
      </c>
      <c r="DR88" t="e">
        <f>AND('Planilla_General_07-12-2012_8_3'!D1318,"AAAAAG9s+3k=")</f>
        <v>#VALUE!</v>
      </c>
      <c r="DS88" t="e">
        <f>AND('Planilla_General_07-12-2012_8_3'!E1318,"AAAAAG9s+3o=")</f>
        <v>#VALUE!</v>
      </c>
      <c r="DT88" t="e">
        <f>AND('Planilla_General_07-12-2012_8_3'!F1318,"AAAAAG9s+3s=")</f>
        <v>#VALUE!</v>
      </c>
      <c r="DU88" t="e">
        <f>AND('Planilla_General_07-12-2012_8_3'!G1318,"AAAAAG9s+3w=")</f>
        <v>#VALUE!</v>
      </c>
      <c r="DV88" t="e">
        <f>AND('Planilla_General_07-12-2012_8_3'!H1318,"AAAAAG9s+30=")</f>
        <v>#VALUE!</v>
      </c>
      <c r="DW88" t="e">
        <f>AND('Planilla_General_07-12-2012_8_3'!I1318,"AAAAAG9s+34=")</f>
        <v>#VALUE!</v>
      </c>
      <c r="DX88" t="e">
        <f>AND('Planilla_General_07-12-2012_8_3'!J1318,"AAAAAG9s+38=")</f>
        <v>#VALUE!</v>
      </c>
      <c r="DY88" t="e">
        <f>AND('Planilla_General_07-12-2012_8_3'!K1318,"AAAAAG9s+4A=")</f>
        <v>#VALUE!</v>
      </c>
      <c r="DZ88" t="e">
        <f>AND('Planilla_General_07-12-2012_8_3'!L1318,"AAAAAG9s+4E=")</f>
        <v>#VALUE!</v>
      </c>
      <c r="EA88" t="e">
        <f>AND('Planilla_General_07-12-2012_8_3'!M1318,"AAAAAG9s+4I=")</f>
        <v>#VALUE!</v>
      </c>
      <c r="EB88" t="e">
        <f>AND('Planilla_General_07-12-2012_8_3'!N1318,"AAAAAG9s+4M=")</f>
        <v>#VALUE!</v>
      </c>
      <c r="EC88" t="e">
        <f>AND('Planilla_General_07-12-2012_8_3'!O1318,"AAAAAG9s+4Q=")</f>
        <v>#VALUE!</v>
      </c>
      <c r="ED88" t="e">
        <f>AND('Planilla_General_07-12-2012_8_3'!P1318,"AAAAAG9s+4U=")</f>
        <v>#VALUE!</v>
      </c>
      <c r="EE88">
        <f>IF('Planilla_General_07-12-2012_8_3'!1319:1319,"AAAAAG9s+4Y=",0)</f>
        <v>0</v>
      </c>
      <c r="EF88" t="e">
        <f>AND('Planilla_General_07-12-2012_8_3'!A1319,"AAAAAG9s+4c=")</f>
        <v>#VALUE!</v>
      </c>
      <c r="EG88" t="e">
        <f>AND('Planilla_General_07-12-2012_8_3'!B1319,"AAAAAG9s+4g=")</f>
        <v>#VALUE!</v>
      </c>
      <c r="EH88" t="e">
        <f>AND('Planilla_General_07-12-2012_8_3'!C1319,"AAAAAG9s+4k=")</f>
        <v>#VALUE!</v>
      </c>
      <c r="EI88" t="e">
        <f>AND('Planilla_General_07-12-2012_8_3'!D1319,"AAAAAG9s+4o=")</f>
        <v>#VALUE!</v>
      </c>
      <c r="EJ88" t="e">
        <f>AND('Planilla_General_07-12-2012_8_3'!E1319,"AAAAAG9s+4s=")</f>
        <v>#VALUE!</v>
      </c>
      <c r="EK88" t="e">
        <f>AND('Planilla_General_07-12-2012_8_3'!F1319,"AAAAAG9s+4w=")</f>
        <v>#VALUE!</v>
      </c>
      <c r="EL88" t="e">
        <f>AND('Planilla_General_07-12-2012_8_3'!G1319,"AAAAAG9s+40=")</f>
        <v>#VALUE!</v>
      </c>
      <c r="EM88" t="e">
        <f>AND('Planilla_General_07-12-2012_8_3'!H1319,"AAAAAG9s+44=")</f>
        <v>#VALUE!</v>
      </c>
      <c r="EN88" t="e">
        <f>AND('Planilla_General_07-12-2012_8_3'!I1319,"AAAAAG9s+48=")</f>
        <v>#VALUE!</v>
      </c>
      <c r="EO88" t="e">
        <f>AND('Planilla_General_07-12-2012_8_3'!J1319,"AAAAAG9s+5A=")</f>
        <v>#VALUE!</v>
      </c>
      <c r="EP88" t="e">
        <f>AND('Planilla_General_07-12-2012_8_3'!K1319,"AAAAAG9s+5E=")</f>
        <v>#VALUE!</v>
      </c>
      <c r="EQ88" t="e">
        <f>AND('Planilla_General_07-12-2012_8_3'!L1319,"AAAAAG9s+5I=")</f>
        <v>#VALUE!</v>
      </c>
      <c r="ER88" t="e">
        <f>AND('Planilla_General_07-12-2012_8_3'!M1319,"AAAAAG9s+5M=")</f>
        <v>#VALUE!</v>
      </c>
      <c r="ES88" t="e">
        <f>AND('Planilla_General_07-12-2012_8_3'!N1319,"AAAAAG9s+5Q=")</f>
        <v>#VALUE!</v>
      </c>
      <c r="ET88" t="e">
        <f>AND('Planilla_General_07-12-2012_8_3'!O1319,"AAAAAG9s+5U=")</f>
        <v>#VALUE!</v>
      </c>
      <c r="EU88" t="e">
        <f>AND('Planilla_General_07-12-2012_8_3'!P1319,"AAAAAG9s+5Y=")</f>
        <v>#VALUE!</v>
      </c>
      <c r="EV88">
        <f>IF('Planilla_General_07-12-2012_8_3'!1320:1320,"AAAAAG9s+5c=",0)</f>
        <v>0</v>
      </c>
      <c r="EW88" t="e">
        <f>AND('Planilla_General_07-12-2012_8_3'!A1320,"AAAAAG9s+5g=")</f>
        <v>#VALUE!</v>
      </c>
      <c r="EX88" t="e">
        <f>AND('Planilla_General_07-12-2012_8_3'!B1320,"AAAAAG9s+5k=")</f>
        <v>#VALUE!</v>
      </c>
      <c r="EY88" t="e">
        <f>AND('Planilla_General_07-12-2012_8_3'!C1320,"AAAAAG9s+5o=")</f>
        <v>#VALUE!</v>
      </c>
      <c r="EZ88" t="e">
        <f>AND('Planilla_General_07-12-2012_8_3'!D1320,"AAAAAG9s+5s=")</f>
        <v>#VALUE!</v>
      </c>
      <c r="FA88" t="e">
        <f>AND('Planilla_General_07-12-2012_8_3'!E1320,"AAAAAG9s+5w=")</f>
        <v>#VALUE!</v>
      </c>
      <c r="FB88" t="e">
        <f>AND('Planilla_General_07-12-2012_8_3'!F1320,"AAAAAG9s+50=")</f>
        <v>#VALUE!</v>
      </c>
      <c r="FC88" t="e">
        <f>AND('Planilla_General_07-12-2012_8_3'!G1320,"AAAAAG9s+54=")</f>
        <v>#VALUE!</v>
      </c>
      <c r="FD88" t="e">
        <f>AND('Planilla_General_07-12-2012_8_3'!H1320,"AAAAAG9s+58=")</f>
        <v>#VALUE!</v>
      </c>
      <c r="FE88" t="e">
        <f>AND('Planilla_General_07-12-2012_8_3'!I1320,"AAAAAG9s+6A=")</f>
        <v>#VALUE!</v>
      </c>
      <c r="FF88" t="e">
        <f>AND('Planilla_General_07-12-2012_8_3'!J1320,"AAAAAG9s+6E=")</f>
        <v>#VALUE!</v>
      </c>
      <c r="FG88" t="e">
        <f>AND('Planilla_General_07-12-2012_8_3'!K1320,"AAAAAG9s+6I=")</f>
        <v>#VALUE!</v>
      </c>
      <c r="FH88" t="e">
        <f>AND('Planilla_General_07-12-2012_8_3'!L1320,"AAAAAG9s+6M=")</f>
        <v>#VALUE!</v>
      </c>
      <c r="FI88" t="e">
        <f>AND('Planilla_General_07-12-2012_8_3'!M1320,"AAAAAG9s+6Q=")</f>
        <v>#VALUE!</v>
      </c>
      <c r="FJ88" t="e">
        <f>AND('Planilla_General_07-12-2012_8_3'!N1320,"AAAAAG9s+6U=")</f>
        <v>#VALUE!</v>
      </c>
      <c r="FK88" t="e">
        <f>AND('Planilla_General_07-12-2012_8_3'!O1320,"AAAAAG9s+6Y=")</f>
        <v>#VALUE!</v>
      </c>
      <c r="FL88" t="e">
        <f>AND('Planilla_General_07-12-2012_8_3'!P1320,"AAAAAG9s+6c=")</f>
        <v>#VALUE!</v>
      </c>
      <c r="FM88">
        <f>IF('Planilla_General_07-12-2012_8_3'!1321:1321,"AAAAAG9s+6g=",0)</f>
        <v>0</v>
      </c>
      <c r="FN88" t="e">
        <f>AND('Planilla_General_07-12-2012_8_3'!A1321,"AAAAAG9s+6k=")</f>
        <v>#VALUE!</v>
      </c>
      <c r="FO88" t="e">
        <f>AND('Planilla_General_07-12-2012_8_3'!B1321,"AAAAAG9s+6o=")</f>
        <v>#VALUE!</v>
      </c>
      <c r="FP88" t="e">
        <f>AND('Planilla_General_07-12-2012_8_3'!C1321,"AAAAAG9s+6s=")</f>
        <v>#VALUE!</v>
      </c>
      <c r="FQ88" t="e">
        <f>AND('Planilla_General_07-12-2012_8_3'!D1321,"AAAAAG9s+6w=")</f>
        <v>#VALUE!</v>
      </c>
      <c r="FR88" t="e">
        <f>AND('Planilla_General_07-12-2012_8_3'!E1321,"AAAAAG9s+60=")</f>
        <v>#VALUE!</v>
      </c>
      <c r="FS88" t="e">
        <f>AND('Planilla_General_07-12-2012_8_3'!F1321,"AAAAAG9s+64=")</f>
        <v>#VALUE!</v>
      </c>
      <c r="FT88" t="e">
        <f>AND('Planilla_General_07-12-2012_8_3'!G1321,"AAAAAG9s+68=")</f>
        <v>#VALUE!</v>
      </c>
      <c r="FU88" t="e">
        <f>AND('Planilla_General_07-12-2012_8_3'!H1321,"AAAAAG9s+7A=")</f>
        <v>#VALUE!</v>
      </c>
      <c r="FV88" t="e">
        <f>AND('Planilla_General_07-12-2012_8_3'!I1321,"AAAAAG9s+7E=")</f>
        <v>#VALUE!</v>
      </c>
      <c r="FW88" t="e">
        <f>AND('Planilla_General_07-12-2012_8_3'!J1321,"AAAAAG9s+7I=")</f>
        <v>#VALUE!</v>
      </c>
      <c r="FX88" t="e">
        <f>AND('Planilla_General_07-12-2012_8_3'!K1321,"AAAAAG9s+7M=")</f>
        <v>#VALUE!</v>
      </c>
      <c r="FY88" t="e">
        <f>AND('Planilla_General_07-12-2012_8_3'!L1321,"AAAAAG9s+7Q=")</f>
        <v>#VALUE!</v>
      </c>
      <c r="FZ88" t="e">
        <f>AND('Planilla_General_07-12-2012_8_3'!M1321,"AAAAAG9s+7U=")</f>
        <v>#VALUE!</v>
      </c>
      <c r="GA88" t="e">
        <f>AND('Planilla_General_07-12-2012_8_3'!N1321,"AAAAAG9s+7Y=")</f>
        <v>#VALUE!</v>
      </c>
      <c r="GB88" t="e">
        <f>AND('Planilla_General_07-12-2012_8_3'!O1321,"AAAAAG9s+7c=")</f>
        <v>#VALUE!</v>
      </c>
      <c r="GC88" t="e">
        <f>AND('Planilla_General_07-12-2012_8_3'!P1321,"AAAAAG9s+7g=")</f>
        <v>#VALUE!</v>
      </c>
      <c r="GD88">
        <f>IF('Planilla_General_07-12-2012_8_3'!1322:1322,"AAAAAG9s+7k=",0)</f>
        <v>0</v>
      </c>
      <c r="GE88" t="e">
        <f>AND('Planilla_General_07-12-2012_8_3'!A1322,"AAAAAG9s+7o=")</f>
        <v>#VALUE!</v>
      </c>
      <c r="GF88" t="e">
        <f>AND('Planilla_General_07-12-2012_8_3'!B1322,"AAAAAG9s+7s=")</f>
        <v>#VALUE!</v>
      </c>
      <c r="GG88" t="e">
        <f>AND('Planilla_General_07-12-2012_8_3'!C1322,"AAAAAG9s+7w=")</f>
        <v>#VALUE!</v>
      </c>
      <c r="GH88" t="e">
        <f>AND('Planilla_General_07-12-2012_8_3'!D1322,"AAAAAG9s+70=")</f>
        <v>#VALUE!</v>
      </c>
      <c r="GI88" t="e">
        <f>AND('Planilla_General_07-12-2012_8_3'!E1322,"AAAAAG9s+74=")</f>
        <v>#VALUE!</v>
      </c>
      <c r="GJ88" t="e">
        <f>AND('Planilla_General_07-12-2012_8_3'!F1322,"AAAAAG9s+78=")</f>
        <v>#VALUE!</v>
      </c>
      <c r="GK88" t="e">
        <f>AND('Planilla_General_07-12-2012_8_3'!G1322,"AAAAAG9s+8A=")</f>
        <v>#VALUE!</v>
      </c>
      <c r="GL88" t="e">
        <f>AND('Planilla_General_07-12-2012_8_3'!H1322,"AAAAAG9s+8E=")</f>
        <v>#VALUE!</v>
      </c>
      <c r="GM88" t="e">
        <f>AND('Planilla_General_07-12-2012_8_3'!I1322,"AAAAAG9s+8I=")</f>
        <v>#VALUE!</v>
      </c>
      <c r="GN88" t="e">
        <f>AND('Planilla_General_07-12-2012_8_3'!J1322,"AAAAAG9s+8M=")</f>
        <v>#VALUE!</v>
      </c>
      <c r="GO88" t="e">
        <f>AND('Planilla_General_07-12-2012_8_3'!K1322,"AAAAAG9s+8Q=")</f>
        <v>#VALUE!</v>
      </c>
      <c r="GP88" t="e">
        <f>AND('Planilla_General_07-12-2012_8_3'!L1322,"AAAAAG9s+8U=")</f>
        <v>#VALUE!</v>
      </c>
      <c r="GQ88" t="e">
        <f>AND('Planilla_General_07-12-2012_8_3'!M1322,"AAAAAG9s+8Y=")</f>
        <v>#VALUE!</v>
      </c>
      <c r="GR88" t="e">
        <f>AND('Planilla_General_07-12-2012_8_3'!N1322,"AAAAAG9s+8c=")</f>
        <v>#VALUE!</v>
      </c>
      <c r="GS88" t="e">
        <f>AND('Planilla_General_07-12-2012_8_3'!O1322,"AAAAAG9s+8g=")</f>
        <v>#VALUE!</v>
      </c>
      <c r="GT88" t="e">
        <f>AND('Planilla_General_07-12-2012_8_3'!P1322,"AAAAAG9s+8k=")</f>
        <v>#VALUE!</v>
      </c>
      <c r="GU88">
        <f>IF('Planilla_General_07-12-2012_8_3'!1323:1323,"AAAAAG9s+8o=",0)</f>
        <v>0</v>
      </c>
      <c r="GV88" t="e">
        <f>AND('Planilla_General_07-12-2012_8_3'!A1323,"AAAAAG9s+8s=")</f>
        <v>#VALUE!</v>
      </c>
      <c r="GW88" t="e">
        <f>AND('Planilla_General_07-12-2012_8_3'!B1323,"AAAAAG9s+8w=")</f>
        <v>#VALUE!</v>
      </c>
      <c r="GX88" t="e">
        <f>AND('Planilla_General_07-12-2012_8_3'!C1323,"AAAAAG9s+80=")</f>
        <v>#VALUE!</v>
      </c>
      <c r="GY88" t="e">
        <f>AND('Planilla_General_07-12-2012_8_3'!D1323,"AAAAAG9s+84=")</f>
        <v>#VALUE!</v>
      </c>
      <c r="GZ88" t="e">
        <f>AND('Planilla_General_07-12-2012_8_3'!E1323,"AAAAAG9s+88=")</f>
        <v>#VALUE!</v>
      </c>
      <c r="HA88" t="e">
        <f>AND('Planilla_General_07-12-2012_8_3'!F1323,"AAAAAG9s+9A=")</f>
        <v>#VALUE!</v>
      </c>
      <c r="HB88" t="e">
        <f>AND('Planilla_General_07-12-2012_8_3'!G1323,"AAAAAG9s+9E=")</f>
        <v>#VALUE!</v>
      </c>
      <c r="HC88" t="e">
        <f>AND('Planilla_General_07-12-2012_8_3'!H1323,"AAAAAG9s+9I=")</f>
        <v>#VALUE!</v>
      </c>
      <c r="HD88" t="e">
        <f>AND('Planilla_General_07-12-2012_8_3'!I1323,"AAAAAG9s+9M=")</f>
        <v>#VALUE!</v>
      </c>
      <c r="HE88" t="e">
        <f>AND('Planilla_General_07-12-2012_8_3'!J1323,"AAAAAG9s+9Q=")</f>
        <v>#VALUE!</v>
      </c>
      <c r="HF88" t="e">
        <f>AND('Planilla_General_07-12-2012_8_3'!K1323,"AAAAAG9s+9U=")</f>
        <v>#VALUE!</v>
      </c>
      <c r="HG88" t="e">
        <f>AND('Planilla_General_07-12-2012_8_3'!L1323,"AAAAAG9s+9Y=")</f>
        <v>#VALUE!</v>
      </c>
      <c r="HH88" t="e">
        <f>AND('Planilla_General_07-12-2012_8_3'!M1323,"AAAAAG9s+9c=")</f>
        <v>#VALUE!</v>
      </c>
      <c r="HI88" t="e">
        <f>AND('Planilla_General_07-12-2012_8_3'!N1323,"AAAAAG9s+9g=")</f>
        <v>#VALUE!</v>
      </c>
      <c r="HJ88" t="e">
        <f>AND('Planilla_General_07-12-2012_8_3'!O1323,"AAAAAG9s+9k=")</f>
        <v>#VALUE!</v>
      </c>
      <c r="HK88" t="e">
        <f>AND('Planilla_General_07-12-2012_8_3'!P1323,"AAAAAG9s+9o=")</f>
        <v>#VALUE!</v>
      </c>
      <c r="HL88">
        <f>IF('Planilla_General_07-12-2012_8_3'!1324:1324,"AAAAAG9s+9s=",0)</f>
        <v>0</v>
      </c>
      <c r="HM88" t="e">
        <f>AND('Planilla_General_07-12-2012_8_3'!A1324,"AAAAAG9s+9w=")</f>
        <v>#VALUE!</v>
      </c>
      <c r="HN88" t="e">
        <f>AND('Planilla_General_07-12-2012_8_3'!B1324,"AAAAAG9s+90=")</f>
        <v>#VALUE!</v>
      </c>
      <c r="HO88" t="e">
        <f>AND('Planilla_General_07-12-2012_8_3'!C1324,"AAAAAG9s+94=")</f>
        <v>#VALUE!</v>
      </c>
      <c r="HP88" t="e">
        <f>AND('Planilla_General_07-12-2012_8_3'!D1324,"AAAAAG9s+98=")</f>
        <v>#VALUE!</v>
      </c>
      <c r="HQ88" t="e">
        <f>AND('Planilla_General_07-12-2012_8_3'!E1324,"AAAAAG9s++A=")</f>
        <v>#VALUE!</v>
      </c>
      <c r="HR88" t="e">
        <f>AND('Planilla_General_07-12-2012_8_3'!F1324,"AAAAAG9s++E=")</f>
        <v>#VALUE!</v>
      </c>
      <c r="HS88" t="e">
        <f>AND('Planilla_General_07-12-2012_8_3'!G1324,"AAAAAG9s++I=")</f>
        <v>#VALUE!</v>
      </c>
      <c r="HT88" t="e">
        <f>AND('Planilla_General_07-12-2012_8_3'!H1324,"AAAAAG9s++M=")</f>
        <v>#VALUE!</v>
      </c>
      <c r="HU88" t="e">
        <f>AND('Planilla_General_07-12-2012_8_3'!I1324,"AAAAAG9s++Q=")</f>
        <v>#VALUE!</v>
      </c>
      <c r="HV88" t="e">
        <f>AND('Planilla_General_07-12-2012_8_3'!J1324,"AAAAAG9s++U=")</f>
        <v>#VALUE!</v>
      </c>
      <c r="HW88" t="e">
        <f>AND('Planilla_General_07-12-2012_8_3'!K1324,"AAAAAG9s++Y=")</f>
        <v>#VALUE!</v>
      </c>
      <c r="HX88" t="e">
        <f>AND('Planilla_General_07-12-2012_8_3'!L1324,"AAAAAG9s++c=")</f>
        <v>#VALUE!</v>
      </c>
      <c r="HY88" t="e">
        <f>AND('Planilla_General_07-12-2012_8_3'!M1324,"AAAAAG9s++g=")</f>
        <v>#VALUE!</v>
      </c>
      <c r="HZ88" t="e">
        <f>AND('Planilla_General_07-12-2012_8_3'!N1324,"AAAAAG9s++k=")</f>
        <v>#VALUE!</v>
      </c>
      <c r="IA88" t="e">
        <f>AND('Planilla_General_07-12-2012_8_3'!O1324,"AAAAAG9s++o=")</f>
        <v>#VALUE!</v>
      </c>
      <c r="IB88" t="e">
        <f>AND('Planilla_General_07-12-2012_8_3'!P1324,"AAAAAG9s++s=")</f>
        <v>#VALUE!</v>
      </c>
      <c r="IC88">
        <f>IF('Planilla_General_07-12-2012_8_3'!1325:1325,"AAAAAG9s++w=",0)</f>
        <v>0</v>
      </c>
      <c r="ID88" t="e">
        <f>AND('Planilla_General_07-12-2012_8_3'!A1325,"AAAAAG9s++0=")</f>
        <v>#VALUE!</v>
      </c>
      <c r="IE88" t="e">
        <f>AND('Planilla_General_07-12-2012_8_3'!B1325,"AAAAAG9s++4=")</f>
        <v>#VALUE!</v>
      </c>
      <c r="IF88" t="e">
        <f>AND('Planilla_General_07-12-2012_8_3'!C1325,"AAAAAG9s++8=")</f>
        <v>#VALUE!</v>
      </c>
      <c r="IG88" t="e">
        <f>AND('Planilla_General_07-12-2012_8_3'!D1325,"AAAAAG9s+/A=")</f>
        <v>#VALUE!</v>
      </c>
      <c r="IH88" t="e">
        <f>AND('Planilla_General_07-12-2012_8_3'!E1325,"AAAAAG9s+/E=")</f>
        <v>#VALUE!</v>
      </c>
      <c r="II88" t="e">
        <f>AND('Planilla_General_07-12-2012_8_3'!F1325,"AAAAAG9s+/I=")</f>
        <v>#VALUE!</v>
      </c>
      <c r="IJ88" t="e">
        <f>AND('Planilla_General_07-12-2012_8_3'!G1325,"AAAAAG9s+/M=")</f>
        <v>#VALUE!</v>
      </c>
      <c r="IK88" t="e">
        <f>AND('Planilla_General_07-12-2012_8_3'!H1325,"AAAAAG9s+/Q=")</f>
        <v>#VALUE!</v>
      </c>
      <c r="IL88" t="e">
        <f>AND('Planilla_General_07-12-2012_8_3'!I1325,"AAAAAG9s+/U=")</f>
        <v>#VALUE!</v>
      </c>
      <c r="IM88" t="e">
        <f>AND('Planilla_General_07-12-2012_8_3'!J1325,"AAAAAG9s+/Y=")</f>
        <v>#VALUE!</v>
      </c>
      <c r="IN88" t="e">
        <f>AND('Planilla_General_07-12-2012_8_3'!K1325,"AAAAAG9s+/c=")</f>
        <v>#VALUE!</v>
      </c>
      <c r="IO88" t="e">
        <f>AND('Planilla_General_07-12-2012_8_3'!L1325,"AAAAAG9s+/g=")</f>
        <v>#VALUE!</v>
      </c>
      <c r="IP88" t="e">
        <f>AND('Planilla_General_07-12-2012_8_3'!M1325,"AAAAAG9s+/k=")</f>
        <v>#VALUE!</v>
      </c>
      <c r="IQ88" t="e">
        <f>AND('Planilla_General_07-12-2012_8_3'!N1325,"AAAAAG9s+/o=")</f>
        <v>#VALUE!</v>
      </c>
      <c r="IR88" t="e">
        <f>AND('Planilla_General_07-12-2012_8_3'!O1325,"AAAAAG9s+/s=")</f>
        <v>#VALUE!</v>
      </c>
      <c r="IS88" t="e">
        <f>AND('Planilla_General_07-12-2012_8_3'!P1325,"AAAAAG9s+/w=")</f>
        <v>#VALUE!</v>
      </c>
      <c r="IT88">
        <f>IF('Planilla_General_07-12-2012_8_3'!1326:1326,"AAAAAG9s+/0=",0)</f>
        <v>0</v>
      </c>
      <c r="IU88" t="e">
        <f>AND('Planilla_General_07-12-2012_8_3'!A1326,"AAAAAG9s+/4=")</f>
        <v>#VALUE!</v>
      </c>
      <c r="IV88" t="e">
        <f>AND('Planilla_General_07-12-2012_8_3'!B1326,"AAAAAG9s+/8=")</f>
        <v>#VALUE!</v>
      </c>
    </row>
    <row r="89" spans="1:256" x14ac:dyDescent="0.25">
      <c r="A89" t="e">
        <f>AND('Planilla_General_07-12-2012_8_3'!C1326,"AAAAAF+X/gA=")</f>
        <v>#VALUE!</v>
      </c>
      <c r="B89" t="e">
        <f>AND('Planilla_General_07-12-2012_8_3'!D1326,"AAAAAF+X/gE=")</f>
        <v>#VALUE!</v>
      </c>
      <c r="C89" t="e">
        <f>AND('Planilla_General_07-12-2012_8_3'!E1326,"AAAAAF+X/gI=")</f>
        <v>#VALUE!</v>
      </c>
      <c r="D89" t="e">
        <f>AND('Planilla_General_07-12-2012_8_3'!F1326,"AAAAAF+X/gM=")</f>
        <v>#VALUE!</v>
      </c>
      <c r="E89" t="e">
        <f>AND('Planilla_General_07-12-2012_8_3'!G1326,"AAAAAF+X/gQ=")</f>
        <v>#VALUE!</v>
      </c>
      <c r="F89" t="e">
        <f>AND('Planilla_General_07-12-2012_8_3'!H1326,"AAAAAF+X/gU=")</f>
        <v>#VALUE!</v>
      </c>
      <c r="G89" t="e">
        <f>AND('Planilla_General_07-12-2012_8_3'!I1326,"AAAAAF+X/gY=")</f>
        <v>#VALUE!</v>
      </c>
      <c r="H89" t="e">
        <f>AND('Planilla_General_07-12-2012_8_3'!J1326,"AAAAAF+X/gc=")</f>
        <v>#VALUE!</v>
      </c>
      <c r="I89" t="e">
        <f>AND('Planilla_General_07-12-2012_8_3'!K1326,"AAAAAF+X/gg=")</f>
        <v>#VALUE!</v>
      </c>
      <c r="J89" t="e">
        <f>AND('Planilla_General_07-12-2012_8_3'!L1326,"AAAAAF+X/gk=")</f>
        <v>#VALUE!</v>
      </c>
      <c r="K89" t="e">
        <f>AND('Planilla_General_07-12-2012_8_3'!M1326,"AAAAAF+X/go=")</f>
        <v>#VALUE!</v>
      </c>
      <c r="L89" t="e">
        <f>AND('Planilla_General_07-12-2012_8_3'!N1326,"AAAAAF+X/gs=")</f>
        <v>#VALUE!</v>
      </c>
      <c r="M89" t="e">
        <f>AND('Planilla_General_07-12-2012_8_3'!O1326,"AAAAAF+X/gw=")</f>
        <v>#VALUE!</v>
      </c>
      <c r="N89" t="e">
        <f>AND('Planilla_General_07-12-2012_8_3'!P1326,"AAAAAF+X/g0=")</f>
        <v>#VALUE!</v>
      </c>
      <c r="O89" t="str">
        <f>IF('Planilla_General_07-12-2012_8_3'!1327:1327,"AAAAAF+X/g4=",0)</f>
        <v>AAAAAF+X/g4=</v>
      </c>
      <c r="P89" t="e">
        <f>AND('Planilla_General_07-12-2012_8_3'!A1327,"AAAAAF+X/g8=")</f>
        <v>#VALUE!</v>
      </c>
      <c r="Q89" t="e">
        <f>AND('Planilla_General_07-12-2012_8_3'!B1327,"AAAAAF+X/hA=")</f>
        <v>#VALUE!</v>
      </c>
      <c r="R89" t="e">
        <f>AND('Planilla_General_07-12-2012_8_3'!C1327,"AAAAAF+X/hE=")</f>
        <v>#VALUE!</v>
      </c>
      <c r="S89" t="e">
        <f>AND('Planilla_General_07-12-2012_8_3'!D1327,"AAAAAF+X/hI=")</f>
        <v>#VALUE!</v>
      </c>
      <c r="T89" t="e">
        <f>AND('Planilla_General_07-12-2012_8_3'!E1327,"AAAAAF+X/hM=")</f>
        <v>#VALUE!</v>
      </c>
      <c r="U89" t="e">
        <f>AND('Planilla_General_07-12-2012_8_3'!F1327,"AAAAAF+X/hQ=")</f>
        <v>#VALUE!</v>
      </c>
      <c r="V89" t="e">
        <f>AND('Planilla_General_07-12-2012_8_3'!G1327,"AAAAAF+X/hU=")</f>
        <v>#VALUE!</v>
      </c>
      <c r="W89" t="e">
        <f>AND('Planilla_General_07-12-2012_8_3'!H1327,"AAAAAF+X/hY=")</f>
        <v>#VALUE!</v>
      </c>
      <c r="X89" t="e">
        <f>AND('Planilla_General_07-12-2012_8_3'!I1327,"AAAAAF+X/hc=")</f>
        <v>#VALUE!</v>
      </c>
      <c r="Y89" t="e">
        <f>AND('Planilla_General_07-12-2012_8_3'!J1327,"AAAAAF+X/hg=")</f>
        <v>#VALUE!</v>
      </c>
      <c r="Z89" t="e">
        <f>AND('Planilla_General_07-12-2012_8_3'!K1327,"AAAAAF+X/hk=")</f>
        <v>#VALUE!</v>
      </c>
      <c r="AA89" t="e">
        <f>AND('Planilla_General_07-12-2012_8_3'!L1327,"AAAAAF+X/ho=")</f>
        <v>#VALUE!</v>
      </c>
      <c r="AB89" t="e">
        <f>AND('Planilla_General_07-12-2012_8_3'!M1327,"AAAAAF+X/hs=")</f>
        <v>#VALUE!</v>
      </c>
      <c r="AC89" t="e">
        <f>AND('Planilla_General_07-12-2012_8_3'!N1327,"AAAAAF+X/hw=")</f>
        <v>#VALUE!</v>
      </c>
      <c r="AD89" t="e">
        <f>AND('Planilla_General_07-12-2012_8_3'!O1327,"AAAAAF+X/h0=")</f>
        <v>#VALUE!</v>
      </c>
      <c r="AE89" t="e">
        <f>AND('Planilla_General_07-12-2012_8_3'!P1327,"AAAAAF+X/h4=")</f>
        <v>#VALUE!</v>
      </c>
      <c r="AF89">
        <f>IF('Planilla_General_07-12-2012_8_3'!1328:1328,"AAAAAF+X/h8=",0)</f>
        <v>0</v>
      </c>
      <c r="AG89" t="e">
        <f>AND('Planilla_General_07-12-2012_8_3'!A1328,"AAAAAF+X/iA=")</f>
        <v>#VALUE!</v>
      </c>
      <c r="AH89" t="e">
        <f>AND('Planilla_General_07-12-2012_8_3'!B1328,"AAAAAF+X/iE=")</f>
        <v>#VALUE!</v>
      </c>
      <c r="AI89" t="e">
        <f>AND('Planilla_General_07-12-2012_8_3'!C1328,"AAAAAF+X/iI=")</f>
        <v>#VALUE!</v>
      </c>
      <c r="AJ89" t="e">
        <f>AND('Planilla_General_07-12-2012_8_3'!D1328,"AAAAAF+X/iM=")</f>
        <v>#VALUE!</v>
      </c>
      <c r="AK89" t="e">
        <f>AND('Planilla_General_07-12-2012_8_3'!E1328,"AAAAAF+X/iQ=")</f>
        <v>#VALUE!</v>
      </c>
      <c r="AL89" t="e">
        <f>AND('Planilla_General_07-12-2012_8_3'!F1328,"AAAAAF+X/iU=")</f>
        <v>#VALUE!</v>
      </c>
      <c r="AM89" t="e">
        <f>AND('Planilla_General_07-12-2012_8_3'!G1328,"AAAAAF+X/iY=")</f>
        <v>#VALUE!</v>
      </c>
      <c r="AN89" t="e">
        <f>AND('Planilla_General_07-12-2012_8_3'!H1328,"AAAAAF+X/ic=")</f>
        <v>#VALUE!</v>
      </c>
      <c r="AO89" t="e">
        <f>AND('Planilla_General_07-12-2012_8_3'!I1328,"AAAAAF+X/ig=")</f>
        <v>#VALUE!</v>
      </c>
      <c r="AP89" t="e">
        <f>AND('Planilla_General_07-12-2012_8_3'!J1328,"AAAAAF+X/ik=")</f>
        <v>#VALUE!</v>
      </c>
      <c r="AQ89" t="e">
        <f>AND('Planilla_General_07-12-2012_8_3'!K1328,"AAAAAF+X/io=")</f>
        <v>#VALUE!</v>
      </c>
      <c r="AR89" t="e">
        <f>AND('Planilla_General_07-12-2012_8_3'!L1328,"AAAAAF+X/is=")</f>
        <v>#VALUE!</v>
      </c>
      <c r="AS89" t="e">
        <f>AND('Planilla_General_07-12-2012_8_3'!M1328,"AAAAAF+X/iw=")</f>
        <v>#VALUE!</v>
      </c>
      <c r="AT89" t="e">
        <f>AND('Planilla_General_07-12-2012_8_3'!N1328,"AAAAAF+X/i0=")</f>
        <v>#VALUE!</v>
      </c>
      <c r="AU89" t="e">
        <f>AND('Planilla_General_07-12-2012_8_3'!O1328,"AAAAAF+X/i4=")</f>
        <v>#VALUE!</v>
      </c>
      <c r="AV89" t="e">
        <f>AND('Planilla_General_07-12-2012_8_3'!P1328,"AAAAAF+X/i8=")</f>
        <v>#VALUE!</v>
      </c>
      <c r="AW89">
        <f>IF('Planilla_General_07-12-2012_8_3'!1329:1329,"AAAAAF+X/jA=",0)</f>
        <v>0</v>
      </c>
      <c r="AX89" t="e">
        <f>AND('Planilla_General_07-12-2012_8_3'!A1329,"AAAAAF+X/jE=")</f>
        <v>#VALUE!</v>
      </c>
      <c r="AY89" t="e">
        <f>AND('Planilla_General_07-12-2012_8_3'!B1329,"AAAAAF+X/jI=")</f>
        <v>#VALUE!</v>
      </c>
      <c r="AZ89" t="e">
        <f>AND('Planilla_General_07-12-2012_8_3'!C1329,"AAAAAF+X/jM=")</f>
        <v>#VALUE!</v>
      </c>
      <c r="BA89" t="e">
        <f>AND('Planilla_General_07-12-2012_8_3'!D1329,"AAAAAF+X/jQ=")</f>
        <v>#VALUE!</v>
      </c>
      <c r="BB89" t="e">
        <f>AND('Planilla_General_07-12-2012_8_3'!E1329,"AAAAAF+X/jU=")</f>
        <v>#VALUE!</v>
      </c>
      <c r="BC89" t="e">
        <f>AND('Planilla_General_07-12-2012_8_3'!F1329,"AAAAAF+X/jY=")</f>
        <v>#VALUE!</v>
      </c>
      <c r="BD89" t="e">
        <f>AND('Planilla_General_07-12-2012_8_3'!G1329,"AAAAAF+X/jc=")</f>
        <v>#VALUE!</v>
      </c>
      <c r="BE89" t="e">
        <f>AND('Planilla_General_07-12-2012_8_3'!H1329,"AAAAAF+X/jg=")</f>
        <v>#VALUE!</v>
      </c>
      <c r="BF89" t="e">
        <f>AND('Planilla_General_07-12-2012_8_3'!I1329,"AAAAAF+X/jk=")</f>
        <v>#VALUE!</v>
      </c>
      <c r="BG89" t="e">
        <f>AND('Planilla_General_07-12-2012_8_3'!J1329,"AAAAAF+X/jo=")</f>
        <v>#VALUE!</v>
      </c>
      <c r="BH89" t="e">
        <f>AND('Planilla_General_07-12-2012_8_3'!K1329,"AAAAAF+X/js=")</f>
        <v>#VALUE!</v>
      </c>
      <c r="BI89" t="e">
        <f>AND('Planilla_General_07-12-2012_8_3'!L1329,"AAAAAF+X/jw=")</f>
        <v>#VALUE!</v>
      </c>
      <c r="BJ89" t="e">
        <f>AND('Planilla_General_07-12-2012_8_3'!M1329,"AAAAAF+X/j0=")</f>
        <v>#VALUE!</v>
      </c>
      <c r="BK89" t="e">
        <f>AND('Planilla_General_07-12-2012_8_3'!N1329,"AAAAAF+X/j4=")</f>
        <v>#VALUE!</v>
      </c>
      <c r="BL89" t="e">
        <f>AND('Planilla_General_07-12-2012_8_3'!O1329,"AAAAAF+X/j8=")</f>
        <v>#VALUE!</v>
      </c>
      <c r="BM89" t="e">
        <f>AND('Planilla_General_07-12-2012_8_3'!P1329,"AAAAAF+X/kA=")</f>
        <v>#VALUE!</v>
      </c>
      <c r="BN89">
        <f>IF('Planilla_General_07-12-2012_8_3'!1330:1330,"AAAAAF+X/kE=",0)</f>
        <v>0</v>
      </c>
      <c r="BO89" t="e">
        <f>AND('Planilla_General_07-12-2012_8_3'!A1330,"AAAAAF+X/kI=")</f>
        <v>#VALUE!</v>
      </c>
      <c r="BP89" t="e">
        <f>AND('Planilla_General_07-12-2012_8_3'!B1330,"AAAAAF+X/kM=")</f>
        <v>#VALUE!</v>
      </c>
      <c r="BQ89" t="e">
        <f>AND('Planilla_General_07-12-2012_8_3'!C1330,"AAAAAF+X/kQ=")</f>
        <v>#VALUE!</v>
      </c>
      <c r="BR89" t="e">
        <f>AND('Planilla_General_07-12-2012_8_3'!D1330,"AAAAAF+X/kU=")</f>
        <v>#VALUE!</v>
      </c>
      <c r="BS89" t="e">
        <f>AND('Planilla_General_07-12-2012_8_3'!E1330,"AAAAAF+X/kY=")</f>
        <v>#VALUE!</v>
      </c>
      <c r="BT89" t="e">
        <f>AND('Planilla_General_07-12-2012_8_3'!F1330,"AAAAAF+X/kc=")</f>
        <v>#VALUE!</v>
      </c>
      <c r="BU89" t="e">
        <f>AND('Planilla_General_07-12-2012_8_3'!G1330,"AAAAAF+X/kg=")</f>
        <v>#VALUE!</v>
      </c>
      <c r="BV89" t="e">
        <f>AND('Planilla_General_07-12-2012_8_3'!H1330,"AAAAAF+X/kk=")</f>
        <v>#VALUE!</v>
      </c>
      <c r="BW89" t="e">
        <f>AND('Planilla_General_07-12-2012_8_3'!I1330,"AAAAAF+X/ko=")</f>
        <v>#VALUE!</v>
      </c>
      <c r="BX89" t="e">
        <f>AND('Planilla_General_07-12-2012_8_3'!J1330,"AAAAAF+X/ks=")</f>
        <v>#VALUE!</v>
      </c>
      <c r="BY89" t="e">
        <f>AND('Planilla_General_07-12-2012_8_3'!K1330,"AAAAAF+X/kw=")</f>
        <v>#VALUE!</v>
      </c>
      <c r="BZ89" t="e">
        <f>AND('Planilla_General_07-12-2012_8_3'!L1330,"AAAAAF+X/k0=")</f>
        <v>#VALUE!</v>
      </c>
      <c r="CA89" t="e">
        <f>AND('Planilla_General_07-12-2012_8_3'!M1330,"AAAAAF+X/k4=")</f>
        <v>#VALUE!</v>
      </c>
      <c r="CB89" t="e">
        <f>AND('Planilla_General_07-12-2012_8_3'!N1330,"AAAAAF+X/k8=")</f>
        <v>#VALUE!</v>
      </c>
      <c r="CC89" t="e">
        <f>AND('Planilla_General_07-12-2012_8_3'!O1330,"AAAAAF+X/lA=")</f>
        <v>#VALUE!</v>
      </c>
      <c r="CD89" t="e">
        <f>AND('Planilla_General_07-12-2012_8_3'!P1330,"AAAAAF+X/lE=")</f>
        <v>#VALUE!</v>
      </c>
      <c r="CE89">
        <f>IF('Planilla_General_07-12-2012_8_3'!1331:1331,"AAAAAF+X/lI=",0)</f>
        <v>0</v>
      </c>
      <c r="CF89" t="e">
        <f>AND('Planilla_General_07-12-2012_8_3'!A1331,"AAAAAF+X/lM=")</f>
        <v>#VALUE!</v>
      </c>
      <c r="CG89" t="e">
        <f>AND('Planilla_General_07-12-2012_8_3'!B1331,"AAAAAF+X/lQ=")</f>
        <v>#VALUE!</v>
      </c>
      <c r="CH89" t="e">
        <f>AND('Planilla_General_07-12-2012_8_3'!C1331,"AAAAAF+X/lU=")</f>
        <v>#VALUE!</v>
      </c>
      <c r="CI89" t="e">
        <f>AND('Planilla_General_07-12-2012_8_3'!D1331,"AAAAAF+X/lY=")</f>
        <v>#VALUE!</v>
      </c>
      <c r="CJ89" t="e">
        <f>AND('Planilla_General_07-12-2012_8_3'!E1331,"AAAAAF+X/lc=")</f>
        <v>#VALUE!</v>
      </c>
      <c r="CK89" t="e">
        <f>AND('Planilla_General_07-12-2012_8_3'!F1331,"AAAAAF+X/lg=")</f>
        <v>#VALUE!</v>
      </c>
      <c r="CL89" t="e">
        <f>AND('Planilla_General_07-12-2012_8_3'!G1331,"AAAAAF+X/lk=")</f>
        <v>#VALUE!</v>
      </c>
      <c r="CM89" t="e">
        <f>AND('Planilla_General_07-12-2012_8_3'!H1331,"AAAAAF+X/lo=")</f>
        <v>#VALUE!</v>
      </c>
      <c r="CN89" t="e">
        <f>AND('Planilla_General_07-12-2012_8_3'!I1331,"AAAAAF+X/ls=")</f>
        <v>#VALUE!</v>
      </c>
      <c r="CO89" t="e">
        <f>AND('Planilla_General_07-12-2012_8_3'!J1331,"AAAAAF+X/lw=")</f>
        <v>#VALUE!</v>
      </c>
      <c r="CP89" t="e">
        <f>AND('Planilla_General_07-12-2012_8_3'!K1331,"AAAAAF+X/l0=")</f>
        <v>#VALUE!</v>
      </c>
      <c r="CQ89" t="e">
        <f>AND('Planilla_General_07-12-2012_8_3'!L1331,"AAAAAF+X/l4=")</f>
        <v>#VALUE!</v>
      </c>
      <c r="CR89" t="e">
        <f>AND('Planilla_General_07-12-2012_8_3'!M1331,"AAAAAF+X/l8=")</f>
        <v>#VALUE!</v>
      </c>
      <c r="CS89" t="e">
        <f>AND('Planilla_General_07-12-2012_8_3'!N1331,"AAAAAF+X/mA=")</f>
        <v>#VALUE!</v>
      </c>
      <c r="CT89" t="e">
        <f>AND('Planilla_General_07-12-2012_8_3'!O1331,"AAAAAF+X/mE=")</f>
        <v>#VALUE!</v>
      </c>
      <c r="CU89" t="e">
        <f>AND('Planilla_General_07-12-2012_8_3'!P1331,"AAAAAF+X/mI=")</f>
        <v>#VALUE!</v>
      </c>
      <c r="CV89">
        <f>IF('Planilla_General_07-12-2012_8_3'!1332:1332,"AAAAAF+X/mM=",0)</f>
        <v>0</v>
      </c>
      <c r="CW89" t="e">
        <f>AND('Planilla_General_07-12-2012_8_3'!A1332,"AAAAAF+X/mQ=")</f>
        <v>#VALUE!</v>
      </c>
      <c r="CX89" t="e">
        <f>AND('Planilla_General_07-12-2012_8_3'!B1332,"AAAAAF+X/mU=")</f>
        <v>#VALUE!</v>
      </c>
      <c r="CY89" t="e">
        <f>AND('Planilla_General_07-12-2012_8_3'!C1332,"AAAAAF+X/mY=")</f>
        <v>#VALUE!</v>
      </c>
      <c r="CZ89" t="e">
        <f>AND('Planilla_General_07-12-2012_8_3'!D1332,"AAAAAF+X/mc=")</f>
        <v>#VALUE!</v>
      </c>
      <c r="DA89" t="e">
        <f>AND('Planilla_General_07-12-2012_8_3'!E1332,"AAAAAF+X/mg=")</f>
        <v>#VALUE!</v>
      </c>
      <c r="DB89" t="e">
        <f>AND('Planilla_General_07-12-2012_8_3'!F1332,"AAAAAF+X/mk=")</f>
        <v>#VALUE!</v>
      </c>
      <c r="DC89" t="e">
        <f>AND('Planilla_General_07-12-2012_8_3'!G1332,"AAAAAF+X/mo=")</f>
        <v>#VALUE!</v>
      </c>
      <c r="DD89" t="e">
        <f>AND('Planilla_General_07-12-2012_8_3'!H1332,"AAAAAF+X/ms=")</f>
        <v>#VALUE!</v>
      </c>
      <c r="DE89" t="e">
        <f>AND('Planilla_General_07-12-2012_8_3'!I1332,"AAAAAF+X/mw=")</f>
        <v>#VALUE!</v>
      </c>
      <c r="DF89" t="e">
        <f>AND('Planilla_General_07-12-2012_8_3'!J1332,"AAAAAF+X/m0=")</f>
        <v>#VALUE!</v>
      </c>
      <c r="DG89" t="e">
        <f>AND('Planilla_General_07-12-2012_8_3'!K1332,"AAAAAF+X/m4=")</f>
        <v>#VALUE!</v>
      </c>
      <c r="DH89" t="e">
        <f>AND('Planilla_General_07-12-2012_8_3'!L1332,"AAAAAF+X/m8=")</f>
        <v>#VALUE!</v>
      </c>
      <c r="DI89" t="e">
        <f>AND('Planilla_General_07-12-2012_8_3'!M1332,"AAAAAF+X/nA=")</f>
        <v>#VALUE!</v>
      </c>
      <c r="DJ89" t="e">
        <f>AND('Planilla_General_07-12-2012_8_3'!N1332,"AAAAAF+X/nE=")</f>
        <v>#VALUE!</v>
      </c>
      <c r="DK89" t="e">
        <f>AND('Planilla_General_07-12-2012_8_3'!O1332,"AAAAAF+X/nI=")</f>
        <v>#VALUE!</v>
      </c>
      <c r="DL89" t="e">
        <f>AND('Planilla_General_07-12-2012_8_3'!P1332,"AAAAAF+X/nM=")</f>
        <v>#VALUE!</v>
      </c>
      <c r="DM89">
        <f>IF('Planilla_General_07-12-2012_8_3'!1333:1333,"AAAAAF+X/nQ=",0)</f>
        <v>0</v>
      </c>
      <c r="DN89" t="e">
        <f>AND('Planilla_General_07-12-2012_8_3'!A1333,"AAAAAF+X/nU=")</f>
        <v>#VALUE!</v>
      </c>
      <c r="DO89" t="e">
        <f>AND('Planilla_General_07-12-2012_8_3'!B1333,"AAAAAF+X/nY=")</f>
        <v>#VALUE!</v>
      </c>
      <c r="DP89" t="e">
        <f>AND('Planilla_General_07-12-2012_8_3'!C1333,"AAAAAF+X/nc=")</f>
        <v>#VALUE!</v>
      </c>
      <c r="DQ89" t="e">
        <f>AND('Planilla_General_07-12-2012_8_3'!D1333,"AAAAAF+X/ng=")</f>
        <v>#VALUE!</v>
      </c>
      <c r="DR89" t="e">
        <f>AND('Planilla_General_07-12-2012_8_3'!E1333,"AAAAAF+X/nk=")</f>
        <v>#VALUE!</v>
      </c>
      <c r="DS89" t="e">
        <f>AND('Planilla_General_07-12-2012_8_3'!F1333,"AAAAAF+X/no=")</f>
        <v>#VALUE!</v>
      </c>
      <c r="DT89" t="e">
        <f>AND('Planilla_General_07-12-2012_8_3'!G1333,"AAAAAF+X/ns=")</f>
        <v>#VALUE!</v>
      </c>
      <c r="DU89" t="e">
        <f>AND('Planilla_General_07-12-2012_8_3'!H1333,"AAAAAF+X/nw=")</f>
        <v>#VALUE!</v>
      </c>
      <c r="DV89" t="e">
        <f>AND('Planilla_General_07-12-2012_8_3'!I1333,"AAAAAF+X/n0=")</f>
        <v>#VALUE!</v>
      </c>
      <c r="DW89" t="e">
        <f>AND('Planilla_General_07-12-2012_8_3'!J1333,"AAAAAF+X/n4=")</f>
        <v>#VALUE!</v>
      </c>
      <c r="DX89" t="e">
        <f>AND('Planilla_General_07-12-2012_8_3'!K1333,"AAAAAF+X/n8=")</f>
        <v>#VALUE!</v>
      </c>
      <c r="DY89" t="e">
        <f>AND('Planilla_General_07-12-2012_8_3'!L1333,"AAAAAF+X/oA=")</f>
        <v>#VALUE!</v>
      </c>
      <c r="DZ89" t="e">
        <f>AND('Planilla_General_07-12-2012_8_3'!M1333,"AAAAAF+X/oE=")</f>
        <v>#VALUE!</v>
      </c>
      <c r="EA89" t="e">
        <f>AND('Planilla_General_07-12-2012_8_3'!N1333,"AAAAAF+X/oI=")</f>
        <v>#VALUE!</v>
      </c>
      <c r="EB89" t="e">
        <f>AND('Planilla_General_07-12-2012_8_3'!O1333,"AAAAAF+X/oM=")</f>
        <v>#VALUE!</v>
      </c>
      <c r="EC89" t="e">
        <f>AND('Planilla_General_07-12-2012_8_3'!P1333,"AAAAAF+X/oQ=")</f>
        <v>#VALUE!</v>
      </c>
      <c r="ED89">
        <f>IF('Planilla_General_07-12-2012_8_3'!1334:1334,"AAAAAF+X/oU=",0)</f>
        <v>0</v>
      </c>
      <c r="EE89" t="e">
        <f>AND('Planilla_General_07-12-2012_8_3'!A1334,"AAAAAF+X/oY=")</f>
        <v>#VALUE!</v>
      </c>
      <c r="EF89" t="e">
        <f>AND('Planilla_General_07-12-2012_8_3'!B1334,"AAAAAF+X/oc=")</f>
        <v>#VALUE!</v>
      </c>
      <c r="EG89" t="e">
        <f>AND('Planilla_General_07-12-2012_8_3'!C1334,"AAAAAF+X/og=")</f>
        <v>#VALUE!</v>
      </c>
      <c r="EH89" t="e">
        <f>AND('Planilla_General_07-12-2012_8_3'!D1334,"AAAAAF+X/ok=")</f>
        <v>#VALUE!</v>
      </c>
      <c r="EI89" t="e">
        <f>AND('Planilla_General_07-12-2012_8_3'!E1334,"AAAAAF+X/oo=")</f>
        <v>#VALUE!</v>
      </c>
      <c r="EJ89" t="e">
        <f>AND('Planilla_General_07-12-2012_8_3'!F1334,"AAAAAF+X/os=")</f>
        <v>#VALUE!</v>
      </c>
      <c r="EK89" t="e">
        <f>AND('Planilla_General_07-12-2012_8_3'!G1334,"AAAAAF+X/ow=")</f>
        <v>#VALUE!</v>
      </c>
      <c r="EL89" t="e">
        <f>AND('Planilla_General_07-12-2012_8_3'!H1334,"AAAAAF+X/o0=")</f>
        <v>#VALUE!</v>
      </c>
      <c r="EM89" t="e">
        <f>AND('Planilla_General_07-12-2012_8_3'!I1334,"AAAAAF+X/o4=")</f>
        <v>#VALUE!</v>
      </c>
      <c r="EN89" t="e">
        <f>AND('Planilla_General_07-12-2012_8_3'!J1334,"AAAAAF+X/o8=")</f>
        <v>#VALUE!</v>
      </c>
      <c r="EO89" t="e">
        <f>AND('Planilla_General_07-12-2012_8_3'!K1334,"AAAAAF+X/pA=")</f>
        <v>#VALUE!</v>
      </c>
      <c r="EP89" t="e">
        <f>AND('Planilla_General_07-12-2012_8_3'!L1334,"AAAAAF+X/pE=")</f>
        <v>#VALUE!</v>
      </c>
      <c r="EQ89" t="e">
        <f>AND('Planilla_General_07-12-2012_8_3'!M1334,"AAAAAF+X/pI=")</f>
        <v>#VALUE!</v>
      </c>
      <c r="ER89" t="e">
        <f>AND('Planilla_General_07-12-2012_8_3'!N1334,"AAAAAF+X/pM=")</f>
        <v>#VALUE!</v>
      </c>
      <c r="ES89" t="e">
        <f>AND('Planilla_General_07-12-2012_8_3'!O1334,"AAAAAF+X/pQ=")</f>
        <v>#VALUE!</v>
      </c>
      <c r="ET89" t="e">
        <f>AND('Planilla_General_07-12-2012_8_3'!P1334,"AAAAAF+X/pU=")</f>
        <v>#VALUE!</v>
      </c>
      <c r="EU89">
        <f>IF('Planilla_General_07-12-2012_8_3'!1335:1335,"AAAAAF+X/pY=",0)</f>
        <v>0</v>
      </c>
      <c r="EV89" t="e">
        <f>AND('Planilla_General_07-12-2012_8_3'!A1335,"AAAAAF+X/pc=")</f>
        <v>#VALUE!</v>
      </c>
      <c r="EW89" t="e">
        <f>AND('Planilla_General_07-12-2012_8_3'!B1335,"AAAAAF+X/pg=")</f>
        <v>#VALUE!</v>
      </c>
      <c r="EX89" t="e">
        <f>AND('Planilla_General_07-12-2012_8_3'!C1335,"AAAAAF+X/pk=")</f>
        <v>#VALUE!</v>
      </c>
      <c r="EY89" t="e">
        <f>AND('Planilla_General_07-12-2012_8_3'!D1335,"AAAAAF+X/po=")</f>
        <v>#VALUE!</v>
      </c>
      <c r="EZ89" t="e">
        <f>AND('Planilla_General_07-12-2012_8_3'!E1335,"AAAAAF+X/ps=")</f>
        <v>#VALUE!</v>
      </c>
      <c r="FA89" t="e">
        <f>AND('Planilla_General_07-12-2012_8_3'!F1335,"AAAAAF+X/pw=")</f>
        <v>#VALUE!</v>
      </c>
      <c r="FB89" t="e">
        <f>AND('Planilla_General_07-12-2012_8_3'!G1335,"AAAAAF+X/p0=")</f>
        <v>#VALUE!</v>
      </c>
      <c r="FC89" t="e">
        <f>AND('Planilla_General_07-12-2012_8_3'!H1335,"AAAAAF+X/p4=")</f>
        <v>#VALUE!</v>
      </c>
      <c r="FD89" t="e">
        <f>AND('Planilla_General_07-12-2012_8_3'!I1335,"AAAAAF+X/p8=")</f>
        <v>#VALUE!</v>
      </c>
      <c r="FE89" t="e">
        <f>AND('Planilla_General_07-12-2012_8_3'!J1335,"AAAAAF+X/qA=")</f>
        <v>#VALUE!</v>
      </c>
      <c r="FF89" t="e">
        <f>AND('Planilla_General_07-12-2012_8_3'!K1335,"AAAAAF+X/qE=")</f>
        <v>#VALUE!</v>
      </c>
      <c r="FG89" t="e">
        <f>AND('Planilla_General_07-12-2012_8_3'!L1335,"AAAAAF+X/qI=")</f>
        <v>#VALUE!</v>
      </c>
      <c r="FH89" t="e">
        <f>AND('Planilla_General_07-12-2012_8_3'!M1335,"AAAAAF+X/qM=")</f>
        <v>#VALUE!</v>
      </c>
      <c r="FI89" t="e">
        <f>AND('Planilla_General_07-12-2012_8_3'!N1335,"AAAAAF+X/qQ=")</f>
        <v>#VALUE!</v>
      </c>
      <c r="FJ89" t="e">
        <f>AND('Planilla_General_07-12-2012_8_3'!O1335,"AAAAAF+X/qU=")</f>
        <v>#VALUE!</v>
      </c>
      <c r="FK89" t="e">
        <f>AND('Planilla_General_07-12-2012_8_3'!P1335,"AAAAAF+X/qY=")</f>
        <v>#VALUE!</v>
      </c>
      <c r="FL89">
        <f>IF('Planilla_General_07-12-2012_8_3'!1336:1336,"AAAAAF+X/qc=",0)</f>
        <v>0</v>
      </c>
      <c r="FM89" t="e">
        <f>AND('Planilla_General_07-12-2012_8_3'!A1336,"AAAAAF+X/qg=")</f>
        <v>#VALUE!</v>
      </c>
      <c r="FN89" t="e">
        <f>AND('Planilla_General_07-12-2012_8_3'!B1336,"AAAAAF+X/qk=")</f>
        <v>#VALUE!</v>
      </c>
      <c r="FO89" t="e">
        <f>AND('Planilla_General_07-12-2012_8_3'!C1336,"AAAAAF+X/qo=")</f>
        <v>#VALUE!</v>
      </c>
      <c r="FP89" t="e">
        <f>AND('Planilla_General_07-12-2012_8_3'!D1336,"AAAAAF+X/qs=")</f>
        <v>#VALUE!</v>
      </c>
      <c r="FQ89" t="e">
        <f>AND('Planilla_General_07-12-2012_8_3'!E1336,"AAAAAF+X/qw=")</f>
        <v>#VALUE!</v>
      </c>
      <c r="FR89" t="e">
        <f>AND('Planilla_General_07-12-2012_8_3'!F1336,"AAAAAF+X/q0=")</f>
        <v>#VALUE!</v>
      </c>
      <c r="FS89" t="e">
        <f>AND('Planilla_General_07-12-2012_8_3'!G1336,"AAAAAF+X/q4=")</f>
        <v>#VALUE!</v>
      </c>
      <c r="FT89" t="e">
        <f>AND('Planilla_General_07-12-2012_8_3'!H1336,"AAAAAF+X/q8=")</f>
        <v>#VALUE!</v>
      </c>
      <c r="FU89" t="e">
        <f>AND('Planilla_General_07-12-2012_8_3'!I1336,"AAAAAF+X/rA=")</f>
        <v>#VALUE!</v>
      </c>
      <c r="FV89" t="e">
        <f>AND('Planilla_General_07-12-2012_8_3'!J1336,"AAAAAF+X/rE=")</f>
        <v>#VALUE!</v>
      </c>
      <c r="FW89" t="e">
        <f>AND('Planilla_General_07-12-2012_8_3'!K1336,"AAAAAF+X/rI=")</f>
        <v>#VALUE!</v>
      </c>
      <c r="FX89" t="e">
        <f>AND('Planilla_General_07-12-2012_8_3'!L1336,"AAAAAF+X/rM=")</f>
        <v>#VALUE!</v>
      </c>
      <c r="FY89" t="e">
        <f>AND('Planilla_General_07-12-2012_8_3'!M1336,"AAAAAF+X/rQ=")</f>
        <v>#VALUE!</v>
      </c>
      <c r="FZ89" t="e">
        <f>AND('Planilla_General_07-12-2012_8_3'!N1336,"AAAAAF+X/rU=")</f>
        <v>#VALUE!</v>
      </c>
      <c r="GA89" t="e">
        <f>AND('Planilla_General_07-12-2012_8_3'!O1336,"AAAAAF+X/rY=")</f>
        <v>#VALUE!</v>
      </c>
      <c r="GB89" t="e">
        <f>AND('Planilla_General_07-12-2012_8_3'!P1336,"AAAAAF+X/rc=")</f>
        <v>#VALUE!</v>
      </c>
      <c r="GC89">
        <f>IF('Planilla_General_07-12-2012_8_3'!1337:1337,"AAAAAF+X/rg=",0)</f>
        <v>0</v>
      </c>
      <c r="GD89" t="e">
        <f>AND('Planilla_General_07-12-2012_8_3'!A1337,"AAAAAF+X/rk=")</f>
        <v>#VALUE!</v>
      </c>
      <c r="GE89" t="e">
        <f>AND('Planilla_General_07-12-2012_8_3'!B1337,"AAAAAF+X/ro=")</f>
        <v>#VALUE!</v>
      </c>
      <c r="GF89" t="e">
        <f>AND('Planilla_General_07-12-2012_8_3'!C1337,"AAAAAF+X/rs=")</f>
        <v>#VALUE!</v>
      </c>
      <c r="GG89" t="e">
        <f>AND('Planilla_General_07-12-2012_8_3'!D1337,"AAAAAF+X/rw=")</f>
        <v>#VALUE!</v>
      </c>
      <c r="GH89" t="e">
        <f>AND('Planilla_General_07-12-2012_8_3'!E1337,"AAAAAF+X/r0=")</f>
        <v>#VALUE!</v>
      </c>
      <c r="GI89" t="e">
        <f>AND('Planilla_General_07-12-2012_8_3'!F1337,"AAAAAF+X/r4=")</f>
        <v>#VALUE!</v>
      </c>
      <c r="GJ89" t="e">
        <f>AND('Planilla_General_07-12-2012_8_3'!G1337,"AAAAAF+X/r8=")</f>
        <v>#VALUE!</v>
      </c>
      <c r="GK89" t="e">
        <f>AND('Planilla_General_07-12-2012_8_3'!H1337,"AAAAAF+X/sA=")</f>
        <v>#VALUE!</v>
      </c>
      <c r="GL89" t="e">
        <f>AND('Planilla_General_07-12-2012_8_3'!I1337,"AAAAAF+X/sE=")</f>
        <v>#VALUE!</v>
      </c>
      <c r="GM89" t="e">
        <f>AND('Planilla_General_07-12-2012_8_3'!J1337,"AAAAAF+X/sI=")</f>
        <v>#VALUE!</v>
      </c>
      <c r="GN89" t="e">
        <f>AND('Planilla_General_07-12-2012_8_3'!K1337,"AAAAAF+X/sM=")</f>
        <v>#VALUE!</v>
      </c>
      <c r="GO89" t="e">
        <f>AND('Planilla_General_07-12-2012_8_3'!L1337,"AAAAAF+X/sQ=")</f>
        <v>#VALUE!</v>
      </c>
      <c r="GP89" t="e">
        <f>AND('Planilla_General_07-12-2012_8_3'!M1337,"AAAAAF+X/sU=")</f>
        <v>#VALUE!</v>
      </c>
      <c r="GQ89" t="e">
        <f>AND('Planilla_General_07-12-2012_8_3'!N1337,"AAAAAF+X/sY=")</f>
        <v>#VALUE!</v>
      </c>
      <c r="GR89" t="e">
        <f>AND('Planilla_General_07-12-2012_8_3'!O1337,"AAAAAF+X/sc=")</f>
        <v>#VALUE!</v>
      </c>
      <c r="GS89" t="e">
        <f>AND('Planilla_General_07-12-2012_8_3'!P1337,"AAAAAF+X/sg=")</f>
        <v>#VALUE!</v>
      </c>
      <c r="GT89">
        <f>IF('Planilla_General_07-12-2012_8_3'!1338:1338,"AAAAAF+X/sk=",0)</f>
        <v>0</v>
      </c>
      <c r="GU89" t="e">
        <f>AND('Planilla_General_07-12-2012_8_3'!A1338,"AAAAAF+X/so=")</f>
        <v>#VALUE!</v>
      </c>
      <c r="GV89" t="e">
        <f>AND('Planilla_General_07-12-2012_8_3'!B1338,"AAAAAF+X/ss=")</f>
        <v>#VALUE!</v>
      </c>
      <c r="GW89" t="e">
        <f>AND('Planilla_General_07-12-2012_8_3'!C1338,"AAAAAF+X/sw=")</f>
        <v>#VALUE!</v>
      </c>
      <c r="GX89" t="e">
        <f>AND('Planilla_General_07-12-2012_8_3'!D1338,"AAAAAF+X/s0=")</f>
        <v>#VALUE!</v>
      </c>
      <c r="GY89" t="e">
        <f>AND('Planilla_General_07-12-2012_8_3'!E1338,"AAAAAF+X/s4=")</f>
        <v>#VALUE!</v>
      </c>
      <c r="GZ89" t="e">
        <f>AND('Planilla_General_07-12-2012_8_3'!F1338,"AAAAAF+X/s8=")</f>
        <v>#VALUE!</v>
      </c>
      <c r="HA89" t="e">
        <f>AND('Planilla_General_07-12-2012_8_3'!G1338,"AAAAAF+X/tA=")</f>
        <v>#VALUE!</v>
      </c>
      <c r="HB89" t="e">
        <f>AND('Planilla_General_07-12-2012_8_3'!H1338,"AAAAAF+X/tE=")</f>
        <v>#VALUE!</v>
      </c>
      <c r="HC89" t="e">
        <f>AND('Planilla_General_07-12-2012_8_3'!I1338,"AAAAAF+X/tI=")</f>
        <v>#VALUE!</v>
      </c>
      <c r="HD89" t="e">
        <f>AND('Planilla_General_07-12-2012_8_3'!J1338,"AAAAAF+X/tM=")</f>
        <v>#VALUE!</v>
      </c>
      <c r="HE89" t="e">
        <f>AND('Planilla_General_07-12-2012_8_3'!K1338,"AAAAAF+X/tQ=")</f>
        <v>#VALUE!</v>
      </c>
      <c r="HF89" t="e">
        <f>AND('Planilla_General_07-12-2012_8_3'!L1338,"AAAAAF+X/tU=")</f>
        <v>#VALUE!</v>
      </c>
      <c r="HG89" t="e">
        <f>AND('Planilla_General_07-12-2012_8_3'!M1338,"AAAAAF+X/tY=")</f>
        <v>#VALUE!</v>
      </c>
      <c r="HH89" t="e">
        <f>AND('Planilla_General_07-12-2012_8_3'!N1338,"AAAAAF+X/tc=")</f>
        <v>#VALUE!</v>
      </c>
      <c r="HI89" t="e">
        <f>AND('Planilla_General_07-12-2012_8_3'!O1338,"AAAAAF+X/tg=")</f>
        <v>#VALUE!</v>
      </c>
      <c r="HJ89" t="e">
        <f>AND('Planilla_General_07-12-2012_8_3'!P1338,"AAAAAF+X/tk=")</f>
        <v>#VALUE!</v>
      </c>
      <c r="HK89">
        <f>IF('Planilla_General_07-12-2012_8_3'!1339:1339,"AAAAAF+X/to=",0)</f>
        <v>0</v>
      </c>
      <c r="HL89" t="e">
        <f>AND('Planilla_General_07-12-2012_8_3'!A1339,"AAAAAF+X/ts=")</f>
        <v>#VALUE!</v>
      </c>
      <c r="HM89" t="e">
        <f>AND('Planilla_General_07-12-2012_8_3'!B1339,"AAAAAF+X/tw=")</f>
        <v>#VALUE!</v>
      </c>
      <c r="HN89" t="e">
        <f>AND('Planilla_General_07-12-2012_8_3'!C1339,"AAAAAF+X/t0=")</f>
        <v>#VALUE!</v>
      </c>
      <c r="HO89" t="e">
        <f>AND('Planilla_General_07-12-2012_8_3'!D1339,"AAAAAF+X/t4=")</f>
        <v>#VALUE!</v>
      </c>
      <c r="HP89" t="e">
        <f>AND('Planilla_General_07-12-2012_8_3'!E1339,"AAAAAF+X/t8=")</f>
        <v>#VALUE!</v>
      </c>
      <c r="HQ89" t="e">
        <f>AND('Planilla_General_07-12-2012_8_3'!F1339,"AAAAAF+X/uA=")</f>
        <v>#VALUE!</v>
      </c>
      <c r="HR89" t="e">
        <f>AND('Planilla_General_07-12-2012_8_3'!G1339,"AAAAAF+X/uE=")</f>
        <v>#VALUE!</v>
      </c>
      <c r="HS89" t="e">
        <f>AND('Planilla_General_07-12-2012_8_3'!H1339,"AAAAAF+X/uI=")</f>
        <v>#VALUE!</v>
      </c>
      <c r="HT89" t="e">
        <f>AND('Planilla_General_07-12-2012_8_3'!I1339,"AAAAAF+X/uM=")</f>
        <v>#VALUE!</v>
      </c>
      <c r="HU89" t="e">
        <f>AND('Planilla_General_07-12-2012_8_3'!J1339,"AAAAAF+X/uQ=")</f>
        <v>#VALUE!</v>
      </c>
      <c r="HV89" t="e">
        <f>AND('Planilla_General_07-12-2012_8_3'!K1339,"AAAAAF+X/uU=")</f>
        <v>#VALUE!</v>
      </c>
      <c r="HW89" t="e">
        <f>AND('Planilla_General_07-12-2012_8_3'!L1339,"AAAAAF+X/uY=")</f>
        <v>#VALUE!</v>
      </c>
      <c r="HX89" t="e">
        <f>AND('Planilla_General_07-12-2012_8_3'!M1339,"AAAAAF+X/uc=")</f>
        <v>#VALUE!</v>
      </c>
      <c r="HY89" t="e">
        <f>AND('Planilla_General_07-12-2012_8_3'!N1339,"AAAAAF+X/ug=")</f>
        <v>#VALUE!</v>
      </c>
      <c r="HZ89" t="e">
        <f>AND('Planilla_General_07-12-2012_8_3'!O1339,"AAAAAF+X/uk=")</f>
        <v>#VALUE!</v>
      </c>
      <c r="IA89" t="e">
        <f>AND('Planilla_General_07-12-2012_8_3'!P1339,"AAAAAF+X/uo=")</f>
        <v>#VALUE!</v>
      </c>
      <c r="IB89">
        <f>IF('Planilla_General_07-12-2012_8_3'!1340:1340,"AAAAAF+X/us=",0)</f>
        <v>0</v>
      </c>
      <c r="IC89" t="e">
        <f>AND('Planilla_General_07-12-2012_8_3'!A1340,"AAAAAF+X/uw=")</f>
        <v>#VALUE!</v>
      </c>
      <c r="ID89" t="e">
        <f>AND('Planilla_General_07-12-2012_8_3'!B1340,"AAAAAF+X/u0=")</f>
        <v>#VALUE!</v>
      </c>
      <c r="IE89" t="e">
        <f>AND('Planilla_General_07-12-2012_8_3'!C1340,"AAAAAF+X/u4=")</f>
        <v>#VALUE!</v>
      </c>
      <c r="IF89" t="e">
        <f>AND('Planilla_General_07-12-2012_8_3'!D1340,"AAAAAF+X/u8=")</f>
        <v>#VALUE!</v>
      </c>
      <c r="IG89" t="e">
        <f>AND('Planilla_General_07-12-2012_8_3'!E1340,"AAAAAF+X/vA=")</f>
        <v>#VALUE!</v>
      </c>
      <c r="IH89" t="e">
        <f>AND('Planilla_General_07-12-2012_8_3'!F1340,"AAAAAF+X/vE=")</f>
        <v>#VALUE!</v>
      </c>
      <c r="II89" t="e">
        <f>AND('Planilla_General_07-12-2012_8_3'!G1340,"AAAAAF+X/vI=")</f>
        <v>#VALUE!</v>
      </c>
      <c r="IJ89" t="e">
        <f>AND('Planilla_General_07-12-2012_8_3'!H1340,"AAAAAF+X/vM=")</f>
        <v>#VALUE!</v>
      </c>
      <c r="IK89" t="e">
        <f>AND('Planilla_General_07-12-2012_8_3'!I1340,"AAAAAF+X/vQ=")</f>
        <v>#VALUE!</v>
      </c>
      <c r="IL89" t="e">
        <f>AND('Planilla_General_07-12-2012_8_3'!J1340,"AAAAAF+X/vU=")</f>
        <v>#VALUE!</v>
      </c>
      <c r="IM89" t="e">
        <f>AND('Planilla_General_07-12-2012_8_3'!K1340,"AAAAAF+X/vY=")</f>
        <v>#VALUE!</v>
      </c>
      <c r="IN89" t="e">
        <f>AND('Planilla_General_07-12-2012_8_3'!L1340,"AAAAAF+X/vc=")</f>
        <v>#VALUE!</v>
      </c>
      <c r="IO89" t="e">
        <f>AND('Planilla_General_07-12-2012_8_3'!M1340,"AAAAAF+X/vg=")</f>
        <v>#VALUE!</v>
      </c>
      <c r="IP89" t="e">
        <f>AND('Planilla_General_07-12-2012_8_3'!N1340,"AAAAAF+X/vk=")</f>
        <v>#VALUE!</v>
      </c>
      <c r="IQ89" t="e">
        <f>AND('Planilla_General_07-12-2012_8_3'!O1340,"AAAAAF+X/vo=")</f>
        <v>#VALUE!</v>
      </c>
      <c r="IR89" t="e">
        <f>AND('Planilla_General_07-12-2012_8_3'!P1340,"AAAAAF+X/vs=")</f>
        <v>#VALUE!</v>
      </c>
      <c r="IS89">
        <f>IF('Planilla_General_07-12-2012_8_3'!1341:1341,"AAAAAF+X/vw=",0)</f>
        <v>0</v>
      </c>
      <c r="IT89" t="e">
        <f>AND('Planilla_General_07-12-2012_8_3'!A1341,"AAAAAF+X/v0=")</f>
        <v>#VALUE!</v>
      </c>
      <c r="IU89" t="e">
        <f>AND('Planilla_General_07-12-2012_8_3'!B1341,"AAAAAF+X/v4=")</f>
        <v>#VALUE!</v>
      </c>
      <c r="IV89" t="e">
        <f>AND('Planilla_General_07-12-2012_8_3'!C1341,"AAAAAF+X/v8=")</f>
        <v>#VALUE!</v>
      </c>
    </row>
    <row r="90" spans="1:256" x14ac:dyDescent="0.25">
      <c r="A90" t="e">
        <f>AND('Planilla_General_07-12-2012_8_3'!D1341,"AAAAADIF5gA=")</f>
        <v>#VALUE!</v>
      </c>
      <c r="B90" t="e">
        <f>AND('Planilla_General_07-12-2012_8_3'!E1341,"AAAAADIF5gE=")</f>
        <v>#VALUE!</v>
      </c>
      <c r="C90" t="e">
        <f>AND('Planilla_General_07-12-2012_8_3'!F1341,"AAAAADIF5gI=")</f>
        <v>#VALUE!</v>
      </c>
      <c r="D90" t="e">
        <f>AND('Planilla_General_07-12-2012_8_3'!G1341,"AAAAADIF5gM=")</f>
        <v>#VALUE!</v>
      </c>
      <c r="E90" t="e">
        <f>AND('Planilla_General_07-12-2012_8_3'!H1341,"AAAAADIF5gQ=")</f>
        <v>#VALUE!</v>
      </c>
      <c r="F90" t="e">
        <f>AND('Planilla_General_07-12-2012_8_3'!I1341,"AAAAADIF5gU=")</f>
        <v>#VALUE!</v>
      </c>
      <c r="G90" t="e">
        <f>AND('Planilla_General_07-12-2012_8_3'!J1341,"AAAAADIF5gY=")</f>
        <v>#VALUE!</v>
      </c>
      <c r="H90" t="e">
        <f>AND('Planilla_General_07-12-2012_8_3'!K1341,"AAAAADIF5gc=")</f>
        <v>#VALUE!</v>
      </c>
      <c r="I90" t="e">
        <f>AND('Planilla_General_07-12-2012_8_3'!L1341,"AAAAADIF5gg=")</f>
        <v>#VALUE!</v>
      </c>
      <c r="J90" t="e">
        <f>AND('Planilla_General_07-12-2012_8_3'!M1341,"AAAAADIF5gk=")</f>
        <v>#VALUE!</v>
      </c>
      <c r="K90" t="e">
        <f>AND('Planilla_General_07-12-2012_8_3'!N1341,"AAAAADIF5go=")</f>
        <v>#VALUE!</v>
      </c>
      <c r="L90" t="e">
        <f>AND('Planilla_General_07-12-2012_8_3'!O1341,"AAAAADIF5gs=")</f>
        <v>#VALUE!</v>
      </c>
      <c r="M90" t="e">
        <f>AND('Planilla_General_07-12-2012_8_3'!P1341,"AAAAADIF5gw=")</f>
        <v>#VALUE!</v>
      </c>
      <c r="N90" t="str">
        <f>IF('Planilla_General_07-12-2012_8_3'!1342:1342,"AAAAADIF5g0=",0)</f>
        <v>AAAAADIF5g0=</v>
      </c>
      <c r="O90" t="e">
        <f>AND('Planilla_General_07-12-2012_8_3'!A1342,"AAAAADIF5g4=")</f>
        <v>#VALUE!</v>
      </c>
      <c r="P90" t="e">
        <f>AND('Planilla_General_07-12-2012_8_3'!B1342,"AAAAADIF5g8=")</f>
        <v>#VALUE!</v>
      </c>
      <c r="Q90" t="e">
        <f>AND('Planilla_General_07-12-2012_8_3'!C1342,"AAAAADIF5hA=")</f>
        <v>#VALUE!</v>
      </c>
      <c r="R90" t="e">
        <f>AND('Planilla_General_07-12-2012_8_3'!D1342,"AAAAADIF5hE=")</f>
        <v>#VALUE!</v>
      </c>
      <c r="S90" t="e">
        <f>AND('Planilla_General_07-12-2012_8_3'!E1342,"AAAAADIF5hI=")</f>
        <v>#VALUE!</v>
      </c>
      <c r="T90" t="e">
        <f>AND('Planilla_General_07-12-2012_8_3'!F1342,"AAAAADIF5hM=")</f>
        <v>#VALUE!</v>
      </c>
      <c r="U90" t="e">
        <f>AND('Planilla_General_07-12-2012_8_3'!G1342,"AAAAADIF5hQ=")</f>
        <v>#VALUE!</v>
      </c>
      <c r="V90" t="e">
        <f>AND('Planilla_General_07-12-2012_8_3'!H1342,"AAAAADIF5hU=")</f>
        <v>#VALUE!</v>
      </c>
      <c r="W90" t="e">
        <f>AND('Planilla_General_07-12-2012_8_3'!I1342,"AAAAADIF5hY=")</f>
        <v>#VALUE!</v>
      </c>
      <c r="X90" t="e">
        <f>AND('Planilla_General_07-12-2012_8_3'!J1342,"AAAAADIF5hc=")</f>
        <v>#VALUE!</v>
      </c>
      <c r="Y90" t="e">
        <f>AND('Planilla_General_07-12-2012_8_3'!K1342,"AAAAADIF5hg=")</f>
        <v>#VALUE!</v>
      </c>
      <c r="Z90" t="e">
        <f>AND('Planilla_General_07-12-2012_8_3'!L1342,"AAAAADIF5hk=")</f>
        <v>#VALUE!</v>
      </c>
      <c r="AA90" t="e">
        <f>AND('Planilla_General_07-12-2012_8_3'!M1342,"AAAAADIF5ho=")</f>
        <v>#VALUE!</v>
      </c>
      <c r="AB90" t="e">
        <f>AND('Planilla_General_07-12-2012_8_3'!N1342,"AAAAADIF5hs=")</f>
        <v>#VALUE!</v>
      </c>
      <c r="AC90" t="e">
        <f>AND('Planilla_General_07-12-2012_8_3'!O1342,"AAAAADIF5hw=")</f>
        <v>#VALUE!</v>
      </c>
      <c r="AD90" t="e">
        <f>AND('Planilla_General_07-12-2012_8_3'!P1342,"AAAAADIF5h0=")</f>
        <v>#VALUE!</v>
      </c>
      <c r="AE90">
        <f>IF('Planilla_General_07-12-2012_8_3'!1343:1343,"AAAAADIF5h4=",0)</f>
        <v>0</v>
      </c>
      <c r="AF90" t="e">
        <f>AND('Planilla_General_07-12-2012_8_3'!A1343,"AAAAADIF5h8=")</f>
        <v>#VALUE!</v>
      </c>
      <c r="AG90" t="e">
        <f>AND('Planilla_General_07-12-2012_8_3'!B1343,"AAAAADIF5iA=")</f>
        <v>#VALUE!</v>
      </c>
      <c r="AH90" t="e">
        <f>AND('Planilla_General_07-12-2012_8_3'!C1343,"AAAAADIF5iE=")</f>
        <v>#VALUE!</v>
      </c>
      <c r="AI90" t="e">
        <f>AND('Planilla_General_07-12-2012_8_3'!D1343,"AAAAADIF5iI=")</f>
        <v>#VALUE!</v>
      </c>
      <c r="AJ90" t="e">
        <f>AND('Planilla_General_07-12-2012_8_3'!E1343,"AAAAADIF5iM=")</f>
        <v>#VALUE!</v>
      </c>
      <c r="AK90" t="e">
        <f>AND('Planilla_General_07-12-2012_8_3'!F1343,"AAAAADIF5iQ=")</f>
        <v>#VALUE!</v>
      </c>
      <c r="AL90" t="e">
        <f>AND('Planilla_General_07-12-2012_8_3'!G1343,"AAAAADIF5iU=")</f>
        <v>#VALUE!</v>
      </c>
      <c r="AM90" t="e">
        <f>AND('Planilla_General_07-12-2012_8_3'!H1343,"AAAAADIF5iY=")</f>
        <v>#VALUE!</v>
      </c>
      <c r="AN90" t="e">
        <f>AND('Planilla_General_07-12-2012_8_3'!I1343,"AAAAADIF5ic=")</f>
        <v>#VALUE!</v>
      </c>
      <c r="AO90" t="e">
        <f>AND('Planilla_General_07-12-2012_8_3'!J1343,"AAAAADIF5ig=")</f>
        <v>#VALUE!</v>
      </c>
      <c r="AP90" t="e">
        <f>AND('Planilla_General_07-12-2012_8_3'!K1343,"AAAAADIF5ik=")</f>
        <v>#VALUE!</v>
      </c>
      <c r="AQ90" t="e">
        <f>AND('Planilla_General_07-12-2012_8_3'!L1343,"AAAAADIF5io=")</f>
        <v>#VALUE!</v>
      </c>
      <c r="AR90" t="e">
        <f>AND('Planilla_General_07-12-2012_8_3'!M1343,"AAAAADIF5is=")</f>
        <v>#VALUE!</v>
      </c>
      <c r="AS90" t="e">
        <f>AND('Planilla_General_07-12-2012_8_3'!N1343,"AAAAADIF5iw=")</f>
        <v>#VALUE!</v>
      </c>
      <c r="AT90" t="e">
        <f>AND('Planilla_General_07-12-2012_8_3'!O1343,"AAAAADIF5i0=")</f>
        <v>#VALUE!</v>
      </c>
      <c r="AU90" t="e">
        <f>AND('Planilla_General_07-12-2012_8_3'!P1343,"AAAAADIF5i4=")</f>
        <v>#VALUE!</v>
      </c>
      <c r="AV90">
        <f>IF('Planilla_General_07-12-2012_8_3'!1344:1344,"AAAAADIF5i8=",0)</f>
        <v>0</v>
      </c>
      <c r="AW90" t="e">
        <f>AND('Planilla_General_07-12-2012_8_3'!A1344,"AAAAADIF5jA=")</f>
        <v>#VALUE!</v>
      </c>
      <c r="AX90" t="e">
        <f>AND('Planilla_General_07-12-2012_8_3'!B1344,"AAAAADIF5jE=")</f>
        <v>#VALUE!</v>
      </c>
      <c r="AY90" t="e">
        <f>AND('Planilla_General_07-12-2012_8_3'!C1344,"AAAAADIF5jI=")</f>
        <v>#VALUE!</v>
      </c>
      <c r="AZ90" t="e">
        <f>AND('Planilla_General_07-12-2012_8_3'!D1344,"AAAAADIF5jM=")</f>
        <v>#VALUE!</v>
      </c>
      <c r="BA90" t="e">
        <f>AND('Planilla_General_07-12-2012_8_3'!E1344,"AAAAADIF5jQ=")</f>
        <v>#VALUE!</v>
      </c>
      <c r="BB90" t="e">
        <f>AND('Planilla_General_07-12-2012_8_3'!F1344,"AAAAADIF5jU=")</f>
        <v>#VALUE!</v>
      </c>
      <c r="BC90" t="e">
        <f>AND('Planilla_General_07-12-2012_8_3'!G1344,"AAAAADIF5jY=")</f>
        <v>#VALUE!</v>
      </c>
      <c r="BD90" t="e">
        <f>AND('Planilla_General_07-12-2012_8_3'!H1344,"AAAAADIF5jc=")</f>
        <v>#VALUE!</v>
      </c>
      <c r="BE90" t="e">
        <f>AND('Planilla_General_07-12-2012_8_3'!I1344,"AAAAADIF5jg=")</f>
        <v>#VALUE!</v>
      </c>
      <c r="BF90" t="e">
        <f>AND('Planilla_General_07-12-2012_8_3'!J1344,"AAAAADIF5jk=")</f>
        <v>#VALUE!</v>
      </c>
      <c r="BG90" t="e">
        <f>AND('Planilla_General_07-12-2012_8_3'!K1344,"AAAAADIF5jo=")</f>
        <v>#VALUE!</v>
      </c>
      <c r="BH90" t="e">
        <f>AND('Planilla_General_07-12-2012_8_3'!L1344,"AAAAADIF5js=")</f>
        <v>#VALUE!</v>
      </c>
      <c r="BI90" t="e">
        <f>AND('Planilla_General_07-12-2012_8_3'!M1344,"AAAAADIF5jw=")</f>
        <v>#VALUE!</v>
      </c>
      <c r="BJ90" t="e">
        <f>AND('Planilla_General_07-12-2012_8_3'!N1344,"AAAAADIF5j0=")</f>
        <v>#VALUE!</v>
      </c>
      <c r="BK90" t="e">
        <f>AND('Planilla_General_07-12-2012_8_3'!O1344,"AAAAADIF5j4=")</f>
        <v>#VALUE!</v>
      </c>
      <c r="BL90" t="e">
        <f>AND('Planilla_General_07-12-2012_8_3'!P1344,"AAAAADIF5j8=")</f>
        <v>#VALUE!</v>
      </c>
      <c r="BM90">
        <f>IF('Planilla_General_07-12-2012_8_3'!1345:1345,"AAAAADIF5kA=",0)</f>
        <v>0</v>
      </c>
      <c r="BN90" t="e">
        <f>AND('Planilla_General_07-12-2012_8_3'!A1345,"AAAAADIF5kE=")</f>
        <v>#VALUE!</v>
      </c>
      <c r="BO90" t="e">
        <f>AND('Planilla_General_07-12-2012_8_3'!B1345,"AAAAADIF5kI=")</f>
        <v>#VALUE!</v>
      </c>
      <c r="BP90" t="e">
        <f>AND('Planilla_General_07-12-2012_8_3'!C1345,"AAAAADIF5kM=")</f>
        <v>#VALUE!</v>
      </c>
      <c r="BQ90" t="e">
        <f>AND('Planilla_General_07-12-2012_8_3'!D1345,"AAAAADIF5kQ=")</f>
        <v>#VALUE!</v>
      </c>
      <c r="BR90" t="e">
        <f>AND('Planilla_General_07-12-2012_8_3'!E1345,"AAAAADIF5kU=")</f>
        <v>#VALUE!</v>
      </c>
      <c r="BS90" t="e">
        <f>AND('Planilla_General_07-12-2012_8_3'!F1345,"AAAAADIF5kY=")</f>
        <v>#VALUE!</v>
      </c>
      <c r="BT90" t="e">
        <f>AND('Planilla_General_07-12-2012_8_3'!G1345,"AAAAADIF5kc=")</f>
        <v>#VALUE!</v>
      </c>
      <c r="BU90" t="e">
        <f>AND('Planilla_General_07-12-2012_8_3'!H1345,"AAAAADIF5kg=")</f>
        <v>#VALUE!</v>
      </c>
      <c r="BV90" t="e">
        <f>AND('Planilla_General_07-12-2012_8_3'!I1345,"AAAAADIF5kk=")</f>
        <v>#VALUE!</v>
      </c>
      <c r="BW90" t="e">
        <f>AND('Planilla_General_07-12-2012_8_3'!J1345,"AAAAADIF5ko=")</f>
        <v>#VALUE!</v>
      </c>
      <c r="BX90" t="e">
        <f>AND('Planilla_General_07-12-2012_8_3'!K1345,"AAAAADIF5ks=")</f>
        <v>#VALUE!</v>
      </c>
      <c r="BY90" t="e">
        <f>AND('Planilla_General_07-12-2012_8_3'!L1345,"AAAAADIF5kw=")</f>
        <v>#VALUE!</v>
      </c>
      <c r="BZ90" t="e">
        <f>AND('Planilla_General_07-12-2012_8_3'!M1345,"AAAAADIF5k0=")</f>
        <v>#VALUE!</v>
      </c>
      <c r="CA90" t="e">
        <f>AND('Planilla_General_07-12-2012_8_3'!N1345,"AAAAADIF5k4=")</f>
        <v>#VALUE!</v>
      </c>
      <c r="CB90" t="e">
        <f>AND('Planilla_General_07-12-2012_8_3'!O1345,"AAAAADIF5k8=")</f>
        <v>#VALUE!</v>
      </c>
      <c r="CC90" t="e">
        <f>AND('Planilla_General_07-12-2012_8_3'!P1345,"AAAAADIF5lA=")</f>
        <v>#VALUE!</v>
      </c>
      <c r="CD90">
        <f>IF('Planilla_General_07-12-2012_8_3'!1346:1346,"AAAAADIF5lE=",0)</f>
        <v>0</v>
      </c>
      <c r="CE90" t="e">
        <f>AND('Planilla_General_07-12-2012_8_3'!A1346,"AAAAADIF5lI=")</f>
        <v>#VALUE!</v>
      </c>
      <c r="CF90" t="e">
        <f>AND('Planilla_General_07-12-2012_8_3'!B1346,"AAAAADIF5lM=")</f>
        <v>#VALUE!</v>
      </c>
      <c r="CG90" t="e">
        <f>AND('Planilla_General_07-12-2012_8_3'!C1346,"AAAAADIF5lQ=")</f>
        <v>#VALUE!</v>
      </c>
      <c r="CH90" t="e">
        <f>AND('Planilla_General_07-12-2012_8_3'!D1346,"AAAAADIF5lU=")</f>
        <v>#VALUE!</v>
      </c>
      <c r="CI90" t="e">
        <f>AND('Planilla_General_07-12-2012_8_3'!E1346,"AAAAADIF5lY=")</f>
        <v>#VALUE!</v>
      </c>
      <c r="CJ90" t="e">
        <f>AND('Planilla_General_07-12-2012_8_3'!F1346,"AAAAADIF5lc=")</f>
        <v>#VALUE!</v>
      </c>
      <c r="CK90" t="e">
        <f>AND('Planilla_General_07-12-2012_8_3'!G1346,"AAAAADIF5lg=")</f>
        <v>#VALUE!</v>
      </c>
      <c r="CL90" t="e">
        <f>AND('Planilla_General_07-12-2012_8_3'!H1346,"AAAAADIF5lk=")</f>
        <v>#VALUE!</v>
      </c>
      <c r="CM90" t="e">
        <f>AND('Planilla_General_07-12-2012_8_3'!I1346,"AAAAADIF5lo=")</f>
        <v>#VALUE!</v>
      </c>
      <c r="CN90" t="e">
        <f>AND('Planilla_General_07-12-2012_8_3'!J1346,"AAAAADIF5ls=")</f>
        <v>#VALUE!</v>
      </c>
      <c r="CO90" t="e">
        <f>AND('Planilla_General_07-12-2012_8_3'!K1346,"AAAAADIF5lw=")</f>
        <v>#VALUE!</v>
      </c>
      <c r="CP90" t="e">
        <f>AND('Planilla_General_07-12-2012_8_3'!L1346,"AAAAADIF5l0=")</f>
        <v>#VALUE!</v>
      </c>
      <c r="CQ90" t="e">
        <f>AND('Planilla_General_07-12-2012_8_3'!M1346,"AAAAADIF5l4=")</f>
        <v>#VALUE!</v>
      </c>
      <c r="CR90" t="e">
        <f>AND('Planilla_General_07-12-2012_8_3'!N1346,"AAAAADIF5l8=")</f>
        <v>#VALUE!</v>
      </c>
      <c r="CS90" t="e">
        <f>AND('Planilla_General_07-12-2012_8_3'!O1346,"AAAAADIF5mA=")</f>
        <v>#VALUE!</v>
      </c>
      <c r="CT90" t="e">
        <f>AND('Planilla_General_07-12-2012_8_3'!P1346,"AAAAADIF5mE=")</f>
        <v>#VALUE!</v>
      </c>
      <c r="CU90">
        <f>IF('Planilla_General_07-12-2012_8_3'!1347:1347,"AAAAADIF5mI=",0)</f>
        <v>0</v>
      </c>
      <c r="CV90" t="e">
        <f>AND('Planilla_General_07-12-2012_8_3'!A1347,"AAAAADIF5mM=")</f>
        <v>#VALUE!</v>
      </c>
      <c r="CW90" t="e">
        <f>AND('Planilla_General_07-12-2012_8_3'!B1347,"AAAAADIF5mQ=")</f>
        <v>#VALUE!</v>
      </c>
      <c r="CX90" t="e">
        <f>AND('Planilla_General_07-12-2012_8_3'!C1347,"AAAAADIF5mU=")</f>
        <v>#VALUE!</v>
      </c>
      <c r="CY90" t="e">
        <f>AND('Planilla_General_07-12-2012_8_3'!D1347,"AAAAADIF5mY=")</f>
        <v>#VALUE!</v>
      </c>
      <c r="CZ90" t="e">
        <f>AND('Planilla_General_07-12-2012_8_3'!E1347,"AAAAADIF5mc=")</f>
        <v>#VALUE!</v>
      </c>
      <c r="DA90" t="e">
        <f>AND('Planilla_General_07-12-2012_8_3'!F1347,"AAAAADIF5mg=")</f>
        <v>#VALUE!</v>
      </c>
      <c r="DB90" t="e">
        <f>AND('Planilla_General_07-12-2012_8_3'!G1347,"AAAAADIF5mk=")</f>
        <v>#VALUE!</v>
      </c>
      <c r="DC90" t="e">
        <f>AND('Planilla_General_07-12-2012_8_3'!H1347,"AAAAADIF5mo=")</f>
        <v>#VALUE!</v>
      </c>
      <c r="DD90" t="e">
        <f>AND('Planilla_General_07-12-2012_8_3'!I1347,"AAAAADIF5ms=")</f>
        <v>#VALUE!</v>
      </c>
      <c r="DE90" t="e">
        <f>AND('Planilla_General_07-12-2012_8_3'!J1347,"AAAAADIF5mw=")</f>
        <v>#VALUE!</v>
      </c>
      <c r="DF90" t="e">
        <f>AND('Planilla_General_07-12-2012_8_3'!K1347,"AAAAADIF5m0=")</f>
        <v>#VALUE!</v>
      </c>
      <c r="DG90" t="e">
        <f>AND('Planilla_General_07-12-2012_8_3'!L1347,"AAAAADIF5m4=")</f>
        <v>#VALUE!</v>
      </c>
      <c r="DH90" t="e">
        <f>AND('Planilla_General_07-12-2012_8_3'!M1347,"AAAAADIF5m8=")</f>
        <v>#VALUE!</v>
      </c>
      <c r="DI90" t="e">
        <f>AND('Planilla_General_07-12-2012_8_3'!N1347,"AAAAADIF5nA=")</f>
        <v>#VALUE!</v>
      </c>
      <c r="DJ90" t="e">
        <f>AND('Planilla_General_07-12-2012_8_3'!O1347,"AAAAADIF5nE=")</f>
        <v>#VALUE!</v>
      </c>
      <c r="DK90" t="e">
        <f>AND('Planilla_General_07-12-2012_8_3'!P1347,"AAAAADIF5nI=")</f>
        <v>#VALUE!</v>
      </c>
      <c r="DL90">
        <f>IF('Planilla_General_07-12-2012_8_3'!1348:1348,"AAAAADIF5nM=",0)</f>
        <v>0</v>
      </c>
      <c r="DM90" t="e">
        <f>AND('Planilla_General_07-12-2012_8_3'!A1348,"AAAAADIF5nQ=")</f>
        <v>#VALUE!</v>
      </c>
      <c r="DN90" t="e">
        <f>AND('Planilla_General_07-12-2012_8_3'!B1348,"AAAAADIF5nU=")</f>
        <v>#VALUE!</v>
      </c>
      <c r="DO90" t="e">
        <f>AND('Planilla_General_07-12-2012_8_3'!C1348,"AAAAADIF5nY=")</f>
        <v>#VALUE!</v>
      </c>
      <c r="DP90" t="e">
        <f>AND('Planilla_General_07-12-2012_8_3'!D1348,"AAAAADIF5nc=")</f>
        <v>#VALUE!</v>
      </c>
      <c r="DQ90" t="e">
        <f>AND('Planilla_General_07-12-2012_8_3'!E1348,"AAAAADIF5ng=")</f>
        <v>#VALUE!</v>
      </c>
      <c r="DR90" t="e">
        <f>AND('Planilla_General_07-12-2012_8_3'!F1348,"AAAAADIF5nk=")</f>
        <v>#VALUE!</v>
      </c>
      <c r="DS90" t="e">
        <f>AND('Planilla_General_07-12-2012_8_3'!G1348,"AAAAADIF5no=")</f>
        <v>#VALUE!</v>
      </c>
      <c r="DT90" t="e">
        <f>AND('Planilla_General_07-12-2012_8_3'!H1348,"AAAAADIF5ns=")</f>
        <v>#VALUE!</v>
      </c>
      <c r="DU90" t="e">
        <f>AND('Planilla_General_07-12-2012_8_3'!I1348,"AAAAADIF5nw=")</f>
        <v>#VALUE!</v>
      </c>
      <c r="DV90" t="e">
        <f>AND('Planilla_General_07-12-2012_8_3'!J1348,"AAAAADIF5n0=")</f>
        <v>#VALUE!</v>
      </c>
      <c r="DW90" t="e">
        <f>AND('Planilla_General_07-12-2012_8_3'!K1348,"AAAAADIF5n4=")</f>
        <v>#VALUE!</v>
      </c>
      <c r="DX90" t="e">
        <f>AND('Planilla_General_07-12-2012_8_3'!L1348,"AAAAADIF5n8=")</f>
        <v>#VALUE!</v>
      </c>
      <c r="DY90" t="e">
        <f>AND('Planilla_General_07-12-2012_8_3'!M1348,"AAAAADIF5oA=")</f>
        <v>#VALUE!</v>
      </c>
      <c r="DZ90" t="e">
        <f>AND('Planilla_General_07-12-2012_8_3'!N1348,"AAAAADIF5oE=")</f>
        <v>#VALUE!</v>
      </c>
      <c r="EA90" t="e">
        <f>AND('Planilla_General_07-12-2012_8_3'!O1348,"AAAAADIF5oI=")</f>
        <v>#VALUE!</v>
      </c>
      <c r="EB90" t="e">
        <f>AND('Planilla_General_07-12-2012_8_3'!P1348,"AAAAADIF5oM=")</f>
        <v>#VALUE!</v>
      </c>
      <c r="EC90">
        <f>IF('Planilla_General_07-12-2012_8_3'!1349:1349,"AAAAADIF5oQ=",0)</f>
        <v>0</v>
      </c>
      <c r="ED90" t="e">
        <f>AND('Planilla_General_07-12-2012_8_3'!A1349,"AAAAADIF5oU=")</f>
        <v>#VALUE!</v>
      </c>
      <c r="EE90" t="e">
        <f>AND('Planilla_General_07-12-2012_8_3'!B1349,"AAAAADIF5oY=")</f>
        <v>#VALUE!</v>
      </c>
      <c r="EF90" t="e">
        <f>AND('Planilla_General_07-12-2012_8_3'!C1349,"AAAAADIF5oc=")</f>
        <v>#VALUE!</v>
      </c>
      <c r="EG90" t="e">
        <f>AND('Planilla_General_07-12-2012_8_3'!D1349,"AAAAADIF5og=")</f>
        <v>#VALUE!</v>
      </c>
      <c r="EH90" t="e">
        <f>AND('Planilla_General_07-12-2012_8_3'!E1349,"AAAAADIF5ok=")</f>
        <v>#VALUE!</v>
      </c>
      <c r="EI90" t="e">
        <f>AND('Planilla_General_07-12-2012_8_3'!F1349,"AAAAADIF5oo=")</f>
        <v>#VALUE!</v>
      </c>
      <c r="EJ90" t="e">
        <f>AND('Planilla_General_07-12-2012_8_3'!G1349,"AAAAADIF5os=")</f>
        <v>#VALUE!</v>
      </c>
      <c r="EK90" t="e">
        <f>AND('Planilla_General_07-12-2012_8_3'!H1349,"AAAAADIF5ow=")</f>
        <v>#VALUE!</v>
      </c>
      <c r="EL90" t="e">
        <f>AND('Planilla_General_07-12-2012_8_3'!I1349,"AAAAADIF5o0=")</f>
        <v>#VALUE!</v>
      </c>
      <c r="EM90" t="e">
        <f>AND('Planilla_General_07-12-2012_8_3'!J1349,"AAAAADIF5o4=")</f>
        <v>#VALUE!</v>
      </c>
      <c r="EN90" t="e">
        <f>AND('Planilla_General_07-12-2012_8_3'!K1349,"AAAAADIF5o8=")</f>
        <v>#VALUE!</v>
      </c>
      <c r="EO90" t="e">
        <f>AND('Planilla_General_07-12-2012_8_3'!L1349,"AAAAADIF5pA=")</f>
        <v>#VALUE!</v>
      </c>
      <c r="EP90" t="e">
        <f>AND('Planilla_General_07-12-2012_8_3'!M1349,"AAAAADIF5pE=")</f>
        <v>#VALUE!</v>
      </c>
      <c r="EQ90" t="e">
        <f>AND('Planilla_General_07-12-2012_8_3'!N1349,"AAAAADIF5pI=")</f>
        <v>#VALUE!</v>
      </c>
      <c r="ER90" t="e">
        <f>AND('Planilla_General_07-12-2012_8_3'!O1349,"AAAAADIF5pM=")</f>
        <v>#VALUE!</v>
      </c>
      <c r="ES90" t="e">
        <f>AND('Planilla_General_07-12-2012_8_3'!P1349,"AAAAADIF5pQ=")</f>
        <v>#VALUE!</v>
      </c>
      <c r="ET90">
        <f>IF('Planilla_General_07-12-2012_8_3'!1350:1350,"AAAAADIF5pU=",0)</f>
        <v>0</v>
      </c>
      <c r="EU90" t="e">
        <f>AND('Planilla_General_07-12-2012_8_3'!A1350,"AAAAADIF5pY=")</f>
        <v>#VALUE!</v>
      </c>
      <c r="EV90" t="e">
        <f>AND('Planilla_General_07-12-2012_8_3'!B1350,"AAAAADIF5pc=")</f>
        <v>#VALUE!</v>
      </c>
      <c r="EW90" t="e">
        <f>AND('Planilla_General_07-12-2012_8_3'!C1350,"AAAAADIF5pg=")</f>
        <v>#VALUE!</v>
      </c>
      <c r="EX90" t="e">
        <f>AND('Planilla_General_07-12-2012_8_3'!D1350,"AAAAADIF5pk=")</f>
        <v>#VALUE!</v>
      </c>
      <c r="EY90" t="e">
        <f>AND('Planilla_General_07-12-2012_8_3'!E1350,"AAAAADIF5po=")</f>
        <v>#VALUE!</v>
      </c>
      <c r="EZ90" t="e">
        <f>AND('Planilla_General_07-12-2012_8_3'!F1350,"AAAAADIF5ps=")</f>
        <v>#VALUE!</v>
      </c>
      <c r="FA90" t="e">
        <f>AND('Planilla_General_07-12-2012_8_3'!G1350,"AAAAADIF5pw=")</f>
        <v>#VALUE!</v>
      </c>
      <c r="FB90" t="e">
        <f>AND('Planilla_General_07-12-2012_8_3'!H1350,"AAAAADIF5p0=")</f>
        <v>#VALUE!</v>
      </c>
      <c r="FC90" t="e">
        <f>AND('Planilla_General_07-12-2012_8_3'!I1350,"AAAAADIF5p4=")</f>
        <v>#VALUE!</v>
      </c>
      <c r="FD90" t="e">
        <f>AND('Planilla_General_07-12-2012_8_3'!J1350,"AAAAADIF5p8=")</f>
        <v>#VALUE!</v>
      </c>
      <c r="FE90" t="e">
        <f>AND('Planilla_General_07-12-2012_8_3'!K1350,"AAAAADIF5qA=")</f>
        <v>#VALUE!</v>
      </c>
      <c r="FF90" t="e">
        <f>AND('Planilla_General_07-12-2012_8_3'!L1350,"AAAAADIF5qE=")</f>
        <v>#VALUE!</v>
      </c>
      <c r="FG90" t="e">
        <f>AND('Planilla_General_07-12-2012_8_3'!M1350,"AAAAADIF5qI=")</f>
        <v>#VALUE!</v>
      </c>
      <c r="FH90" t="e">
        <f>AND('Planilla_General_07-12-2012_8_3'!N1350,"AAAAADIF5qM=")</f>
        <v>#VALUE!</v>
      </c>
      <c r="FI90" t="e">
        <f>AND('Planilla_General_07-12-2012_8_3'!O1350,"AAAAADIF5qQ=")</f>
        <v>#VALUE!</v>
      </c>
      <c r="FJ90" t="e">
        <f>AND('Planilla_General_07-12-2012_8_3'!P1350,"AAAAADIF5qU=")</f>
        <v>#VALUE!</v>
      </c>
      <c r="FK90">
        <f>IF('Planilla_General_07-12-2012_8_3'!1351:1351,"AAAAADIF5qY=",0)</f>
        <v>0</v>
      </c>
      <c r="FL90" t="e">
        <f>AND('Planilla_General_07-12-2012_8_3'!A1351,"AAAAADIF5qc=")</f>
        <v>#VALUE!</v>
      </c>
      <c r="FM90" t="e">
        <f>AND('Planilla_General_07-12-2012_8_3'!B1351,"AAAAADIF5qg=")</f>
        <v>#VALUE!</v>
      </c>
      <c r="FN90" t="e">
        <f>AND('Planilla_General_07-12-2012_8_3'!C1351,"AAAAADIF5qk=")</f>
        <v>#VALUE!</v>
      </c>
      <c r="FO90" t="e">
        <f>AND('Planilla_General_07-12-2012_8_3'!D1351,"AAAAADIF5qo=")</f>
        <v>#VALUE!</v>
      </c>
      <c r="FP90" t="e">
        <f>AND('Planilla_General_07-12-2012_8_3'!E1351,"AAAAADIF5qs=")</f>
        <v>#VALUE!</v>
      </c>
      <c r="FQ90" t="e">
        <f>AND('Planilla_General_07-12-2012_8_3'!F1351,"AAAAADIF5qw=")</f>
        <v>#VALUE!</v>
      </c>
      <c r="FR90" t="e">
        <f>AND('Planilla_General_07-12-2012_8_3'!G1351,"AAAAADIF5q0=")</f>
        <v>#VALUE!</v>
      </c>
      <c r="FS90" t="e">
        <f>AND('Planilla_General_07-12-2012_8_3'!H1351,"AAAAADIF5q4=")</f>
        <v>#VALUE!</v>
      </c>
      <c r="FT90" t="e">
        <f>AND('Planilla_General_07-12-2012_8_3'!I1351,"AAAAADIF5q8=")</f>
        <v>#VALUE!</v>
      </c>
      <c r="FU90" t="e">
        <f>AND('Planilla_General_07-12-2012_8_3'!J1351,"AAAAADIF5rA=")</f>
        <v>#VALUE!</v>
      </c>
      <c r="FV90" t="e">
        <f>AND('Planilla_General_07-12-2012_8_3'!K1351,"AAAAADIF5rE=")</f>
        <v>#VALUE!</v>
      </c>
      <c r="FW90" t="e">
        <f>AND('Planilla_General_07-12-2012_8_3'!L1351,"AAAAADIF5rI=")</f>
        <v>#VALUE!</v>
      </c>
      <c r="FX90" t="e">
        <f>AND('Planilla_General_07-12-2012_8_3'!M1351,"AAAAADIF5rM=")</f>
        <v>#VALUE!</v>
      </c>
      <c r="FY90" t="e">
        <f>AND('Planilla_General_07-12-2012_8_3'!N1351,"AAAAADIF5rQ=")</f>
        <v>#VALUE!</v>
      </c>
      <c r="FZ90" t="e">
        <f>AND('Planilla_General_07-12-2012_8_3'!O1351,"AAAAADIF5rU=")</f>
        <v>#VALUE!</v>
      </c>
      <c r="GA90" t="e">
        <f>AND('Planilla_General_07-12-2012_8_3'!P1351,"AAAAADIF5rY=")</f>
        <v>#VALUE!</v>
      </c>
      <c r="GB90">
        <f>IF('Planilla_General_07-12-2012_8_3'!1352:1352,"AAAAADIF5rc=",0)</f>
        <v>0</v>
      </c>
      <c r="GC90" t="e">
        <f>AND('Planilla_General_07-12-2012_8_3'!A1352,"AAAAADIF5rg=")</f>
        <v>#VALUE!</v>
      </c>
      <c r="GD90" t="e">
        <f>AND('Planilla_General_07-12-2012_8_3'!B1352,"AAAAADIF5rk=")</f>
        <v>#VALUE!</v>
      </c>
      <c r="GE90" t="e">
        <f>AND('Planilla_General_07-12-2012_8_3'!C1352,"AAAAADIF5ro=")</f>
        <v>#VALUE!</v>
      </c>
      <c r="GF90" t="e">
        <f>AND('Planilla_General_07-12-2012_8_3'!D1352,"AAAAADIF5rs=")</f>
        <v>#VALUE!</v>
      </c>
      <c r="GG90" t="e">
        <f>AND('Planilla_General_07-12-2012_8_3'!E1352,"AAAAADIF5rw=")</f>
        <v>#VALUE!</v>
      </c>
      <c r="GH90" t="e">
        <f>AND('Planilla_General_07-12-2012_8_3'!F1352,"AAAAADIF5r0=")</f>
        <v>#VALUE!</v>
      </c>
      <c r="GI90" t="e">
        <f>AND('Planilla_General_07-12-2012_8_3'!G1352,"AAAAADIF5r4=")</f>
        <v>#VALUE!</v>
      </c>
      <c r="GJ90" t="e">
        <f>AND('Planilla_General_07-12-2012_8_3'!H1352,"AAAAADIF5r8=")</f>
        <v>#VALUE!</v>
      </c>
      <c r="GK90" t="e">
        <f>AND('Planilla_General_07-12-2012_8_3'!I1352,"AAAAADIF5sA=")</f>
        <v>#VALUE!</v>
      </c>
      <c r="GL90" t="e">
        <f>AND('Planilla_General_07-12-2012_8_3'!J1352,"AAAAADIF5sE=")</f>
        <v>#VALUE!</v>
      </c>
      <c r="GM90" t="e">
        <f>AND('Planilla_General_07-12-2012_8_3'!K1352,"AAAAADIF5sI=")</f>
        <v>#VALUE!</v>
      </c>
      <c r="GN90" t="e">
        <f>AND('Planilla_General_07-12-2012_8_3'!L1352,"AAAAADIF5sM=")</f>
        <v>#VALUE!</v>
      </c>
      <c r="GO90" t="e">
        <f>AND('Planilla_General_07-12-2012_8_3'!M1352,"AAAAADIF5sQ=")</f>
        <v>#VALUE!</v>
      </c>
      <c r="GP90" t="e">
        <f>AND('Planilla_General_07-12-2012_8_3'!N1352,"AAAAADIF5sU=")</f>
        <v>#VALUE!</v>
      </c>
      <c r="GQ90" t="e">
        <f>AND('Planilla_General_07-12-2012_8_3'!O1352,"AAAAADIF5sY=")</f>
        <v>#VALUE!</v>
      </c>
      <c r="GR90" t="e">
        <f>AND('Planilla_General_07-12-2012_8_3'!P1352,"AAAAADIF5sc=")</f>
        <v>#VALUE!</v>
      </c>
      <c r="GS90">
        <f>IF('Planilla_General_07-12-2012_8_3'!1353:1353,"AAAAADIF5sg=",0)</f>
        <v>0</v>
      </c>
      <c r="GT90" t="e">
        <f>AND('Planilla_General_07-12-2012_8_3'!A1353,"AAAAADIF5sk=")</f>
        <v>#VALUE!</v>
      </c>
      <c r="GU90" t="e">
        <f>AND('Planilla_General_07-12-2012_8_3'!B1353,"AAAAADIF5so=")</f>
        <v>#VALUE!</v>
      </c>
      <c r="GV90" t="e">
        <f>AND('Planilla_General_07-12-2012_8_3'!C1353,"AAAAADIF5ss=")</f>
        <v>#VALUE!</v>
      </c>
      <c r="GW90" t="e">
        <f>AND('Planilla_General_07-12-2012_8_3'!D1353,"AAAAADIF5sw=")</f>
        <v>#VALUE!</v>
      </c>
      <c r="GX90" t="e">
        <f>AND('Planilla_General_07-12-2012_8_3'!E1353,"AAAAADIF5s0=")</f>
        <v>#VALUE!</v>
      </c>
      <c r="GY90" t="e">
        <f>AND('Planilla_General_07-12-2012_8_3'!F1353,"AAAAADIF5s4=")</f>
        <v>#VALUE!</v>
      </c>
      <c r="GZ90" t="e">
        <f>AND('Planilla_General_07-12-2012_8_3'!G1353,"AAAAADIF5s8=")</f>
        <v>#VALUE!</v>
      </c>
      <c r="HA90" t="e">
        <f>AND('Planilla_General_07-12-2012_8_3'!H1353,"AAAAADIF5tA=")</f>
        <v>#VALUE!</v>
      </c>
      <c r="HB90" t="e">
        <f>AND('Planilla_General_07-12-2012_8_3'!I1353,"AAAAADIF5tE=")</f>
        <v>#VALUE!</v>
      </c>
      <c r="HC90" t="e">
        <f>AND('Planilla_General_07-12-2012_8_3'!J1353,"AAAAADIF5tI=")</f>
        <v>#VALUE!</v>
      </c>
      <c r="HD90" t="e">
        <f>AND('Planilla_General_07-12-2012_8_3'!K1353,"AAAAADIF5tM=")</f>
        <v>#VALUE!</v>
      </c>
      <c r="HE90" t="e">
        <f>AND('Planilla_General_07-12-2012_8_3'!L1353,"AAAAADIF5tQ=")</f>
        <v>#VALUE!</v>
      </c>
      <c r="HF90" t="e">
        <f>AND('Planilla_General_07-12-2012_8_3'!M1353,"AAAAADIF5tU=")</f>
        <v>#VALUE!</v>
      </c>
      <c r="HG90" t="e">
        <f>AND('Planilla_General_07-12-2012_8_3'!N1353,"AAAAADIF5tY=")</f>
        <v>#VALUE!</v>
      </c>
      <c r="HH90" t="e">
        <f>AND('Planilla_General_07-12-2012_8_3'!O1353,"AAAAADIF5tc=")</f>
        <v>#VALUE!</v>
      </c>
      <c r="HI90" t="e">
        <f>AND('Planilla_General_07-12-2012_8_3'!P1353,"AAAAADIF5tg=")</f>
        <v>#VALUE!</v>
      </c>
      <c r="HJ90">
        <f>IF('Planilla_General_07-12-2012_8_3'!1354:1354,"AAAAADIF5tk=",0)</f>
        <v>0</v>
      </c>
      <c r="HK90" t="e">
        <f>AND('Planilla_General_07-12-2012_8_3'!A1354,"AAAAADIF5to=")</f>
        <v>#VALUE!</v>
      </c>
      <c r="HL90" t="e">
        <f>AND('Planilla_General_07-12-2012_8_3'!B1354,"AAAAADIF5ts=")</f>
        <v>#VALUE!</v>
      </c>
      <c r="HM90" t="e">
        <f>AND('Planilla_General_07-12-2012_8_3'!C1354,"AAAAADIF5tw=")</f>
        <v>#VALUE!</v>
      </c>
      <c r="HN90" t="e">
        <f>AND('Planilla_General_07-12-2012_8_3'!D1354,"AAAAADIF5t0=")</f>
        <v>#VALUE!</v>
      </c>
      <c r="HO90" t="e">
        <f>AND('Planilla_General_07-12-2012_8_3'!E1354,"AAAAADIF5t4=")</f>
        <v>#VALUE!</v>
      </c>
      <c r="HP90" t="e">
        <f>AND('Planilla_General_07-12-2012_8_3'!F1354,"AAAAADIF5t8=")</f>
        <v>#VALUE!</v>
      </c>
      <c r="HQ90" t="e">
        <f>AND('Planilla_General_07-12-2012_8_3'!G1354,"AAAAADIF5uA=")</f>
        <v>#VALUE!</v>
      </c>
      <c r="HR90" t="e">
        <f>AND('Planilla_General_07-12-2012_8_3'!H1354,"AAAAADIF5uE=")</f>
        <v>#VALUE!</v>
      </c>
      <c r="HS90" t="e">
        <f>AND('Planilla_General_07-12-2012_8_3'!I1354,"AAAAADIF5uI=")</f>
        <v>#VALUE!</v>
      </c>
      <c r="HT90" t="e">
        <f>AND('Planilla_General_07-12-2012_8_3'!J1354,"AAAAADIF5uM=")</f>
        <v>#VALUE!</v>
      </c>
      <c r="HU90" t="e">
        <f>AND('Planilla_General_07-12-2012_8_3'!K1354,"AAAAADIF5uQ=")</f>
        <v>#VALUE!</v>
      </c>
      <c r="HV90" t="e">
        <f>AND('Planilla_General_07-12-2012_8_3'!L1354,"AAAAADIF5uU=")</f>
        <v>#VALUE!</v>
      </c>
      <c r="HW90" t="e">
        <f>AND('Planilla_General_07-12-2012_8_3'!M1354,"AAAAADIF5uY=")</f>
        <v>#VALUE!</v>
      </c>
      <c r="HX90" t="e">
        <f>AND('Planilla_General_07-12-2012_8_3'!N1354,"AAAAADIF5uc=")</f>
        <v>#VALUE!</v>
      </c>
      <c r="HY90" t="e">
        <f>AND('Planilla_General_07-12-2012_8_3'!O1354,"AAAAADIF5ug=")</f>
        <v>#VALUE!</v>
      </c>
      <c r="HZ90" t="e">
        <f>AND('Planilla_General_07-12-2012_8_3'!P1354,"AAAAADIF5uk=")</f>
        <v>#VALUE!</v>
      </c>
      <c r="IA90">
        <f>IF('Planilla_General_07-12-2012_8_3'!1355:1355,"AAAAADIF5uo=",0)</f>
        <v>0</v>
      </c>
      <c r="IB90" t="e">
        <f>AND('Planilla_General_07-12-2012_8_3'!A1355,"AAAAADIF5us=")</f>
        <v>#VALUE!</v>
      </c>
      <c r="IC90" t="e">
        <f>AND('Planilla_General_07-12-2012_8_3'!B1355,"AAAAADIF5uw=")</f>
        <v>#VALUE!</v>
      </c>
      <c r="ID90" t="e">
        <f>AND('Planilla_General_07-12-2012_8_3'!C1355,"AAAAADIF5u0=")</f>
        <v>#VALUE!</v>
      </c>
      <c r="IE90" t="e">
        <f>AND('Planilla_General_07-12-2012_8_3'!D1355,"AAAAADIF5u4=")</f>
        <v>#VALUE!</v>
      </c>
      <c r="IF90" t="e">
        <f>AND('Planilla_General_07-12-2012_8_3'!E1355,"AAAAADIF5u8=")</f>
        <v>#VALUE!</v>
      </c>
      <c r="IG90" t="e">
        <f>AND('Planilla_General_07-12-2012_8_3'!F1355,"AAAAADIF5vA=")</f>
        <v>#VALUE!</v>
      </c>
      <c r="IH90" t="e">
        <f>AND('Planilla_General_07-12-2012_8_3'!G1355,"AAAAADIF5vE=")</f>
        <v>#VALUE!</v>
      </c>
      <c r="II90" t="e">
        <f>AND('Planilla_General_07-12-2012_8_3'!H1355,"AAAAADIF5vI=")</f>
        <v>#VALUE!</v>
      </c>
      <c r="IJ90" t="e">
        <f>AND('Planilla_General_07-12-2012_8_3'!I1355,"AAAAADIF5vM=")</f>
        <v>#VALUE!</v>
      </c>
      <c r="IK90" t="e">
        <f>AND('Planilla_General_07-12-2012_8_3'!J1355,"AAAAADIF5vQ=")</f>
        <v>#VALUE!</v>
      </c>
      <c r="IL90" t="e">
        <f>AND('Planilla_General_07-12-2012_8_3'!K1355,"AAAAADIF5vU=")</f>
        <v>#VALUE!</v>
      </c>
      <c r="IM90" t="e">
        <f>AND('Planilla_General_07-12-2012_8_3'!L1355,"AAAAADIF5vY=")</f>
        <v>#VALUE!</v>
      </c>
      <c r="IN90" t="e">
        <f>AND('Planilla_General_07-12-2012_8_3'!M1355,"AAAAADIF5vc=")</f>
        <v>#VALUE!</v>
      </c>
      <c r="IO90" t="e">
        <f>AND('Planilla_General_07-12-2012_8_3'!N1355,"AAAAADIF5vg=")</f>
        <v>#VALUE!</v>
      </c>
      <c r="IP90" t="e">
        <f>AND('Planilla_General_07-12-2012_8_3'!O1355,"AAAAADIF5vk=")</f>
        <v>#VALUE!</v>
      </c>
      <c r="IQ90" t="e">
        <f>AND('Planilla_General_07-12-2012_8_3'!P1355,"AAAAADIF5vo=")</f>
        <v>#VALUE!</v>
      </c>
      <c r="IR90">
        <f>IF('Planilla_General_07-12-2012_8_3'!1356:1356,"AAAAADIF5vs=",0)</f>
        <v>0</v>
      </c>
      <c r="IS90" t="e">
        <f>AND('Planilla_General_07-12-2012_8_3'!A1356,"AAAAADIF5vw=")</f>
        <v>#VALUE!</v>
      </c>
      <c r="IT90" t="e">
        <f>AND('Planilla_General_07-12-2012_8_3'!B1356,"AAAAADIF5v0=")</f>
        <v>#VALUE!</v>
      </c>
      <c r="IU90" t="e">
        <f>AND('Planilla_General_07-12-2012_8_3'!C1356,"AAAAADIF5v4=")</f>
        <v>#VALUE!</v>
      </c>
      <c r="IV90" t="e">
        <f>AND('Planilla_General_07-12-2012_8_3'!D1356,"AAAAADIF5v8=")</f>
        <v>#VALUE!</v>
      </c>
    </row>
    <row r="91" spans="1:256" x14ac:dyDescent="0.25">
      <c r="A91" t="e">
        <f>AND('Planilla_General_07-12-2012_8_3'!E1356,"AAAAAD+b6QA=")</f>
        <v>#VALUE!</v>
      </c>
      <c r="B91" t="e">
        <f>AND('Planilla_General_07-12-2012_8_3'!F1356,"AAAAAD+b6QE=")</f>
        <v>#VALUE!</v>
      </c>
      <c r="C91" t="e">
        <f>AND('Planilla_General_07-12-2012_8_3'!G1356,"AAAAAD+b6QI=")</f>
        <v>#VALUE!</v>
      </c>
      <c r="D91" t="e">
        <f>AND('Planilla_General_07-12-2012_8_3'!H1356,"AAAAAD+b6QM=")</f>
        <v>#VALUE!</v>
      </c>
      <c r="E91" t="e">
        <f>AND('Planilla_General_07-12-2012_8_3'!I1356,"AAAAAD+b6QQ=")</f>
        <v>#VALUE!</v>
      </c>
      <c r="F91" t="e">
        <f>AND('Planilla_General_07-12-2012_8_3'!J1356,"AAAAAD+b6QU=")</f>
        <v>#VALUE!</v>
      </c>
      <c r="G91" t="e">
        <f>AND('Planilla_General_07-12-2012_8_3'!K1356,"AAAAAD+b6QY=")</f>
        <v>#VALUE!</v>
      </c>
      <c r="H91" t="e">
        <f>AND('Planilla_General_07-12-2012_8_3'!L1356,"AAAAAD+b6Qc=")</f>
        <v>#VALUE!</v>
      </c>
      <c r="I91" t="e">
        <f>AND('Planilla_General_07-12-2012_8_3'!M1356,"AAAAAD+b6Qg=")</f>
        <v>#VALUE!</v>
      </c>
      <c r="J91" t="e">
        <f>AND('Planilla_General_07-12-2012_8_3'!N1356,"AAAAAD+b6Qk=")</f>
        <v>#VALUE!</v>
      </c>
      <c r="K91" t="e">
        <f>AND('Planilla_General_07-12-2012_8_3'!O1356,"AAAAAD+b6Qo=")</f>
        <v>#VALUE!</v>
      </c>
      <c r="L91" t="e">
        <f>AND('Planilla_General_07-12-2012_8_3'!P1356,"AAAAAD+b6Qs=")</f>
        <v>#VALUE!</v>
      </c>
      <c r="M91" t="str">
        <f>IF('Planilla_General_07-12-2012_8_3'!1357:1357,"AAAAAD+b6Qw=",0)</f>
        <v>AAAAAD+b6Qw=</v>
      </c>
      <c r="N91" t="e">
        <f>AND('Planilla_General_07-12-2012_8_3'!A1357,"AAAAAD+b6Q0=")</f>
        <v>#VALUE!</v>
      </c>
      <c r="O91" t="e">
        <f>AND('Planilla_General_07-12-2012_8_3'!B1357,"AAAAAD+b6Q4=")</f>
        <v>#VALUE!</v>
      </c>
      <c r="P91" t="e">
        <f>AND('Planilla_General_07-12-2012_8_3'!C1357,"AAAAAD+b6Q8=")</f>
        <v>#VALUE!</v>
      </c>
      <c r="Q91" t="e">
        <f>AND('Planilla_General_07-12-2012_8_3'!D1357,"AAAAAD+b6RA=")</f>
        <v>#VALUE!</v>
      </c>
      <c r="R91" t="e">
        <f>AND('Planilla_General_07-12-2012_8_3'!E1357,"AAAAAD+b6RE=")</f>
        <v>#VALUE!</v>
      </c>
      <c r="S91" t="e">
        <f>AND('Planilla_General_07-12-2012_8_3'!F1357,"AAAAAD+b6RI=")</f>
        <v>#VALUE!</v>
      </c>
      <c r="T91" t="e">
        <f>AND('Planilla_General_07-12-2012_8_3'!G1357,"AAAAAD+b6RM=")</f>
        <v>#VALUE!</v>
      </c>
      <c r="U91" t="e">
        <f>AND('Planilla_General_07-12-2012_8_3'!H1357,"AAAAAD+b6RQ=")</f>
        <v>#VALUE!</v>
      </c>
      <c r="V91" t="e">
        <f>AND('Planilla_General_07-12-2012_8_3'!I1357,"AAAAAD+b6RU=")</f>
        <v>#VALUE!</v>
      </c>
      <c r="W91" t="e">
        <f>AND('Planilla_General_07-12-2012_8_3'!J1357,"AAAAAD+b6RY=")</f>
        <v>#VALUE!</v>
      </c>
      <c r="X91" t="e">
        <f>AND('Planilla_General_07-12-2012_8_3'!K1357,"AAAAAD+b6Rc=")</f>
        <v>#VALUE!</v>
      </c>
      <c r="Y91" t="e">
        <f>AND('Planilla_General_07-12-2012_8_3'!L1357,"AAAAAD+b6Rg=")</f>
        <v>#VALUE!</v>
      </c>
      <c r="Z91" t="e">
        <f>AND('Planilla_General_07-12-2012_8_3'!M1357,"AAAAAD+b6Rk=")</f>
        <v>#VALUE!</v>
      </c>
      <c r="AA91" t="e">
        <f>AND('Planilla_General_07-12-2012_8_3'!N1357,"AAAAAD+b6Ro=")</f>
        <v>#VALUE!</v>
      </c>
      <c r="AB91" t="e">
        <f>AND('Planilla_General_07-12-2012_8_3'!O1357,"AAAAAD+b6Rs=")</f>
        <v>#VALUE!</v>
      </c>
      <c r="AC91" t="e">
        <f>AND('Planilla_General_07-12-2012_8_3'!P1357,"AAAAAD+b6Rw=")</f>
        <v>#VALUE!</v>
      </c>
      <c r="AD91">
        <f>IF('Planilla_General_07-12-2012_8_3'!1358:1358,"AAAAAD+b6R0=",0)</f>
        <v>0</v>
      </c>
      <c r="AE91" t="e">
        <f>AND('Planilla_General_07-12-2012_8_3'!A1358,"AAAAAD+b6R4=")</f>
        <v>#VALUE!</v>
      </c>
      <c r="AF91" t="e">
        <f>AND('Planilla_General_07-12-2012_8_3'!B1358,"AAAAAD+b6R8=")</f>
        <v>#VALUE!</v>
      </c>
      <c r="AG91" t="e">
        <f>AND('Planilla_General_07-12-2012_8_3'!C1358,"AAAAAD+b6SA=")</f>
        <v>#VALUE!</v>
      </c>
      <c r="AH91" t="e">
        <f>AND('Planilla_General_07-12-2012_8_3'!D1358,"AAAAAD+b6SE=")</f>
        <v>#VALUE!</v>
      </c>
      <c r="AI91" t="e">
        <f>AND('Planilla_General_07-12-2012_8_3'!E1358,"AAAAAD+b6SI=")</f>
        <v>#VALUE!</v>
      </c>
      <c r="AJ91" t="e">
        <f>AND('Planilla_General_07-12-2012_8_3'!F1358,"AAAAAD+b6SM=")</f>
        <v>#VALUE!</v>
      </c>
      <c r="AK91" t="e">
        <f>AND('Planilla_General_07-12-2012_8_3'!G1358,"AAAAAD+b6SQ=")</f>
        <v>#VALUE!</v>
      </c>
      <c r="AL91" t="e">
        <f>AND('Planilla_General_07-12-2012_8_3'!H1358,"AAAAAD+b6SU=")</f>
        <v>#VALUE!</v>
      </c>
      <c r="AM91" t="e">
        <f>AND('Planilla_General_07-12-2012_8_3'!I1358,"AAAAAD+b6SY=")</f>
        <v>#VALUE!</v>
      </c>
      <c r="AN91" t="e">
        <f>AND('Planilla_General_07-12-2012_8_3'!J1358,"AAAAAD+b6Sc=")</f>
        <v>#VALUE!</v>
      </c>
      <c r="AO91" t="e">
        <f>AND('Planilla_General_07-12-2012_8_3'!K1358,"AAAAAD+b6Sg=")</f>
        <v>#VALUE!</v>
      </c>
      <c r="AP91" t="e">
        <f>AND('Planilla_General_07-12-2012_8_3'!L1358,"AAAAAD+b6Sk=")</f>
        <v>#VALUE!</v>
      </c>
      <c r="AQ91" t="e">
        <f>AND('Planilla_General_07-12-2012_8_3'!M1358,"AAAAAD+b6So=")</f>
        <v>#VALUE!</v>
      </c>
      <c r="AR91" t="e">
        <f>AND('Planilla_General_07-12-2012_8_3'!N1358,"AAAAAD+b6Ss=")</f>
        <v>#VALUE!</v>
      </c>
      <c r="AS91" t="e">
        <f>AND('Planilla_General_07-12-2012_8_3'!O1358,"AAAAAD+b6Sw=")</f>
        <v>#VALUE!</v>
      </c>
      <c r="AT91" t="e">
        <f>AND('Planilla_General_07-12-2012_8_3'!P1358,"AAAAAD+b6S0=")</f>
        <v>#VALUE!</v>
      </c>
      <c r="AU91">
        <f>IF('Planilla_General_07-12-2012_8_3'!1359:1359,"AAAAAD+b6S4=",0)</f>
        <v>0</v>
      </c>
      <c r="AV91" t="e">
        <f>AND('Planilla_General_07-12-2012_8_3'!A1359,"AAAAAD+b6S8=")</f>
        <v>#VALUE!</v>
      </c>
      <c r="AW91" t="e">
        <f>AND('Planilla_General_07-12-2012_8_3'!B1359,"AAAAAD+b6TA=")</f>
        <v>#VALUE!</v>
      </c>
      <c r="AX91" t="e">
        <f>AND('Planilla_General_07-12-2012_8_3'!C1359,"AAAAAD+b6TE=")</f>
        <v>#VALUE!</v>
      </c>
      <c r="AY91" t="e">
        <f>AND('Planilla_General_07-12-2012_8_3'!D1359,"AAAAAD+b6TI=")</f>
        <v>#VALUE!</v>
      </c>
      <c r="AZ91" t="e">
        <f>AND('Planilla_General_07-12-2012_8_3'!E1359,"AAAAAD+b6TM=")</f>
        <v>#VALUE!</v>
      </c>
      <c r="BA91" t="e">
        <f>AND('Planilla_General_07-12-2012_8_3'!F1359,"AAAAAD+b6TQ=")</f>
        <v>#VALUE!</v>
      </c>
      <c r="BB91" t="e">
        <f>AND('Planilla_General_07-12-2012_8_3'!G1359,"AAAAAD+b6TU=")</f>
        <v>#VALUE!</v>
      </c>
      <c r="BC91" t="e">
        <f>AND('Planilla_General_07-12-2012_8_3'!H1359,"AAAAAD+b6TY=")</f>
        <v>#VALUE!</v>
      </c>
      <c r="BD91" t="e">
        <f>AND('Planilla_General_07-12-2012_8_3'!I1359,"AAAAAD+b6Tc=")</f>
        <v>#VALUE!</v>
      </c>
      <c r="BE91" t="e">
        <f>AND('Planilla_General_07-12-2012_8_3'!J1359,"AAAAAD+b6Tg=")</f>
        <v>#VALUE!</v>
      </c>
      <c r="BF91" t="e">
        <f>AND('Planilla_General_07-12-2012_8_3'!K1359,"AAAAAD+b6Tk=")</f>
        <v>#VALUE!</v>
      </c>
      <c r="BG91" t="e">
        <f>AND('Planilla_General_07-12-2012_8_3'!L1359,"AAAAAD+b6To=")</f>
        <v>#VALUE!</v>
      </c>
      <c r="BH91" t="e">
        <f>AND('Planilla_General_07-12-2012_8_3'!M1359,"AAAAAD+b6Ts=")</f>
        <v>#VALUE!</v>
      </c>
      <c r="BI91" t="e">
        <f>AND('Planilla_General_07-12-2012_8_3'!N1359,"AAAAAD+b6Tw=")</f>
        <v>#VALUE!</v>
      </c>
      <c r="BJ91" t="e">
        <f>AND('Planilla_General_07-12-2012_8_3'!O1359,"AAAAAD+b6T0=")</f>
        <v>#VALUE!</v>
      </c>
      <c r="BK91" t="e">
        <f>AND('Planilla_General_07-12-2012_8_3'!P1359,"AAAAAD+b6T4=")</f>
        <v>#VALUE!</v>
      </c>
      <c r="BL91">
        <f>IF('Planilla_General_07-12-2012_8_3'!1360:1360,"AAAAAD+b6T8=",0)</f>
        <v>0</v>
      </c>
      <c r="BM91" t="e">
        <f>AND('Planilla_General_07-12-2012_8_3'!A1360,"AAAAAD+b6UA=")</f>
        <v>#VALUE!</v>
      </c>
      <c r="BN91" t="e">
        <f>AND('Planilla_General_07-12-2012_8_3'!B1360,"AAAAAD+b6UE=")</f>
        <v>#VALUE!</v>
      </c>
      <c r="BO91" t="e">
        <f>AND('Planilla_General_07-12-2012_8_3'!C1360,"AAAAAD+b6UI=")</f>
        <v>#VALUE!</v>
      </c>
      <c r="BP91" t="e">
        <f>AND('Planilla_General_07-12-2012_8_3'!D1360,"AAAAAD+b6UM=")</f>
        <v>#VALUE!</v>
      </c>
      <c r="BQ91" t="e">
        <f>AND('Planilla_General_07-12-2012_8_3'!E1360,"AAAAAD+b6UQ=")</f>
        <v>#VALUE!</v>
      </c>
      <c r="BR91" t="e">
        <f>AND('Planilla_General_07-12-2012_8_3'!F1360,"AAAAAD+b6UU=")</f>
        <v>#VALUE!</v>
      </c>
      <c r="BS91" t="e">
        <f>AND('Planilla_General_07-12-2012_8_3'!G1360,"AAAAAD+b6UY=")</f>
        <v>#VALUE!</v>
      </c>
      <c r="BT91" t="e">
        <f>AND('Planilla_General_07-12-2012_8_3'!H1360,"AAAAAD+b6Uc=")</f>
        <v>#VALUE!</v>
      </c>
      <c r="BU91" t="e">
        <f>AND('Planilla_General_07-12-2012_8_3'!I1360,"AAAAAD+b6Ug=")</f>
        <v>#VALUE!</v>
      </c>
      <c r="BV91" t="e">
        <f>AND('Planilla_General_07-12-2012_8_3'!J1360,"AAAAAD+b6Uk=")</f>
        <v>#VALUE!</v>
      </c>
      <c r="BW91" t="e">
        <f>AND('Planilla_General_07-12-2012_8_3'!K1360,"AAAAAD+b6Uo=")</f>
        <v>#VALUE!</v>
      </c>
      <c r="BX91" t="e">
        <f>AND('Planilla_General_07-12-2012_8_3'!L1360,"AAAAAD+b6Us=")</f>
        <v>#VALUE!</v>
      </c>
      <c r="BY91" t="e">
        <f>AND('Planilla_General_07-12-2012_8_3'!M1360,"AAAAAD+b6Uw=")</f>
        <v>#VALUE!</v>
      </c>
      <c r="BZ91" t="e">
        <f>AND('Planilla_General_07-12-2012_8_3'!N1360,"AAAAAD+b6U0=")</f>
        <v>#VALUE!</v>
      </c>
      <c r="CA91" t="e">
        <f>AND('Planilla_General_07-12-2012_8_3'!O1360,"AAAAAD+b6U4=")</f>
        <v>#VALUE!</v>
      </c>
      <c r="CB91" t="e">
        <f>AND('Planilla_General_07-12-2012_8_3'!P1360,"AAAAAD+b6U8=")</f>
        <v>#VALUE!</v>
      </c>
      <c r="CC91">
        <f>IF('Planilla_General_07-12-2012_8_3'!1361:1361,"AAAAAD+b6VA=",0)</f>
        <v>0</v>
      </c>
      <c r="CD91" t="e">
        <f>AND('Planilla_General_07-12-2012_8_3'!A1361,"AAAAAD+b6VE=")</f>
        <v>#VALUE!</v>
      </c>
      <c r="CE91" t="e">
        <f>AND('Planilla_General_07-12-2012_8_3'!B1361,"AAAAAD+b6VI=")</f>
        <v>#VALUE!</v>
      </c>
      <c r="CF91" t="e">
        <f>AND('Planilla_General_07-12-2012_8_3'!C1361,"AAAAAD+b6VM=")</f>
        <v>#VALUE!</v>
      </c>
      <c r="CG91" t="e">
        <f>AND('Planilla_General_07-12-2012_8_3'!D1361,"AAAAAD+b6VQ=")</f>
        <v>#VALUE!</v>
      </c>
      <c r="CH91" t="e">
        <f>AND('Planilla_General_07-12-2012_8_3'!E1361,"AAAAAD+b6VU=")</f>
        <v>#VALUE!</v>
      </c>
      <c r="CI91" t="e">
        <f>AND('Planilla_General_07-12-2012_8_3'!F1361,"AAAAAD+b6VY=")</f>
        <v>#VALUE!</v>
      </c>
      <c r="CJ91" t="e">
        <f>AND('Planilla_General_07-12-2012_8_3'!G1361,"AAAAAD+b6Vc=")</f>
        <v>#VALUE!</v>
      </c>
      <c r="CK91" t="e">
        <f>AND('Planilla_General_07-12-2012_8_3'!H1361,"AAAAAD+b6Vg=")</f>
        <v>#VALUE!</v>
      </c>
      <c r="CL91" t="e">
        <f>AND('Planilla_General_07-12-2012_8_3'!I1361,"AAAAAD+b6Vk=")</f>
        <v>#VALUE!</v>
      </c>
      <c r="CM91" t="e">
        <f>AND('Planilla_General_07-12-2012_8_3'!J1361,"AAAAAD+b6Vo=")</f>
        <v>#VALUE!</v>
      </c>
      <c r="CN91" t="e">
        <f>AND('Planilla_General_07-12-2012_8_3'!K1361,"AAAAAD+b6Vs=")</f>
        <v>#VALUE!</v>
      </c>
      <c r="CO91" t="e">
        <f>AND('Planilla_General_07-12-2012_8_3'!L1361,"AAAAAD+b6Vw=")</f>
        <v>#VALUE!</v>
      </c>
      <c r="CP91" t="e">
        <f>AND('Planilla_General_07-12-2012_8_3'!M1361,"AAAAAD+b6V0=")</f>
        <v>#VALUE!</v>
      </c>
      <c r="CQ91" t="e">
        <f>AND('Planilla_General_07-12-2012_8_3'!N1361,"AAAAAD+b6V4=")</f>
        <v>#VALUE!</v>
      </c>
      <c r="CR91" t="e">
        <f>AND('Planilla_General_07-12-2012_8_3'!O1361,"AAAAAD+b6V8=")</f>
        <v>#VALUE!</v>
      </c>
      <c r="CS91" t="e">
        <f>AND('Planilla_General_07-12-2012_8_3'!P1361,"AAAAAD+b6WA=")</f>
        <v>#VALUE!</v>
      </c>
      <c r="CT91">
        <f>IF('Planilla_General_07-12-2012_8_3'!1362:1362,"AAAAAD+b6WE=",0)</f>
        <v>0</v>
      </c>
      <c r="CU91" t="e">
        <f>AND('Planilla_General_07-12-2012_8_3'!A1362,"AAAAAD+b6WI=")</f>
        <v>#VALUE!</v>
      </c>
      <c r="CV91" t="e">
        <f>AND('Planilla_General_07-12-2012_8_3'!B1362,"AAAAAD+b6WM=")</f>
        <v>#VALUE!</v>
      </c>
      <c r="CW91" t="e">
        <f>AND('Planilla_General_07-12-2012_8_3'!C1362,"AAAAAD+b6WQ=")</f>
        <v>#VALUE!</v>
      </c>
      <c r="CX91" t="e">
        <f>AND('Planilla_General_07-12-2012_8_3'!D1362,"AAAAAD+b6WU=")</f>
        <v>#VALUE!</v>
      </c>
      <c r="CY91" t="e">
        <f>AND('Planilla_General_07-12-2012_8_3'!E1362,"AAAAAD+b6WY=")</f>
        <v>#VALUE!</v>
      </c>
      <c r="CZ91" t="e">
        <f>AND('Planilla_General_07-12-2012_8_3'!F1362,"AAAAAD+b6Wc=")</f>
        <v>#VALUE!</v>
      </c>
      <c r="DA91" t="e">
        <f>AND('Planilla_General_07-12-2012_8_3'!G1362,"AAAAAD+b6Wg=")</f>
        <v>#VALUE!</v>
      </c>
      <c r="DB91" t="e">
        <f>AND('Planilla_General_07-12-2012_8_3'!H1362,"AAAAAD+b6Wk=")</f>
        <v>#VALUE!</v>
      </c>
      <c r="DC91" t="e">
        <f>AND('Planilla_General_07-12-2012_8_3'!I1362,"AAAAAD+b6Wo=")</f>
        <v>#VALUE!</v>
      </c>
      <c r="DD91" t="e">
        <f>AND('Planilla_General_07-12-2012_8_3'!J1362,"AAAAAD+b6Ws=")</f>
        <v>#VALUE!</v>
      </c>
      <c r="DE91" t="e">
        <f>AND('Planilla_General_07-12-2012_8_3'!K1362,"AAAAAD+b6Ww=")</f>
        <v>#VALUE!</v>
      </c>
      <c r="DF91" t="e">
        <f>AND('Planilla_General_07-12-2012_8_3'!L1362,"AAAAAD+b6W0=")</f>
        <v>#VALUE!</v>
      </c>
      <c r="DG91" t="e">
        <f>AND('Planilla_General_07-12-2012_8_3'!M1362,"AAAAAD+b6W4=")</f>
        <v>#VALUE!</v>
      </c>
      <c r="DH91" t="e">
        <f>AND('Planilla_General_07-12-2012_8_3'!N1362,"AAAAAD+b6W8=")</f>
        <v>#VALUE!</v>
      </c>
      <c r="DI91" t="e">
        <f>AND('Planilla_General_07-12-2012_8_3'!O1362,"AAAAAD+b6XA=")</f>
        <v>#VALUE!</v>
      </c>
      <c r="DJ91" t="e">
        <f>AND('Planilla_General_07-12-2012_8_3'!P1362,"AAAAAD+b6XE=")</f>
        <v>#VALUE!</v>
      </c>
      <c r="DK91">
        <f>IF('Planilla_General_07-12-2012_8_3'!1363:1363,"AAAAAD+b6XI=",0)</f>
        <v>0</v>
      </c>
      <c r="DL91" t="e">
        <f>AND('Planilla_General_07-12-2012_8_3'!A1363,"AAAAAD+b6XM=")</f>
        <v>#VALUE!</v>
      </c>
      <c r="DM91" t="e">
        <f>AND('Planilla_General_07-12-2012_8_3'!B1363,"AAAAAD+b6XQ=")</f>
        <v>#VALUE!</v>
      </c>
      <c r="DN91" t="e">
        <f>AND('Planilla_General_07-12-2012_8_3'!C1363,"AAAAAD+b6XU=")</f>
        <v>#VALUE!</v>
      </c>
      <c r="DO91" t="e">
        <f>AND('Planilla_General_07-12-2012_8_3'!D1363,"AAAAAD+b6XY=")</f>
        <v>#VALUE!</v>
      </c>
      <c r="DP91" t="e">
        <f>AND('Planilla_General_07-12-2012_8_3'!E1363,"AAAAAD+b6Xc=")</f>
        <v>#VALUE!</v>
      </c>
      <c r="DQ91" t="e">
        <f>AND('Planilla_General_07-12-2012_8_3'!F1363,"AAAAAD+b6Xg=")</f>
        <v>#VALUE!</v>
      </c>
      <c r="DR91" t="e">
        <f>AND('Planilla_General_07-12-2012_8_3'!G1363,"AAAAAD+b6Xk=")</f>
        <v>#VALUE!</v>
      </c>
      <c r="DS91" t="e">
        <f>AND('Planilla_General_07-12-2012_8_3'!H1363,"AAAAAD+b6Xo=")</f>
        <v>#VALUE!</v>
      </c>
      <c r="DT91" t="e">
        <f>AND('Planilla_General_07-12-2012_8_3'!I1363,"AAAAAD+b6Xs=")</f>
        <v>#VALUE!</v>
      </c>
      <c r="DU91" t="e">
        <f>AND('Planilla_General_07-12-2012_8_3'!J1363,"AAAAAD+b6Xw=")</f>
        <v>#VALUE!</v>
      </c>
      <c r="DV91" t="e">
        <f>AND('Planilla_General_07-12-2012_8_3'!K1363,"AAAAAD+b6X0=")</f>
        <v>#VALUE!</v>
      </c>
      <c r="DW91" t="e">
        <f>AND('Planilla_General_07-12-2012_8_3'!L1363,"AAAAAD+b6X4=")</f>
        <v>#VALUE!</v>
      </c>
      <c r="DX91" t="e">
        <f>AND('Planilla_General_07-12-2012_8_3'!M1363,"AAAAAD+b6X8=")</f>
        <v>#VALUE!</v>
      </c>
      <c r="DY91" t="e">
        <f>AND('Planilla_General_07-12-2012_8_3'!N1363,"AAAAAD+b6YA=")</f>
        <v>#VALUE!</v>
      </c>
      <c r="DZ91" t="e">
        <f>AND('Planilla_General_07-12-2012_8_3'!O1363,"AAAAAD+b6YE=")</f>
        <v>#VALUE!</v>
      </c>
      <c r="EA91" t="e">
        <f>AND('Planilla_General_07-12-2012_8_3'!P1363,"AAAAAD+b6YI=")</f>
        <v>#VALUE!</v>
      </c>
      <c r="EB91">
        <f>IF('Planilla_General_07-12-2012_8_3'!1364:1364,"AAAAAD+b6YM=",0)</f>
        <v>0</v>
      </c>
      <c r="EC91" t="e">
        <f>AND('Planilla_General_07-12-2012_8_3'!A1364,"AAAAAD+b6YQ=")</f>
        <v>#VALUE!</v>
      </c>
      <c r="ED91" t="e">
        <f>AND('Planilla_General_07-12-2012_8_3'!B1364,"AAAAAD+b6YU=")</f>
        <v>#VALUE!</v>
      </c>
      <c r="EE91" t="e">
        <f>AND('Planilla_General_07-12-2012_8_3'!C1364,"AAAAAD+b6YY=")</f>
        <v>#VALUE!</v>
      </c>
      <c r="EF91" t="e">
        <f>AND('Planilla_General_07-12-2012_8_3'!D1364,"AAAAAD+b6Yc=")</f>
        <v>#VALUE!</v>
      </c>
      <c r="EG91" t="e">
        <f>AND('Planilla_General_07-12-2012_8_3'!E1364,"AAAAAD+b6Yg=")</f>
        <v>#VALUE!</v>
      </c>
      <c r="EH91" t="e">
        <f>AND('Planilla_General_07-12-2012_8_3'!F1364,"AAAAAD+b6Yk=")</f>
        <v>#VALUE!</v>
      </c>
      <c r="EI91" t="e">
        <f>AND('Planilla_General_07-12-2012_8_3'!G1364,"AAAAAD+b6Yo=")</f>
        <v>#VALUE!</v>
      </c>
      <c r="EJ91" t="e">
        <f>AND('Planilla_General_07-12-2012_8_3'!H1364,"AAAAAD+b6Ys=")</f>
        <v>#VALUE!</v>
      </c>
      <c r="EK91" t="e">
        <f>AND('Planilla_General_07-12-2012_8_3'!I1364,"AAAAAD+b6Yw=")</f>
        <v>#VALUE!</v>
      </c>
      <c r="EL91" t="e">
        <f>AND('Planilla_General_07-12-2012_8_3'!J1364,"AAAAAD+b6Y0=")</f>
        <v>#VALUE!</v>
      </c>
      <c r="EM91" t="e">
        <f>AND('Planilla_General_07-12-2012_8_3'!K1364,"AAAAAD+b6Y4=")</f>
        <v>#VALUE!</v>
      </c>
      <c r="EN91" t="e">
        <f>AND('Planilla_General_07-12-2012_8_3'!L1364,"AAAAAD+b6Y8=")</f>
        <v>#VALUE!</v>
      </c>
      <c r="EO91" t="e">
        <f>AND('Planilla_General_07-12-2012_8_3'!M1364,"AAAAAD+b6ZA=")</f>
        <v>#VALUE!</v>
      </c>
      <c r="EP91" t="e">
        <f>AND('Planilla_General_07-12-2012_8_3'!N1364,"AAAAAD+b6ZE=")</f>
        <v>#VALUE!</v>
      </c>
      <c r="EQ91" t="e">
        <f>AND('Planilla_General_07-12-2012_8_3'!O1364,"AAAAAD+b6ZI=")</f>
        <v>#VALUE!</v>
      </c>
      <c r="ER91" t="e">
        <f>AND('Planilla_General_07-12-2012_8_3'!P1364,"AAAAAD+b6ZM=")</f>
        <v>#VALUE!</v>
      </c>
      <c r="ES91">
        <f>IF('Planilla_General_07-12-2012_8_3'!1365:1365,"AAAAAD+b6ZQ=",0)</f>
        <v>0</v>
      </c>
      <c r="ET91" t="e">
        <f>AND('Planilla_General_07-12-2012_8_3'!A1365,"AAAAAD+b6ZU=")</f>
        <v>#VALUE!</v>
      </c>
      <c r="EU91" t="e">
        <f>AND('Planilla_General_07-12-2012_8_3'!B1365,"AAAAAD+b6ZY=")</f>
        <v>#VALUE!</v>
      </c>
      <c r="EV91" t="e">
        <f>AND('Planilla_General_07-12-2012_8_3'!C1365,"AAAAAD+b6Zc=")</f>
        <v>#VALUE!</v>
      </c>
      <c r="EW91" t="e">
        <f>AND('Planilla_General_07-12-2012_8_3'!D1365,"AAAAAD+b6Zg=")</f>
        <v>#VALUE!</v>
      </c>
      <c r="EX91" t="e">
        <f>AND('Planilla_General_07-12-2012_8_3'!E1365,"AAAAAD+b6Zk=")</f>
        <v>#VALUE!</v>
      </c>
      <c r="EY91" t="e">
        <f>AND('Planilla_General_07-12-2012_8_3'!F1365,"AAAAAD+b6Zo=")</f>
        <v>#VALUE!</v>
      </c>
      <c r="EZ91" t="e">
        <f>AND('Planilla_General_07-12-2012_8_3'!G1365,"AAAAAD+b6Zs=")</f>
        <v>#VALUE!</v>
      </c>
      <c r="FA91" t="e">
        <f>AND('Planilla_General_07-12-2012_8_3'!H1365,"AAAAAD+b6Zw=")</f>
        <v>#VALUE!</v>
      </c>
      <c r="FB91" t="e">
        <f>AND('Planilla_General_07-12-2012_8_3'!I1365,"AAAAAD+b6Z0=")</f>
        <v>#VALUE!</v>
      </c>
      <c r="FC91" t="e">
        <f>AND('Planilla_General_07-12-2012_8_3'!J1365,"AAAAAD+b6Z4=")</f>
        <v>#VALUE!</v>
      </c>
      <c r="FD91" t="e">
        <f>AND('Planilla_General_07-12-2012_8_3'!K1365,"AAAAAD+b6Z8=")</f>
        <v>#VALUE!</v>
      </c>
      <c r="FE91" t="e">
        <f>AND('Planilla_General_07-12-2012_8_3'!L1365,"AAAAAD+b6aA=")</f>
        <v>#VALUE!</v>
      </c>
      <c r="FF91" t="e">
        <f>AND('Planilla_General_07-12-2012_8_3'!M1365,"AAAAAD+b6aE=")</f>
        <v>#VALUE!</v>
      </c>
      <c r="FG91" t="e">
        <f>AND('Planilla_General_07-12-2012_8_3'!N1365,"AAAAAD+b6aI=")</f>
        <v>#VALUE!</v>
      </c>
      <c r="FH91" t="e">
        <f>AND('Planilla_General_07-12-2012_8_3'!O1365,"AAAAAD+b6aM=")</f>
        <v>#VALUE!</v>
      </c>
      <c r="FI91" t="e">
        <f>AND('Planilla_General_07-12-2012_8_3'!P1365,"AAAAAD+b6aQ=")</f>
        <v>#VALUE!</v>
      </c>
      <c r="FJ91">
        <f>IF('Planilla_General_07-12-2012_8_3'!1366:1366,"AAAAAD+b6aU=",0)</f>
        <v>0</v>
      </c>
      <c r="FK91" t="e">
        <f>AND('Planilla_General_07-12-2012_8_3'!A1366,"AAAAAD+b6aY=")</f>
        <v>#VALUE!</v>
      </c>
      <c r="FL91" t="e">
        <f>AND('Planilla_General_07-12-2012_8_3'!B1366,"AAAAAD+b6ac=")</f>
        <v>#VALUE!</v>
      </c>
      <c r="FM91" t="e">
        <f>AND('Planilla_General_07-12-2012_8_3'!C1366,"AAAAAD+b6ag=")</f>
        <v>#VALUE!</v>
      </c>
      <c r="FN91" t="e">
        <f>AND('Planilla_General_07-12-2012_8_3'!D1366,"AAAAAD+b6ak=")</f>
        <v>#VALUE!</v>
      </c>
      <c r="FO91" t="e">
        <f>AND('Planilla_General_07-12-2012_8_3'!E1366,"AAAAAD+b6ao=")</f>
        <v>#VALUE!</v>
      </c>
      <c r="FP91" t="e">
        <f>AND('Planilla_General_07-12-2012_8_3'!F1366,"AAAAAD+b6as=")</f>
        <v>#VALUE!</v>
      </c>
      <c r="FQ91" t="e">
        <f>AND('Planilla_General_07-12-2012_8_3'!G1366,"AAAAAD+b6aw=")</f>
        <v>#VALUE!</v>
      </c>
      <c r="FR91" t="e">
        <f>AND('Planilla_General_07-12-2012_8_3'!H1366,"AAAAAD+b6a0=")</f>
        <v>#VALUE!</v>
      </c>
      <c r="FS91" t="e">
        <f>AND('Planilla_General_07-12-2012_8_3'!I1366,"AAAAAD+b6a4=")</f>
        <v>#VALUE!</v>
      </c>
      <c r="FT91" t="e">
        <f>AND('Planilla_General_07-12-2012_8_3'!J1366,"AAAAAD+b6a8=")</f>
        <v>#VALUE!</v>
      </c>
      <c r="FU91" t="e">
        <f>AND('Planilla_General_07-12-2012_8_3'!K1366,"AAAAAD+b6bA=")</f>
        <v>#VALUE!</v>
      </c>
      <c r="FV91" t="e">
        <f>AND('Planilla_General_07-12-2012_8_3'!L1366,"AAAAAD+b6bE=")</f>
        <v>#VALUE!</v>
      </c>
      <c r="FW91" t="e">
        <f>AND('Planilla_General_07-12-2012_8_3'!M1366,"AAAAAD+b6bI=")</f>
        <v>#VALUE!</v>
      </c>
      <c r="FX91" t="e">
        <f>AND('Planilla_General_07-12-2012_8_3'!N1366,"AAAAAD+b6bM=")</f>
        <v>#VALUE!</v>
      </c>
      <c r="FY91" t="e">
        <f>AND('Planilla_General_07-12-2012_8_3'!O1366,"AAAAAD+b6bQ=")</f>
        <v>#VALUE!</v>
      </c>
      <c r="FZ91" t="e">
        <f>AND('Planilla_General_07-12-2012_8_3'!P1366,"AAAAAD+b6bU=")</f>
        <v>#VALUE!</v>
      </c>
      <c r="GA91">
        <f>IF('Planilla_General_07-12-2012_8_3'!1367:1367,"AAAAAD+b6bY=",0)</f>
        <v>0</v>
      </c>
      <c r="GB91" t="e">
        <f>AND('Planilla_General_07-12-2012_8_3'!A1367,"AAAAAD+b6bc=")</f>
        <v>#VALUE!</v>
      </c>
      <c r="GC91" t="e">
        <f>AND('Planilla_General_07-12-2012_8_3'!B1367,"AAAAAD+b6bg=")</f>
        <v>#VALUE!</v>
      </c>
      <c r="GD91" t="e">
        <f>AND('Planilla_General_07-12-2012_8_3'!C1367,"AAAAAD+b6bk=")</f>
        <v>#VALUE!</v>
      </c>
      <c r="GE91" t="e">
        <f>AND('Planilla_General_07-12-2012_8_3'!D1367,"AAAAAD+b6bo=")</f>
        <v>#VALUE!</v>
      </c>
      <c r="GF91" t="e">
        <f>AND('Planilla_General_07-12-2012_8_3'!E1367,"AAAAAD+b6bs=")</f>
        <v>#VALUE!</v>
      </c>
      <c r="GG91" t="e">
        <f>AND('Planilla_General_07-12-2012_8_3'!F1367,"AAAAAD+b6bw=")</f>
        <v>#VALUE!</v>
      </c>
      <c r="GH91" t="e">
        <f>AND('Planilla_General_07-12-2012_8_3'!G1367,"AAAAAD+b6b0=")</f>
        <v>#VALUE!</v>
      </c>
      <c r="GI91" t="e">
        <f>AND('Planilla_General_07-12-2012_8_3'!H1367,"AAAAAD+b6b4=")</f>
        <v>#VALUE!</v>
      </c>
      <c r="GJ91" t="e">
        <f>AND('Planilla_General_07-12-2012_8_3'!I1367,"AAAAAD+b6b8=")</f>
        <v>#VALUE!</v>
      </c>
      <c r="GK91" t="e">
        <f>AND('Planilla_General_07-12-2012_8_3'!J1367,"AAAAAD+b6cA=")</f>
        <v>#VALUE!</v>
      </c>
      <c r="GL91" t="e">
        <f>AND('Planilla_General_07-12-2012_8_3'!K1367,"AAAAAD+b6cE=")</f>
        <v>#VALUE!</v>
      </c>
      <c r="GM91" t="e">
        <f>AND('Planilla_General_07-12-2012_8_3'!L1367,"AAAAAD+b6cI=")</f>
        <v>#VALUE!</v>
      </c>
      <c r="GN91" t="e">
        <f>AND('Planilla_General_07-12-2012_8_3'!M1367,"AAAAAD+b6cM=")</f>
        <v>#VALUE!</v>
      </c>
      <c r="GO91" t="e">
        <f>AND('Planilla_General_07-12-2012_8_3'!N1367,"AAAAAD+b6cQ=")</f>
        <v>#VALUE!</v>
      </c>
      <c r="GP91" t="e">
        <f>AND('Planilla_General_07-12-2012_8_3'!O1367,"AAAAAD+b6cU=")</f>
        <v>#VALUE!</v>
      </c>
      <c r="GQ91" t="e">
        <f>AND('Planilla_General_07-12-2012_8_3'!P1367,"AAAAAD+b6cY=")</f>
        <v>#VALUE!</v>
      </c>
      <c r="GR91">
        <f>IF('Planilla_General_07-12-2012_8_3'!1368:1368,"AAAAAD+b6cc=",0)</f>
        <v>0</v>
      </c>
      <c r="GS91" t="e">
        <f>AND('Planilla_General_07-12-2012_8_3'!A1368,"AAAAAD+b6cg=")</f>
        <v>#VALUE!</v>
      </c>
      <c r="GT91" t="e">
        <f>AND('Planilla_General_07-12-2012_8_3'!B1368,"AAAAAD+b6ck=")</f>
        <v>#VALUE!</v>
      </c>
      <c r="GU91" t="e">
        <f>AND('Planilla_General_07-12-2012_8_3'!C1368,"AAAAAD+b6co=")</f>
        <v>#VALUE!</v>
      </c>
      <c r="GV91" t="e">
        <f>AND('Planilla_General_07-12-2012_8_3'!D1368,"AAAAAD+b6cs=")</f>
        <v>#VALUE!</v>
      </c>
      <c r="GW91" t="e">
        <f>AND('Planilla_General_07-12-2012_8_3'!E1368,"AAAAAD+b6cw=")</f>
        <v>#VALUE!</v>
      </c>
      <c r="GX91" t="e">
        <f>AND('Planilla_General_07-12-2012_8_3'!F1368,"AAAAAD+b6c0=")</f>
        <v>#VALUE!</v>
      </c>
      <c r="GY91" t="e">
        <f>AND('Planilla_General_07-12-2012_8_3'!G1368,"AAAAAD+b6c4=")</f>
        <v>#VALUE!</v>
      </c>
      <c r="GZ91" t="e">
        <f>AND('Planilla_General_07-12-2012_8_3'!H1368,"AAAAAD+b6c8=")</f>
        <v>#VALUE!</v>
      </c>
      <c r="HA91" t="e">
        <f>AND('Planilla_General_07-12-2012_8_3'!I1368,"AAAAAD+b6dA=")</f>
        <v>#VALUE!</v>
      </c>
      <c r="HB91" t="e">
        <f>AND('Planilla_General_07-12-2012_8_3'!J1368,"AAAAAD+b6dE=")</f>
        <v>#VALUE!</v>
      </c>
      <c r="HC91" t="e">
        <f>AND('Planilla_General_07-12-2012_8_3'!K1368,"AAAAAD+b6dI=")</f>
        <v>#VALUE!</v>
      </c>
      <c r="HD91" t="e">
        <f>AND('Planilla_General_07-12-2012_8_3'!L1368,"AAAAAD+b6dM=")</f>
        <v>#VALUE!</v>
      </c>
      <c r="HE91" t="e">
        <f>AND('Planilla_General_07-12-2012_8_3'!M1368,"AAAAAD+b6dQ=")</f>
        <v>#VALUE!</v>
      </c>
      <c r="HF91" t="e">
        <f>AND('Planilla_General_07-12-2012_8_3'!N1368,"AAAAAD+b6dU=")</f>
        <v>#VALUE!</v>
      </c>
      <c r="HG91" t="e">
        <f>AND('Planilla_General_07-12-2012_8_3'!O1368,"AAAAAD+b6dY=")</f>
        <v>#VALUE!</v>
      </c>
      <c r="HH91" t="e">
        <f>AND('Planilla_General_07-12-2012_8_3'!P1368,"AAAAAD+b6dc=")</f>
        <v>#VALUE!</v>
      </c>
      <c r="HI91">
        <f>IF('Planilla_General_07-12-2012_8_3'!1369:1369,"AAAAAD+b6dg=",0)</f>
        <v>0</v>
      </c>
      <c r="HJ91" t="e">
        <f>AND('Planilla_General_07-12-2012_8_3'!A1369,"AAAAAD+b6dk=")</f>
        <v>#VALUE!</v>
      </c>
      <c r="HK91" t="e">
        <f>AND('Planilla_General_07-12-2012_8_3'!B1369,"AAAAAD+b6do=")</f>
        <v>#VALUE!</v>
      </c>
      <c r="HL91" t="e">
        <f>AND('Planilla_General_07-12-2012_8_3'!C1369,"AAAAAD+b6ds=")</f>
        <v>#VALUE!</v>
      </c>
      <c r="HM91" t="e">
        <f>AND('Planilla_General_07-12-2012_8_3'!D1369,"AAAAAD+b6dw=")</f>
        <v>#VALUE!</v>
      </c>
      <c r="HN91" t="e">
        <f>AND('Planilla_General_07-12-2012_8_3'!E1369,"AAAAAD+b6d0=")</f>
        <v>#VALUE!</v>
      </c>
      <c r="HO91" t="e">
        <f>AND('Planilla_General_07-12-2012_8_3'!F1369,"AAAAAD+b6d4=")</f>
        <v>#VALUE!</v>
      </c>
      <c r="HP91" t="e">
        <f>AND('Planilla_General_07-12-2012_8_3'!G1369,"AAAAAD+b6d8=")</f>
        <v>#VALUE!</v>
      </c>
      <c r="HQ91" t="e">
        <f>AND('Planilla_General_07-12-2012_8_3'!H1369,"AAAAAD+b6eA=")</f>
        <v>#VALUE!</v>
      </c>
      <c r="HR91" t="e">
        <f>AND('Planilla_General_07-12-2012_8_3'!I1369,"AAAAAD+b6eE=")</f>
        <v>#VALUE!</v>
      </c>
      <c r="HS91" t="e">
        <f>AND('Planilla_General_07-12-2012_8_3'!J1369,"AAAAAD+b6eI=")</f>
        <v>#VALUE!</v>
      </c>
      <c r="HT91" t="e">
        <f>AND('Planilla_General_07-12-2012_8_3'!K1369,"AAAAAD+b6eM=")</f>
        <v>#VALUE!</v>
      </c>
      <c r="HU91" t="e">
        <f>AND('Planilla_General_07-12-2012_8_3'!L1369,"AAAAAD+b6eQ=")</f>
        <v>#VALUE!</v>
      </c>
      <c r="HV91" t="e">
        <f>AND('Planilla_General_07-12-2012_8_3'!M1369,"AAAAAD+b6eU=")</f>
        <v>#VALUE!</v>
      </c>
      <c r="HW91" t="e">
        <f>AND('Planilla_General_07-12-2012_8_3'!N1369,"AAAAAD+b6eY=")</f>
        <v>#VALUE!</v>
      </c>
      <c r="HX91" t="e">
        <f>AND('Planilla_General_07-12-2012_8_3'!O1369,"AAAAAD+b6ec=")</f>
        <v>#VALUE!</v>
      </c>
      <c r="HY91" t="e">
        <f>AND('Planilla_General_07-12-2012_8_3'!P1369,"AAAAAD+b6eg=")</f>
        <v>#VALUE!</v>
      </c>
      <c r="HZ91">
        <f>IF('Planilla_General_07-12-2012_8_3'!1370:1370,"AAAAAD+b6ek=",0)</f>
        <v>0</v>
      </c>
      <c r="IA91" t="e">
        <f>AND('Planilla_General_07-12-2012_8_3'!A1370,"AAAAAD+b6eo=")</f>
        <v>#VALUE!</v>
      </c>
      <c r="IB91" t="e">
        <f>AND('Planilla_General_07-12-2012_8_3'!B1370,"AAAAAD+b6es=")</f>
        <v>#VALUE!</v>
      </c>
      <c r="IC91" t="e">
        <f>AND('Planilla_General_07-12-2012_8_3'!C1370,"AAAAAD+b6ew=")</f>
        <v>#VALUE!</v>
      </c>
      <c r="ID91" t="e">
        <f>AND('Planilla_General_07-12-2012_8_3'!D1370,"AAAAAD+b6e0=")</f>
        <v>#VALUE!</v>
      </c>
      <c r="IE91" t="e">
        <f>AND('Planilla_General_07-12-2012_8_3'!E1370,"AAAAAD+b6e4=")</f>
        <v>#VALUE!</v>
      </c>
      <c r="IF91" t="e">
        <f>AND('Planilla_General_07-12-2012_8_3'!F1370,"AAAAAD+b6e8=")</f>
        <v>#VALUE!</v>
      </c>
      <c r="IG91" t="e">
        <f>AND('Planilla_General_07-12-2012_8_3'!G1370,"AAAAAD+b6fA=")</f>
        <v>#VALUE!</v>
      </c>
      <c r="IH91" t="e">
        <f>AND('Planilla_General_07-12-2012_8_3'!H1370,"AAAAAD+b6fE=")</f>
        <v>#VALUE!</v>
      </c>
      <c r="II91" t="e">
        <f>AND('Planilla_General_07-12-2012_8_3'!I1370,"AAAAAD+b6fI=")</f>
        <v>#VALUE!</v>
      </c>
      <c r="IJ91" t="e">
        <f>AND('Planilla_General_07-12-2012_8_3'!J1370,"AAAAAD+b6fM=")</f>
        <v>#VALUE!</v>
      </c>
      <c r="IK91" t="e">
        <f>AND('Planilla_General_07-12-2012_8_3'!K1370,"AAAAAD+b6fQ=")</f>
        <v>#VALUE!</v>
      </c>
      <c r="IL91" t="e">
        <f>AND('Planilla_General_07-12-2012_8_3'!L1370,"AAAAAD+b6fU=")</f>
        <v>#VALUE!</v>
      </c>
      <c r="IM91" t="e">
        <f>AND('Planilla_General_07-12-2012_8_3'!M1370,"AAAAAD+b6fY=")</f>
        <v>#VALUE!</v>
      </c>
      <c r="IN91" t="e">
        <f>AND('Planilla_General_07-12-2012_8_3'!N1370,"AAAAAD+b6fc=")</f>
        <v>#VALUE!</v>
      </c>
      <c r="IO91" t="e">
        <f>AND('Planilla_General_07-12-2012_8_3'!O1370,"AAAAAD+b6fg=")</f>
        <v>#VALUE!</v>
      </c>
      <c r="IP91" t="e">
        <f>AND('Planilla_General_07-12-2012_8_3'!P1370,"AAAAAD+b6fk=")</f>
        <v>#VALUE!</v>
      </c>
      <c r="IQ91">
        <f>IF('Planilla_General_07-12-2012_8_3'!1371:1371,"AAAAAD+b6fo=",0)</f>
        <v>0</v>
      </c>
      <c r="IR91" t="e">
        <f>AND('Planilla_General_07-12-2012_8_3'!A1371,"AAAAAD+b6fs=")</f>
        <v>#VALUE!</v>
      </c>
      <c r="IS91" t="e">
        <f>AND('Planilla_General_07-12-2012_8_3'!B1371,"AAAAAD+b6fw=")</f>
        <v>#VALUE!</v>
      </c>
      <c r="IT91" t="e">
        <f>AND('Planilla_General_07-12-2012_8_3'!C1371,"AAAAAD+b6f0=")</f>
        <v>#VALUE!</v>
      </c>
      <c r="IU91" t="e">
        <f>AND('Planilla_General_07-12-2012_8_3'!D1371,"AAAAAD+b6f4=")</f>
        <v>#VALUE!</v>
      </c>
      <c r="IV91" t="e">
        <f>AND('Planilla_General_07-12-2012_8_3'!E1371,"AAAAAD+b6f8=")</f>
        <v>#VALUE!</v>
      </c>
    </row>
    <row r="92" spans="1:256" x14ac:dyDescent="0.25">
      <c r="A92" t="e">
        <f>AND('Planilla_General_07-12-2012_8_3'!F1371,"AAAAAB879AA=")</f>
        <v>#VALUE!</v>
      </c>
      <c r="B92" t="e">
        <f>AND('Planilla_General_07-12-2012_8_3'!G1371,"AAAAAB879AE=")</f>
        <v>#VALUE!</v>
      </c>
      <c r="C92" t="e">
        <f>AND('Planilla_General_07-12-2012_8_3'!H1371,"AAAAAB879AI=")</f>
        <v>#VALUE!</v>
      </c>
      <c r="D92" t="e">
        <f>AND('Planilla_General_07-12-2012_8_3'!I1371,"AAAAAB879AM=")</f>
        <v>#VALUE!</v>
      </c>
      <c r="E92" t="e">
        <f>AND('Planilla_General_07-12-2012_8_3'!J1371,"AAAAAB879AQ=")</f>
        <v>#VALUE!</v>
      </c>
      <c r="F92" t="e">
        <f>AND('Planilla_General_07-12-2012_8_3'!K1371,"AAAAAB879AU=")</f>
        <v>#VALUE!</v>
      </c>
      <c r="G92" t="e">
        <f>AND('Planilla_General_07-12-2012_8_3'!L1371,"AAAAAB879AY=")</f>
        <v>#VALUE!</v>
      </c>
      <c r="H92" t="e">
        <f>AND('Planilla_General_07-12-2012_8_3'!M1371,"AAAAAB879Ac=")</f>
        <v>#VALUE!</v>
      </c>
      <c r="I92" t="e">
        <f>AND('Planilla_General_07-12-2012_8_3'!N1371,"AAAAAB879Ag=")</f>
        <v>#VALUE!</v>
      </c>
      <c r="J92" t="e">
        <f>AND('Planilla_General_07-12-2012_8_3'!O1371,"AAAAAB879Ak=")</f>
        <v>#VALUE!</v>
      </c>
      <c r="K92" t="e">
        <f>AND('Planilla_General_07-12-2012_8_3'!P1371,"AAAAAB879Ao=")</f>
        <v>#VALUE!</v>
      </c>
      <c r="L92" t="str">
        <f>IF('Planilla_General_07-12-2012_8_3'!1372:1372,"AAAAAB879As=",0)</f>
        <v>AAAAAB879As=</v>
      </c>
      <c r="M92" t="e">
        <f>AND('Planilla_General_07-12-2012_8_3'!A1372,"AAAAAB879Aw=")</f>
        <v>#VALUE!</v>
      </c>
      <c r="N92" t="e">
        <f>AND('Planilla_General_07-12-2012_8_3'!B1372,"AAAAAB879A0=")</f>
        <v>#VALUE!</v>
      </c>
      <c r="O92" t="e">
        <f>AND('Planilla_General_07-12-2012_8_3'!C1372,"AAAAAB879A4=")</f>
        <v>#VALUE!</v>
      </c>
      <c r="P92" t="e">
        <f>AND('Planilla_General_07-12-2012_8_3'!D1372,"AAAAAB879A8=")</f>
        <v>#VALUE!</v>
      </c>
      <c r="Q92" t="e">
        <f>AND('Planilla_General_07-12-2012_8_3'!E1372,"AAAAAB879BA=")</f>
        <v>#VALUE!</v>
      </c>
      <c r="R92" t="e">
        <f>AND('Planilla_General_07-12-2012_8_3'!F1372,"AAAAAB879BE=")</f>
        <v>#VALUE!</v>
      </c>
      <c r="S92" t="e">
        <f>AND('Planilla_General_07-12-2012_8_3'!G1372,"AAAAAB879BI=")</f>
        <v>#VALUE!</v>
      </c>
      <c r="T92" t="e">
        <f>AND('Planilla_General_07-12-2012_8_3'!H1372,"AAAAAB879BM=")</f>
        <v>#VALUE!</v>
      </c>
      <c r="U92" t="e">
        <f>AND('Planilla_General_07-12-2012_8_3'!I1372,"AAAAAB879BQ=")</f>
        <v>#VALUE!</v>
      </c>
      <c r="V92" t="e">
        <f>AND('Planilla_General_07-12-2012_8_3'!J1372,"AAAAAB879BU=")</f>
        <v>#VALUE!</v>
      </c>
      <c r="W92" t="e">
        <f>AND('Planilla_General_07-12-2012_8_3'!K1372,"AAAAAB879BY=")</f>
        <v>#VALUE!</v>
      </c>
      <c r="X92" t="e">
        <f>AND('Planilla_General_07-12-2012_8_3'!L1372,"AAAAAB879Bc=")</f>
        <v>#VALUE!</v>
      </c>
      <c r="Y92" t="e">
        <f>AND('Planilla_General_07-12-2012_8_3'!M1372,"AAAAAB879Bg=")</f>
        <v>#VALUE!</v>
      </c>
      <c r="Z92" t="e">
        <f>AND('Planilla_General_07-12-2012_8_3'!N1372,"AAAAAB879Bk=")</f>
        <v>#VALUE!</v>
      </c>
      <c r="AA92" t="e">
        <f>AND('Planilla_General_07-12-2012_8_3'!O1372,"AAAAAB879Bo=")</f>
        <v>#VALUE!</v>
      </c>
      <c r="AB92" t="e">
        <f>AND('Planilla_General_07-12-2012_8_3'!P1372,"AAAAAB879Bs=")</f>
        <v>#VALUE!</v>
      </c>
      <c r="AC92">
        <f>IF('Planilla_General_07-12-2012_8_3'!1373:1373,"AAAAAB879Bw=",0)</f>
        <v>0</v>
      </c>
      <c r="AD92" t="e">
        <f>AND('Planilla_General_07-12-2012_8_3'!A1373,"AAAAAB879B0=")</f>
        <v>#VALUE!</v>
      </c>
      <c r="AE92" t="e">
        <f>AND('Planilla_General_07-12-2012_8_3'!B1373,"AAAAAB879B4=")</f>
        <v>#VALUE!</v>
      </c>
      <c r="AF92" t="e">
        <f>AND('Planilla_General_07-12-2012_8_3'!C1373,"AAAAAB879B8=")</f>
        <v>#VALUE!</v>
      </c>
      <c r="AG92" t="e">
        <f>AND('Planilla_General_07-12-2012_8_3'!D1373,"AAAAAB879CA=")</f>
        <v>#VALUE!</v>
      </c>
      <c r="AH92" t="e">
        <f>AND('Planilla_General_07-12-2012_8_3'!E1373,"AAAAAB879CE=")</f>
        <v>#VALUE!</v>
      </c>
      <c r="AI92" t="e">
        <f>AND('Planilla_General_07-12-2012_8_3'!F1373,"AAAAAB879CI=")</f>
        <v>#VALUE!</v>
      </c>
      <c r="AJ92" t="e">
        <f>AND('Planilla_General_07-12-2012_8_3'!G1373,"AAAAAB879CM=")</f>
        <v>#VALUE!</v>
      </c>
      <c r="AK92" t="e">
        <f>AND('Planilla_General_07-12-2012_8_3'!H1373,"AAAAAB879CQ=")</f>
        <v>#VALUE!</v>
      </c>
      <c r="AL92" t="e">
        <f>AND('Planilla_General_07-12-2012_8_3'!I1373,"AAAAAB879CU=")</f>
        <v>#VALUE!</v>
      </c>
      <c r="AM92" t="e">
        <f>AND('Planilla_General_07-12-2012_8_3'!J1373,"AAAAAB879CY=")</f>
        <v>#VALUE!</v>
      </c>
      <c r="AN92" t="e">
        <f>AND('Planilla_General_07-12-2012_8_3'!K1373,"AAAAAB879Cc=")</f>
        <v>#VALUE!</v>
      </c>
      <c r="AO92" t="e">
        <f>AND('Planilla_General_07-12-2012_8_3'!L1373,"AAAAAB879Cg=")</f>
        <v>#VALUE!</v>
      </c>
      <c r="AP92" t="e">
        <f>AND('Planilla_General_07-12-2012_8_3'!M1373,"AAAAAB879Ck=")</f>
        <v>#VALUE!</v>
      </c>
      <c r="AQ92" t="e">
        <f>AND('Planilla_General_07-12-2012_8_3'!N1373,"AAAAAB879Co=")</f>
        <v>#VALUE!</v>
      </c>
      <c r="AR92" t="e">
        <f>AND('Planilla_General_07-12-2012_8_3'!O1373,"AAAAAB879Cs=")</f>
        <v>#VALUE!</v>
      </c>
      <c r="AS92" t="e">
        <f>AND('Planilla_General_07-12-2012_8_3'!P1373,"AAAAAB879Cw=")</f>
        <v>#VALUE!</v>
      </c>
      <c r="AT92">
        <f>IF('Planilla_General_07-12-2012_8_3'!1374:1374,"AAAAAB879C0=",0)</f>
        <v>0</v>
      </c>
      <c r="AU92" t="e">
        <f>AND('Planilla_General_07-12-2012_8_3'!A1374,"AAAAAB879C4=")</f>
        <v>#VALUE!</v>
      </c>
      <c r="AV92" t="e">
        <f>AND('Planilla_General_07-12-2012_8_3'!B1374,"AAAAAB879C8=")</f>
        <v>#VALUE!</v>
      </c>
      <c r="AW92" t="e">
        <f>AND('Planilla_General_07-12-2012_8_3'!C1374,"AAAAAB879DA=")</f>
        <v>#VALUE!</v>
      </c>
      <c r="AX92" t="e">
        <f>AND('Planilla_General_07-12-2012_8_3'!D1374,"AAAAAB879DE=")</f>
        <v>#VALUE!</v>
      </c>
      <c r="AY92" t="e">
        <f>AND('Planilla_General_07-12-2012_8_3'!E1374,"AAAAAB879DI=")</f>
        <v>#VALUE!</v>
      </c>
      <c r="AZ92" t="e">
        <f>AND('Planilla_General_07-12-2012_8_3'!F1374,"AAAAAB879DM=")</f>
        <v>#VALUE!</v>
      </c>
      <c r="BA92" t="e">
        <f>AND('Planilla_General_07-12-2012_8_3'!G1374,"AAAAAB879DQ=")</f>
        <v>#VALUE!</v>
      </c>
      <c r="BB92" t="e">
        <f>AND('Planilla_General_07-12-2012_8_3'!H1374,"AAAAAB879DU=")</f>
        <v>#VALUE!</v>
      </c>
      <c r="BC92" t="e">
        <f>AND('Planilla_General_07-12-2012_8_3'!I1374,"AAAAAB879DY=")</f>
        <v>#VALUE!</v>
      </c>
      <c r="BD92" t="e">
        <f>AND('Planilla_General_07-12-2012_8_3'!J1374,"AAAAAB879Dc=")</f>
        <v>#VALUE!</v>
      </c>
      <c r="BE92" t="e">
        <f>AND('Planilla_General_07-12-2012_8_3'!K1374,"AAAAAB879Dg=")</f>
        <v>#VALUE!</v>
      </c>
      <c r="BF92" t="e">
        <f>AND('Planilla_General_07-12-2012_8_3'!L1374,"AAAAAB879Dk=")</f>
        <v>#VALUE!</v>
      </c>
      <c r="BG92" t="e">
        <f>AND('Planilla_General_07-12-2012_8_3'!M1374,"AAAAAB879Do=")</f>
        <v>#VALUE!</v>
      </c>
      <c r="BH92" t="e">
        <f>AND('Planilla_General_07-12-2012_8_3'!N1374,"AAAAAB879Ds=")</f>
        <v>#VALUE!</v>
      </c>
      <c r="BI92" t="e">
        <f>AND('Planilla_General_07-12-2012_8_3'!O1374,"AAAAAB879Dw=")</f>
        <v>#VALUE!</v>
      </c>
      <c r="BJ92" t="e">
        <f>AND('Planilla_General_07-12-2012_8_3'!P1374,"AAAAAB879D0=")</f>
        <v>#VALUE!</v>
      </c>
      <c r="BK92">
        <f>IF('Planilla_General_07-12-2012_8_3'!1375:1375,"AAAAAB879D4=",0)</f>
        <v>0</v>
      </c>
      <c r="BL92" t="e">
        <f>AND('Planilla_General_07-12-2012_8_3'!A1375,"AAAAAB879D8=")</f>
        <v>#VALUE!</v>
      </c>
      <c r="BM92" t="e">
        <f>AND('Planilla_General_07-12-2012_8_3'!B1375,"AAAAAB879EA=")</f>
        <v>#VALUE!</v>
      </c>
      <c r="BN92" t="e">
        <f>AND('Planilla_General_07-12-2012_8_3'!C1375,"AAAAAB879EE=")</f>
        <v>#VALUE!</v>
      </c>
      <c r="BO92" t="e">
        <f>AND('Planilla_General_07-12-2012_8_3'!D1375,"AAAAAB879EI=")</f>
        <v>#VALUE!</v>
      </c>
      <c r="BP92" t="e">
        <f>AND('Planilla_General_07-12-2012_8_3'!E1375,"AAAAAB879EM=")</f>
        <v>#VALUE!</v>
      </c>
      <c r="BQ92" t="e">
        <f>AND('Planilla_General_07-12-2012_8_3'!F1375,"AAAAAB879EQ=")</f>
        <v>#VALUE!</v>
      </c>
      <c r="BR92" t="e">
        <f>AND('Planilla_General_07-12-2012_8_3'!G1375,"AAAAAB879EU=")</f>
        <v>#VALUE!</v>
      </c>
      <c r="BS92" t="e">
        <f>AND('Planilla_General_07-12-2012_8_3'!H1375,"AAAAAB879EY=")</f>
        <v>#VALUE!</v>
      </c>
      <c r="BT92" t="e">
        <f>AND('Planilla_General_07-12-2012_8_3'!I1375,"AAAAAB879Ec=")</f>
        <v>#VALUE!</v>
      </c>
      <c r="BU92" t="e">
        <f>AND('Planilla_General_07-12-2012_8_3'!J1375,"AAAAAB879Eg=")</f>
        <v>#VALUE!</v>
      </c>
      <c r="BV92" t="e">
        <f>AND('Planilla_General_07-12-2012_8_3'!K1375,"AAAAAB879Ek=")</f>
        <v>#VALUE!</v>
      </c>
      <c r="BW92" t="e">
        <f>AND('Planilla_General_07-12-2012_8_3'!L1375,"AAAAAB879Eo=")</f>
        <v>#VALUE!</v>
      </c>
      <c r="BX92" t="e">
        <f>AND('Planilla_General_07-12-2012_8_3'!M1375,"AAAAAB879Es=")</f>
        <v>#VALUE!</v>
      </c>
      <c r="BY92" t="e">
        <f>AND('Planilla_General_07-12-2012_8_3'!N1375,"AAAAAB879Ew=")</f>
        <v>#VALUE!</v>
      </c>
      <c r="BZ92" t="e">
        <f>AND('Planilla_General_07-12-2012_8_3'!O1375,"AAAAAB879E0=")</f>
        <v>#VALUE!</v>
      </c>
      <c r="CA92" t="e">
        <f>AND('Planilla_General_07-12-2012_8_3'!P1375,"AAAAAB879E4=")</f>
        <v>#VALUE!</v>
      </c>
      <c r="CB92">
        <f>IF('Planilla_General_07-12-2012_8_3'!1376:1376,"AAAAAB879E8=",0)</f>
        <v>0</v>
      </c>
      <c r="CC92" t="e">
        <f>AND('Planilla_General_07-12-2012_8_3'!A1376,"AAAAAB879FA=")</f>
        <v>#VALUE!</v>
      </c>
      <c r="CD92" t="e">
        <f>AND('Planilla_General_07-12-2012_8_3'!B1376,"AAAAAB879FE=")</f>
        <v>#VALUE!</v>
      </c>
      <c r="CE92" t="e">
        <f>AND('Planilla_General_07-12-2012_8_3'!C1376,"AAAAAB879FI=")</f>
        <v>#VALUE!</v>
      </c>
      <c r="CF92" t="e">
        <f>AND('Planilla_General_07-12-2012_8_3'!D1376,"AAAAAB879FM=")</f>
        <v>#VALUE!</v>
      </c>
      <c r="CG92" t="e">
        <f>AND('Planilla_General_07-12-2012_8_3'!E1376,"AAAAAB879FQ=")</f>
        <v>#VALUE!</v>
      </c>
      <c r="CH92" t="e">
        <f>AND('Planilla_General_07-12-2012_8_3'!F1376,"AAAAAB879FU=")</f>
        <v>#VALUE!</v>
      </c>
      <c r="CI92" t="e">
        <f>AND('Planilla_General_07-12-2012_8_3'!G1376,"AAAAAB879FY=")</f>
        <v>#VALUE!</v>
      </c>
      <c r="CJ92" t="e">
        <f>AND('Planilla_General_07-12-2012_8_3'!H1376,"AAAAAB879Fc=")</f>
        <v>#VALUE!</v>
      </c>
      <c r="CK92" t="e">
        <f>AND('Planilla_General_07-12-2012_8_3'!I1376,"AAAAAB879Fg=")</f>
        <v>#VALUE!</v>
      </c>
      <c r="CL92" t="e">
        <f>AND('Planilla_General_07-12-2012_8_3'!J1376,"AAAAAB879Fk=")</f>
        <v>#VALUE!</v>
      </c>
      <c r="CM92" t="e">
        <f>AND('Planilla_General_07-12-2012_8_3'!K1376,"AAAAAB879Fo=")</f>
        <v>#VALUE!</v>
      </c>
      <c r="CN92" t="e">
        <f>AND('Planilla_General_07-12-2012_8_3'!L1376,"AAAAAB879Fs=")</f>
        <v>#VALUE!</v>
      </c>
      <c r="CO92" t="e">
        <f>AND('Planilla_General_07-12-2012_8_3'!M1376,"AAAAAB879Fw=")</f>
        <v>#VALUE!</v>
      </c>
      <c r="CP92" t="e">
        <f>AND('Planilla_General_07-12-2012_8_3'!N1376,"AAAAAB879F0=")</f>
        <v>#VALUE!</v>
      </c>
      <c r="CQ92" t="e">
        <f>AND('Planilla_General_07-12-2012_8_3'!O1376,"AAAAAB879F4=")</f>
        <v>#VALUE!</v>
      </c>
      <c r="CR92" t="e">
        <f>AND('Planilla_General_07-12-2012_8_3'!P1376,"AAAAAB879F8=")</f>
        <v>#VALUE!</v>
      </c>
      <c r="CS92">
        <f>IF('Planilla_General_07-12-2012_8_3'!1377:1377,"AAAAAB879GA=",0)</f>
        <v>0</v>
      </c>
      <c r="CT92" t="e">
        <f>AND('Planilla_General_07-12-2012_8_3'!A1377,"AAAAAB879GE=")</f>
        <v>#VALUE!</v>
      </c>
      <c r="CU92" t="e">
        <f>AND('Planilla_General_07-12-2012_8_3'!B1377,"AAAAAB879GI=")</f>
        <v>#VALUE!</v>
      </c>
      <c r="CV92" t="e">
        <f>AND('Planilla_General_07-12-2012_8_3'!C1377,"AAAAAB879GM=")</f>
        <v>#VALUE!</v>
      </c>
      <c r="CW92" t="e">
        <f>AND('Planilla_General_07-12-2012_8_3'!D1377,"AAAAAB879GQ=")</f>
        <v>#VALUE!</v>
      </c>
      <c r="CX92" t="e">
        <f>AND('Planilla_General_07-12-2012_8_3'!E1377,"AAAAAB879GU=")</f>
        <v>#VALUE!</v>
      </c>
      <c r="CY92" t="e">
        <f>AND('Planilla_General_07-12-2012_8_3'!F1377,"AAAAAB879GY=")</f>
        <v>#VALUE!</v>
      </c>
      <c r="CZ92" t="e">
        <f>AND('Planilla_General_07-12-2012_8_3'!G1377,"AAAAAB879Gc=")</f>
        <v>#VALUE!</v>
      </c>
      <c r="DA92" t="e">
        <f>AND('Planilla_General_07-12-2012_8_3'!H1377,"AAAAAB879Gg=")</f>
        <v>#VALUE!</v>
      </c>
      <c r="DB92" t="e">
        <f>AND('Planilla_General_07-12-2012_8_3'!I1377,"AAAAAB879Gk=")</f>
        <v>#VALUE!</v>
      </c>
      <c r="DC92" t="e">
        <f>AND('Planilla_General_07-12-2012_8_3'!J1377,"AAAAAB879Go=")</f>
        <v>#VALUE!</v>
      </c>
      <c r="DD92" t="e">
        <f>AND('Planilla_General_07-12-2012_8_3'!K1377,"AAAAAB879Gs=")</f>
        <v>#VALUE!</v>
      </c>
      <c r="DE92" t="e">
        <f>AND('Planilla_General_07-12-2012_8_3'!L1377,"AAAAAB879Gw=")</f>
        <v>#VALUE!</v>
      </c>
      <c r="DF92" t="e">
        <f>AND('Planilla_General_07-12-2012_8_3'!M1377,"AAAAAB879G0=")</f>
        <v>#VALUE!</v>
      </c>
      <c r="DG92" t="e">
        <f>AND('Planilla_General_07-12-2012_8_3'!N1377,"AAAAAB879G4=")</f>
        <v>#VALUE!</v>
      </c>
      <c r="DH92" t="e">
        <f>AND('Planilla_General_07-12-2012_8_3'!O1377,"AAAAAB879G8=")</f>
        <v>#VALUE!</v>
      </c>
      <c r="DI92" t="e">
        <f>AND('Planilla_General_07-12-2012_8_3'!P1377,"AAAAAB879HA=")</f>
        <v>#VALUE!</v>
      </c>
      <c r="DJ92">
        <f>IF('Planilla_General_07-12-2012_8_3'!1378:1378,"AAAAAB879HE=",0)</f>
        <v>0</v>
      </c>
      <c r="DK92" t="e">
        <f>AND('Planilla_General_07-12-2012_8_3'!A1378,"AAAAAB879HI=")</f>
        <v>#VALUE!</v>
      </c>
      <c r="DL92" t="e">
        <f>AND('Planilla_General_07-12-2012_8_3'!B1378,"AAAAAB879HM=")</f>
        <v>#VALUE!</v>
      </c>
      <c r="DM92" t="e">
        <f>AND('Planilla_General_07-12-2012_8_3'!C1378,"AAAAAB879HQ=")</f>
        <v>#VALUE!</v>
      </c>
      <c r="DN92" t="e">
        <f>AND('Planilla_General_07-12-2012_8_3'!D1378,"AAAAAB879HU=")</f>
        <v>#VALUE!</v>
      </c>
      <c r="DO92" t="e">
        <f>AND('Planilla_General_07-12-2012_8_3'!E1378,"AAAAAB879HY=")</f>
        <v>#VALUE!</v>
      </c>
      <c r="DP92" t="e">
        <f>AND('Planilla_General_07-12-2012_8_3'!F1378,"AAAAAB879Hc=")</f>
        <v>#VALUE!</v>
      </c>
      <c r="DQ92" t="e">
        <f>AND('Planilla_General_07-12-2012_8_3'!G1378,"AAAAAB879Hg=")</f>
        <v>#VALUE!</v>
      </c>
      <c r="DR92" t="e">
        <f>AND('Planilla_General_07-12-2012_8_3'!H1378,"AAAAAB879Hk=")</f>
        <v>#VALUE!</v>
      </c>
      <c r="DS92" t="e">
        <f>AND('Planilla_General_07-12-2012_8_3'!I1378,"AAAAAB879Ho=")</f>
        <v>#VALUE!</v>
      </c>
      <c r="DT92" t="e">
        <f>AND('Planilla_General_07-12-2012_8_3'!J1378,"AAAAAB879Hs=")</f>
        <v>#VALUE!</v>
      </c>
      <c r="DU92" t="e">
        <f>AND('Planilla_General_07-12-2012_8_3'!K1378,"AAAAAB879Hw=")</f>
        <v>#VALUE!</v>
      </c>
      <c r="DV92" t="e">
        <f>AND('Planilla_General_07-12-2012_8_3'!L1378,"AAAAAB879H0=")</f>
        <v>#VALUE!</v>
      </c>
      <c r="DW92" t="e">
        <f>AND('Planilla_General_07-12-2012_8_3'!M1378,"AAAAAB879H4=")</f>
        <v>#VALUE!</v>
      </c>
      <c r="DX92" t="e">
        <f>AND('Planilla_General_07-12-2012_8_3'!N1378,"AAAAAB879H8=")</f>
        <v>#VALUE!</v>
      </c>
      <c r="DY92" t="e">
        <f>AND('Planilla_General_07-12-2012_8_3'!O1378,"AAAAAB879IA=")</f>
        <v>#VALUE!</v>
      </c>
      <c r="DZ92" t="e">
        <f>AND('Planilla_General_07-12-2012_8_3'!P1378,"AAAAAB879IE=")</f>
        <v>#VALUE!</v>
      </c>
      <c r="EA92">
        <f>IF('Planilla_General_07-12-2012_8_3'!1379:1379,"AAAAAB879II=",0)</f>
        <v>0</v>
      </c>
      <c r="EB92" t="e">
        <f>AND('Planilla_General_07-12-2012_8_3'!A1379,"AAAAAB879IM=")</f>
        <v>#VALUE!</v>
      </c>
      <c r="EC92" t="e">
        <f>AND('Planilla_General_07-12-2012_8_3'!B1379,"AAAAAB879IQ=")</f>
        <v>#VALUE!</v>
      </c>
      <c r="ED92" t="e">
        <f>AND('Planilla_General_07-12-2012_8_3'!C1379,"AAAAAB879IU=")</f>
        <v>#VALUE!</v>
      </c>
      <c r="EE92" t="e">
        <f>AND('Planilla_General_07-12-2012_8_3'!D1379,"AAAAAB879IY=")</f>
        <v>#VALUE!</v>
      </c>
      <c r="EF92" t="e">
        <f>AND('Planilla_General_07-12-2012_8_3'!E1379,"AAAAAB879Ic=")</f>
        <v>#VALUE!</v>
      </c>
      <c r="EG92" t="e">
        <f>AND('Planilla_General_07-12-2012_8_3'!F1379,"AAAAAB879Ig=")</f>
        <v>#VALUE!</v>
      </c>
      <c r="EH92" t="e">
        <f>AND('Planilla_General_07-12-2012_8_3'!G1379,"AAAAAB879Ik=")</f>
        <v>#VALUE!</v>
      </c>
      <c r="EI92" t="e">
        <f>AND('Planilla_General_07-12-2012_8_3'!H1379,"AAAAAB879Io=")</f>
        <v>#VALUE!</v>
      </c>
      <c r="EJ92" t="e">
        <f>AND('Planilla_General_07-12-2012_8_3'!I1379,"AAAAAB879Is=")</f>
        <v>#VALUE!</v>
      </c>
      <c r="EK92" t="e">
        <f>AND('Planilla_General_07-12-2012_8_3'!J1379,"AAAAAB879Iw=")</f>
        <v>#VALUE!</v>
      </c>
      <c r="EL92" t="e">
        <f>AND('Planilla_General_07-12-2012_8_3'!K1379,"AAAAAB879I0=")</f>
        <v>#VALUE!</v>
      </c>
      <c r="EM92" t="e">
        <f>AND('Planilla_General_07-12-2012_8_3'!L1379,"AAAAAB879I4=")</f>
        <v>#VALUE!</v>
      </c>
      <c r="EN92" t="e">
        <f>AND('Planilla_General_07-12-2012_8_3'!M1379,"AAAAAB879I8=")</f>
        <v>#VALUE!</v>
      </c>
      <c r="EO92" t="e">
        <f>AND('Planilla_General_07-12-2012_8_3'!N1379,"AAAAAB879JA=")</f>
        <v>#VALUE!</v>
      </c>
      <c r="EP92" t="e">
        <f>AND('Planilla_General_07-12-2012_8_3'!O1379,"AAAAAB879JE=")</f>
        <v>#VALUE!</v>
      </c>
      <c r="EQ92" t="e">
        <f>AND('Planilla_General_07-12-2012_8_3'!P1379,"AAAAAB879JI=")</f>
        <v>#VALUE!</v>
      </c>
      <c r="ER92">
        <f>IF('Planilla_General_07-12-2012_8_3'!1380:1380,"AAAAAB879JM=",0)</f>
        <v>0</v>
      </c>
      <c r="ES92" t="e">
        <f>AND('Planilla_General_07-12-2012_8_3'!A1380,"AAAAAB879JQ=")</f>
        <v>#VALUE!</v>
      </c>
      <c r="ET92" t="e">
        <f>AND('Planilla_General_07-12-2012_8_3'!B1380,"AAAAAB879JU=")</f>
        <v>#VALUE!</v>
      </c>
      <c r="EU92" t="e">
        <f>AND('Planilla_General_07-12-2012_8_3'!C1380,"AAAAAB879JY=")</f>
        <v>#VALUE!</v>
      </c>
      <c r="EV92" t="e">
        <f>AND('Planilla_General_07-12-2012_8_3'!D1380,"AAAAAB879Jc=")</f>
        <v>#VALUE!</v>
      </c>
      <c r="EW92" t="e">
        <f>AND('Planilla_General_07-12-2012_8_3'!E1380,"AAAAAB879Jg=")</f>
        <v>#VALUE!</v>
      </c>
      <c r="EX92" t="e">
        <f>AND('Planilla_General_07-12-2012_8_3'!F1380,"AAAAAB879Jk=")</f>
        <v>#VALUE!</v>
      </c>
      <c r="EY92" t="e">
        <f>AND('Planilla_General_07-12-2012_8_3'!G1380,"AAAAAB879Jo=")</f>
        <v>#VALUE!</v>
      </c>
      <c r="EZ92" t="e">
        <f>AND('Planilla_General_07-12-2012_8_3'!H1380,"AAAAAB879Js=")</f>
        <v>#VALUE!</v>
      </c>
      <c r="FA92" t="e">
        <f>AND('Planilla_General_07-12-2012_8_3'!I1380,"AAAAAB879Jw=")</f>
        <v>#VALUE!</v>
      </c>
      <c r="FB92" t="e">
        <f>AND('Planilla_General_07-12-2012_8_3'!J1380,"AAAAAB879J0=")</f>
        <v>#VALUE!</v>
      </c>
      <c r="FC92" t="e">
        <f>AND('Planilla_General_07-12-2012_8_3'!K1380,"AAAAAB879J4=")</f>
        <v>#VALUE!</v>
      </c>
      <c r="FD92" t="e">
        <f>AND('Planilla_General_07-12-2012_8_3'!L1380,"AAAAAB879J8=")</f>
        <v>#VALUE!</v>
      </c>
      <c r="FE92" t="e">
        <f>AND('Planilla_General_07-12-2012_8_3'!M1380,"AAAAAB879KA=")</f>
        <v>#VALUE!</v>
      </c>
      <c r="FF92" t="e">
        <f>AND('Planilla_General_07-12-2012_8_3'!N1380,"AAAAAB879KE=")</f>
        <v>#VALUE!</v>
      </c>
      <c r="FG92" t="e">
        <f>AND('Planilla_General_07-12-2012_8_3'!O1380,"AAAAAB879KI=")</f>
        <v>#VALUE!</v>
      </c>
      <c r="FH92" t="e">
        <f>AND('Planilla_General_07-12-2012_8_3'!P1380,"AAAAAB879KM=")</f>
        <v>#VALUE!</v>
      </c>
      <c r="FI92">
        <f>IF('Planilla_General_07-12-2012_8_3'!1381:1381,"AAAAAB879KQ=",0)</f>
        <v>0</v>
      </c>
      <c r="FJ92" t="e">
        <f>AND('Planilla_General_07-12-2012_8_3'!A1381,"AAAAAB879KU=")</f>
        <v>#VALUE!</v>
      </c>
      <c r="FK92" t="e">
        <f>AND('Planilla_General_07-12-2012_8_3'!B1381,"AAAAAB879KY=")</f>
        <v>#VALUE!</v>
      </c>
      <c r="FL92" t="e">
        <f>AND('Planilla_General_07-12-2012_8_3'!C1381,"AAAAAB879Kc=")</f>
        <v>#VALUE!</v>
      </c>
      <c r="FM92" t="e">
        <f>AND('Planilla_General_07-12-2012_8_3'!D1381,"AAAAAB879Kg=")</f>
        <v>#VALUE!</v>
      </c>
      <c r="FN92" t="e">
        <f>AND('Planilla_General_07-12-2012_8_3'!E1381,"AAAAAB879Kk=")</f>
        <v>#VALUE!</v>
      </c>
      <c r="FO92" t="e">
        <f>AND('Planilla_General_07-12-2012_8_3'!F1381,"AAAAAB879Ko=")</f>
        <v>#VALUE!</v>
      </c>
      <c r="FP92" t="e">
        <f>AND('Planilla_General_07-12-2012_8_3'!G1381,"AAAAAB879Ks=")</f>
        <v>#VALUE!</v>
      </c>
      <c r="FQ92" t="e">
        <f>AND('Planilla_General_07-12-2012_8_3'!H1381,"AAAAAB879Kw=")</f>
        <v>#VALUE!</v>
      </c>
      <c r="FR92" t="e">
        <f>AND('Planilla_General_07-12-2012_8_3'!I1381,"AAAAAB879K0=")</f>
        <v>#VALUE!</v>
      </c>
      <c r="FS92" t="e">
        <f>AND('Planilla_General_07-12-2012_8_3'!J1381,"AAAAAB879K4=")</f>
        <v>#VALUE!</v>
      </c>
      <c r="FT92" t="e">
        <f>AND('Planilla_General_07-12-2012_8_3'!K1381,"AAAAAB879K8=")</f>
        <v>#VALUE!</v>
      </c>
      <c r="FU92" t="e">
        <f>AND('Planilla_General_07-12-2012_8_3'!L1381,"AAAAAB879LA=")</f>
        <v>#VALUE!</v>
      </c>
      <c r="FV92" t="e">
        <f>AND('Planilla_General_07-12-2012_8_3'!M1381,"AAAAAB879LE=")</f>
        <v>#VALUE!</v>
      </c>
      <c r="FW92" t="e">
        <f>AND('Planilla_General_07-12-2012_8_3'!N1381,"AAAAAB879LI=")</f>
        <v>#VALUE!</v>
      </c>
      <c r="FX92" t="e">
        <f>AND('Planilla_General_07-12-2012_8_3'!O1381,"AAAAAB879LM=")</f>
        <v>#VALUE!</v>
      </c>
      <c r="FY92" t="e">
        <f>AND('Planilla_General_07-12-2012_8_3'!P1381,"AAAAAB879LQ=")</f>
        <v>#VALUE!</v>
      </c>
      <c r="FZ92">
        <f>IF('Planilla_General_07-12-2012_8_3'!1382:1382,"AAAAAB879LU=",0)</f>
        <v>0</v>
      </c>
      <c r="GA92" t="e">
        <f>AND('Planilla_General_07-12-2012_8_3'!A1382,"AAAAAB879LY=")</f>
        <v>#VALUE!</v>
      </c>
      <c r="GB92" t="e">
        <f>AND('Planilla_General_07-12-2012_8_3'!B1382,"AAAAAB879Lc=")</f>
        <v>#VALUE!</v>
      </c>
      <c r="GC92" t="e">
        <f>AND('Planilla_General_07-12-2012_8_3'!C1382,"AAAAAB879Lg=")</f>
        <v>#VALUE!</v>
      </c>
      <c r="GD92" t="e">
        <f>AND('Planilla_General_07-12-2012_8_3'!D1382,"AAAAAB879Lk=")</f>
        <v>#VALUE!</v>
      </c>
      <c r="GE92" t="e">
        <f>AND('Planilla_General_07-12-2012_8_3'!E1382,"AAAAAB879Lo=")</f>
        <v>#VALUE!</v>
      </c>
      <c r="GF92" t="e">
        <f>AND('Planilla_General_07-12-2012_8_3'!F1382,"AAAAAB879Ls=")</f>
        <v>#VALUE!</v>
      </c>
      <c r="GG92" t="e">
        <f>AND('Planilla_General_07-12-2012_8_3'!G1382,"AAAAAB879Lw=")</f>
        <v>#VALUE!</v>
      </c>
      <c r="GH92" t="e">
        <f>AND('Planilla_General_07-12-2012_8_3'!H1382,"AAAAAB879L0=")</f>
        <v>#VALUE!</v>
      </c>
      <c r="GI92" t="e">
        <f>AND('Planilla_General_07-12-2012_8_3'!I1382,"AAAAAB879L4=")</f>
        <v>#VALUE!</v>
      </c>
      <c r="GJ92" t="e">
        <f>AND('Planilla_General_07-12-2012_8_3'!J1382,"AAAAAB879L8=")</f>
        <v>#VALUE!</v>
      </c>
      <c r="GK92" t="e">
        <f>AND('Planilla_General_07-12-2012_8_3'!K1382,"AAAAAB879MA=")</f>
        <v>#VALUE!</v>
      </c>
      <c r="GL92" t="e">
        <f>AND('Planilla_General_07-12-2012_8_3'!L1382,"AAAAAB879ME=")</f>
        <v>#VALUE!</v>
      </c>
      <c r="GM92" t="e">
        <f>AND('Planilla_General_07-12-2012_8_3'!M1382,"AAAAAB879MI=")</f>
        <v>#VALUE!</v>
      </c>
      <c r="GN92" t="e">
        <f>AND('Planilla_General_07-12-2012_8_3'!N1382,"AAAAAB879MM=")</f>
        <v>#VALUE!</v>
      </c>
      <c r="GO92" t="e">
        <f>AND('Planilla_General_07-12-2012_8_3'!O1382,"AAAAAB879MQ=")</f>
        <v>#VALUE!</v>
      </c>
      <c r="GP92" t="e">
        <f>AND('Planilla_General_07-12-2012_8_3'!P1382,"AAAAAB879MU=")</f>
        <v>#VALUE!</v>
      </c>
      <c r="GQ92">
        <f>IF('Planilla_General_07-12-2012_8_3'!1383:1383,"AAAAAB879MY=",0)</f>
        <v>0</v>
      </c>
      <c r="GR92" t="e">
        <f>AND('Planilla_General_07-12-2012_8_3'!A1383,"AAAAAB879Mc=")</f>
        <v>#VALUE!</v>
      </c>
      <c r="GS92" t="e">
        <f>AND('Planilla_General_07-12-2012_8_3'!B1383,"AAAAAB879Mg=")</f>
        <v>#VALUE!</v>
      </c>
      <c r="GT92" t="e">
        <f>AND('Planilla_General_07-12-2012_8_3'!C1383,"AAAAAB879Mk=")</f>
        <v>#VALUE!</v>
      </c>
      <c r="GU92" t="e">
        <f>AND('Planilla_General_07-12-2012_8_3'!D1383,"AAAAAB879Mo=")</f>
        <v>#VALUE!</v>
      </c>
      <c r="GV92" t="e">
        <f>AND('Planilla_General_07-12-2012_8_3'!E1383,"AAAAAB879Ms=")</f>
        <v>#VALUE!</v>
      </c>
      <c r="GW92" t="e">
        <f>AND('Planilla_General_07-12-2012_8_3'!F1383,"AAAAAB879Mw=")</f>
        <v>#VALUE!</v>
      </c>
      <c r="GX92" t="e">
        <f>AND('Planilla_General_07-12-2012_8_3'!G1383,"AAAAAB879M0=")</f>
        <v>#VALUE!</v>
      </c>
      <c r="GY92" t="e">
        <f>AND('Planilla_General_07-12-2012_8_3'!H1383,"AAAAAB879M4=")</f>
        <v>#VALUE!</v>
      </c>
      <c r="GZ92" t="e">
        <f>AND('Planilla_General_07-12-2012_8_3'!I1383,"AAAAAB879M8=")</f>
        <v>#VALUE!</v>
      </c>
      <c r="HA92" t="e">
        <f>AND('Planilla_General_07-12-2012_8_3'!J1383,"AAAAAB879NA=")</f>
        <v>#VALUE!</v>
      </c>
      <c r="HB92" t="e">
        <f>AND('Planilla_General_07-12-2012_8_3'!K1383,"AAAAAB879NE=")</f>
        <v>#VALUE!</v>
      </c>
      <c r="HC92" t="e">
        <f>AND('Planilla_General_07-12-2012_8_3'!L1383,"AAAAAB879NI=")</f>
        <v>#VALUE!</v>
      </c>
      <c r="HD92" t="e">
        <f>AND('Planilla_General_07-12-2012_8_3'!M1383,"AAAAAB879NM=")</f>
        <v>#VALUE!</v>
      </c>
      <c r="HE92" t="e">
        <f>AND('Planilla_General_07-12-2012_8_3'!N1383,"AAAAAB879NQ=")</f>
        <v>#VALUE!</v>
      </c>
      <c r="HF92" t="e">
        <f>AND('Planilla_General_07-12-2012_8_3'!O1383,"AAAAAB879NU=")</f>
        <v>#VALUE!</v>
      </c>
      <c r="HG92" t="e">
        <f>AND('Planilla_General_07-12-2012_8_3'!P1383,"AAAAAB879NY=")</f>
        <v>#VALUE!</v>
      </c>
      <c r="HH92">
        <f>IF('Planilla_General_07-12-2012_8_3'!1384:1384,"AAAAAB879Nc=",0)</f>
        <v>0</v>
      </c>
      <c r="HI92" t="e">
        <f>AND('Planilla_General_07-12-2012_8_3'!A1384,"AAAAAB879Ng=")</f>
        <v>#VALUE!</v>
      </c>
      <c r="HJ92" t="e">
        <f>AND('Planilla_General_07-12-2012_8_3'!B1384,"AAAAAB879Nk=")</f>
        <v>#VALUE!</v>
      </c>
      <c r="HK92" t="e">
        <f>AND('Planilla_General_07-12-2012_8_3'!C1384,"AAAAAB879No=")</f>
        <v>#VALUE!</v>
      </c>
      <c r="HL92" t="e">
        <f>AND('Planilla_General_07-12-2012_8_3'!D1384,"AAAAAB879Ns=")</f>
        <v>#VALUE!</v>
      </c>
      <c r="HM92" t="e">
        <f>AND('Planilla_General_07-12-2012_8_3'!E1384,"AAAAAB879Nw=")</f>
        <v>#VALUE!</v>
      </c>
      <c r="HN92" t="e">
        <f>AND('Planilla_General_07-12-2012_8_3'!F1384,"AAAAAB879N0=")</f>
        <v>#VALUE!</v>
      </c>
      <c r="HO92" t="e">
        <f>AND('Planilla_General_07-12-2012_8_3'!G1384,"AAAAAB879N4=")</f>
        <v>#VALUE!</v>
      </c>
      <c r="HP92" t="e">
        <f>AND('Planilla_General_07-12-2012_8_3'!H1384,"AAAAAB879N8=")</f>
        <v>#VALUE!</v>
      </c>
      <c r="HQ92" t="e">
        <f>AND('Planilla_General_07-12-2012_8_3'!I1384,"AAAAAB879OA=")</f>
        <v>#VALUE!</v>
      </c>
      <c r="HR92" t="e">
        <f>AND('Planilla_General_07-12-2012_8_3'!J1384,"AAAAAB879OE=")</f>
        <v>#VALUE!</v>
      </c>
      <c r="HS92" t="e">
        <f>AND('Planilla_General_07-12-2012_8_3'!K1384,"AAAAAB879OI=")</f>
        <v>#VALUE!</v>
      </c>
      <c r="HT92" t="e">
        <f>AND('Planilla_General_07-12-2012_8_3'!L1384,"AAAAAB879OM=")</f>
        <v>#VALUE!</v>
      </c>
      <c r="HU92" t="e">
        <f>AND('Planilla_General_07-12-2012_8_3'!M1384,"AAAAAB879OQ=")</f>
        <v>#VALUE!</v>
      </c>
      <c r="HV92" t="e">
        <f>AND('Planilla_General_07-12-2012_8_3'!N1384,"AAAAAB879OU=")</f>
        <v>#VALUE!</v>
      </c>
      <c r="HW92" t="e">
        <f>AND('Planilla_General_07-12-2012_8_3'!O1384,"AAAAAB879OY=")</f>
        <v>#VALUE!</v>
      </c>
      <c r="HX92" t="e">
        <f>AND('Planilla_General_07-12-2012_8_3'!P1384,"AAAAAB879Oc=")</f>
        <v>#VALUE!</v>
      </c>
      <c r="HY92">
        <f>IF('Planilla_General_07-12-2012_8_3'!1385:1385,"AAAAAB879Og=",0)</f>
        <v>0</v>
      </c>
      <c r="HZ92" t="e">
        <f>AND('Planilla_General_07-12-2012_8_3'!A1385,"AAAAAB879Ok=")</f>
        <v>#VALUE!</v>
      </c>
      <c r="IA92" t="e">
        <f>AND('Planilla_General_07-12-2012_8_3'!B1385,"AAAAAB879Oo=")</f>
        <v>#VALUE!</v>
      </c>
      <c r="IB92" t="e">
        <f>AND('Planilla_General_07-12-2012_8_3'!C1385,"AAAAAB879Os=")</f>
        <v>#VALUE!</v>
      </c>
      <c r="IC92" t="e">
        <f>AND('Planilla_General_07-12-2012_8_3'!D1385,"AAAAAB879Ow=")</f>
        <v>#VALUE!</v>
      </c>
      <c r="ID92" t="e">
        <f>AND('Planilla_General_07-12-2012_8_3'!E1385,"AAAAAB879O0=")</f>
        <v>#VALUE!</v>
      </c>
      <c r="IE92" t="e">
        <f>AND('Planilla_General_07-12-2012_8_3'!F1385,"AAAAAB879O4=")</f>
        <v>#VALUE!</v>
      </c>
      <c r="IF92" t="e">
        <f>AND('Planilla_General_07-12-2012_8_3'!G1385,"AAAAAB879O8=")</f>
        <v>#VALUE!</v>
      </c>
      <c r="IG92" t="e">
        <f>AND('Planilla_General_07-12-2012_8_3'!H1385,"AAAAAB879PA=")</f>
        <v>#VALUE!</v>
      </c>
      <c r="IH92" t="e">
        <f>AND('Planilla_General_07-12-2012_8_3'!I1385,"AAAAAB879PE=")</f>
        <v>#VALUE!</v>
      </c>
      <c r="II92" t="e">
        <f>AND('Planilla_General_07-12-2012_8_3'!J1385,"AAAAAB879PI=")</f>
        <v>#VALUE!</v>
      </c>
      <c r="IJ92" t="e">
        <f>AND('Planilla_General_07-12-2012_8_3'!K1385,"AAAAAB879PM=")</f>
        <v>#VALUE!</v>
      </c>
      <c r="IK92" t="e">
        <f>AND('Planilla_General_07-12-2012_8_3'!L1385,"AAAAAB879PQ=")</f>
        <v>#VALUE!</v>
      </c>
      <c r="IL92" t="e">
        <f>AND('Planilla_General_07-12-2012_8_3'!M1385,"AAAAAB879PU=")</f>
        <v>#VALUE!</v>
      </c>
      <c r="IM92" t="e">
        <f>AND('Planilla_General_07-12-2012_8_3'!N1385,"AAAAAB879PY=")</f>
        <v>#VALUE!</v>
      </c>
      <c r="IN92" t="e">
        <f>AND('Planilla_General_07-12-2012_8_3'!O1385,"AAAAAB879Pc=")</f>
        <v>#VALUE!</v>
      </c>
      <c r="IO92" t="e">
        <f>AND('Planilla_General_07-12-2012_8_3'!P1385,"AAAAAB879Pg=")</f>
        <v>#VALUE!</v>
      </c>
      <c r="IP92">
        <f>IF('Planilla_General_07-12-2012_8_3'!1386:1386,"AAAAAB879Pk=",0)</f>
        <v>0</v>
      </c>
      <c r="IQ92" t="e">
        <f>AND('Planilla_General_07-12-2012_8_3'!A1386,"AAAAAB879Po=")</f>
        <v>#VALUE!</v>
      </c>
      <c r="IR92" t="e">
        <f>AND('Planilla_General_07-12-2012_8_3'!B1386,"AAAAAB879Ps=")</f>
        <v>#VALUE!</v>
      </c>
      <c r="IS92" t="e">
        <f>AND('Planilla_General_07-12-2012_8_3'!C1386,"AAAAAB879Pw=")</f>
        <v>#VALUE!</v>
      </c>
      <c r="IT92" t="e">
        <f>AND('Planilla_General_07-12-2012_8_3'!D1386,"AAAAAB879P0=")</f>
        <v>#VALUE!</v>
      </c>
      <c r="IU92" t="e">
        <f>AND('Planilla_General_07-12-2012_8_3'!E1386,"AAAAAB879P4=")</f>
        <v>#VALUE!</v>
      </c>
      <c r="IV92" t="e">
        <f>AND('Planilla_General_07-12-2012_8_3'!F1386,"AAAAAB879P8=")</f>
        <v>#VALUE!</v>
      </c>
    </row>
    <row r="93" spans="1:256" x14ac:dyDescent="0.25">
      <c r="A93" t="e">
        <f>AND('Planilla_General_07-12-2012_8_3'!G1386,"AAAAAF/y6wA=")</f>
        <v>#VALUE!</v>
      </c>
      <c r="B93" t="e">
        <f>AND('Planilla_General_07-12-2012_8_3'!H1386,"AAAAAF/y6wE=")</f>
        <v>#VALUE!</v>
      </c>
      <c r="C93" t="e">
        <f>AND('Planilla_General_07-12-2012_8_3'!I1386,"AAAAAF/y6wI=")</f>
        <v>#VALUE!</v>
      </c>
      <c r="D93" t="e">
        <f>AND('Planilla_General_07-12-2012_8_3'!J1386,"AAAAAF/y6wM=")</f>
        <v>#VALUE!</v>
      </c>
      <c r="E93" t="e">
        <f>AND('Planilla_General_07-12-2012_8_3'!K1386,"AAAAAF/y6wQ=")</f>
        <v>#VALUE!</v>
      </c>
      <c r="F93" t="e">
        <f>AND('Planilla_General_07-12-2012_8_3'!L1386,"AAAAAF/y6wU=")</f>
        <v>#VALUE!</v>
      </c>
      <c r="G93" t="e">
        <f>AND('Planilla_General_07-12-2012_8_3'!M1386,"AAAAAF/y6wY=")</f>
        <v>#VALUE!</v>
      </c>
      <c r="H93" t="e">
        <f>AND('Planilla_General_07-12-2012_8_3'!N1386,"AAAAAF/y6wc=")</f>
        <v>#VALUE!</v>
      </c>
      <c r="I93" t="e">
        <f>AND('Planilla_General_07-12-2012_8_3'!O1386,"AAAAAF/y6wg=")</f>
        <v>#VALUE!</v>
      </c>
      <c r="J93" t="e">
        <f>AND('Planilla_General_07-12-2012_8_3'!P1386,"AAAAAF/y6wk=")</f>
        <v>#VALUE!</v>
      </c>
      <c r="K93" t="str">
        <f>IF('Planilla_General_07-12-2012_8_3'!1387:1387,"AAAAAF/y6wo=",0)</f>
        <v>AAAAAF/y6wo=</v>
      </c>
      <c r="L93" t="e">
        <f>AND('Planilla_General_07-12-2012_8_3'!A1387,"AAAAAF/y6ws=")</f>
        <v>#VALUE!</v>
      </c>
      <c r="M93" t="e">
        <f>AND('Planilla_General_07-12-2012_8_3'!B1387,"AAAAAF/y6ww=")</f>
        <v>#VALUE!</v>
      </c>
      <c r="N93" t="e">
        <f>AND('Planilla_General_07-12-2012_8_3'!C1387,"AAAAAF/y6w0=")</f>
        <v>#VALUE!</v>
      </c>
      <c r="O93" t="e">
        <f>AND('Planilla_General_07-12-2012_8_3'!D1387,"AAAAAF/y6w4=")</f>
        <v>#VALUE!</v>
      </c>
      <c r="P93" t="e">
        <f>AND('Planilla_General_07-12-2012_8_3'!E1387,"AAAAAF/y6w8=")</f>
        <v>#VALUE!</v>
      </c>
      <c r="Q93" t="e">
        <f>AND('Planilla_General_07-12-2012_8_3'!F1387,"AAAAAF/y6xA=")</f>
        <v>#VALUE!</v>
      </c>
      <c r="R93" t="e">
        <f>AND('Planilla_General_07-12-2012_8_3'!G1387,"AAAAAF/y6xE=")</f>
        <v>#VALUE!</v>
      </c>
      <c r="S93" t="e">
        <f>AND('Planilla_General_07-12-2012_8_3'!H1387,"AAAAAF/y6xI=")</f>
        <v>#VALUE!</v>
      </c>
      <c r="T93" t="e">
        <f>AND('Planilla_General_07-12-2012_8_3'!I1387,"AAAAAF/y6xM=")</f>
        <v>#VALUE!</v>
      </c>
      <c r="U93" t="e">
        <f>AND('Planilla_General_07-12-2012_8_3'!J1387,"AAAAAF/y6xQ=")</f>
        <v>#VALUE!</v>
      </c>
      <c r="V93" t="e">
        <f>AND('Planilla_General_07-12-2012_8_3'!K1387,"AAAAAF/y6xU=")</f>
        <v>#VALUE!</v>
      </c>
      <c r="W93" t="e">
        <f>AND('Planilla_General_07-12-2012_8_3'!L1387,"AAAAAF/y6xY=")</f>
        <v>#VALUE!</v>
      </c>
      <c r="X93" t="e">
        <f>AND('Planilla_General_07-12-2012_8_3'!M1387,"AAAAAF/y6xc=")</f>
        <v>#VALUE!</v>
      </c>
      <c r="Y93" t="e">
        <f>AND('Planilla_General_07-12-2012_8_3'!N1387,"AAAAAF/y6xg=")</f>
        <v>#VALUE!</v>
      </c>
      <c r="Z93" t="e">
        <f>AND('Planilla_General_07-12-2012_8_3'!O1387,"AAAAAF/y6xk=")</f>
        <v>#VALUE!</v>
      </c>
      <c r="AA93" t="e">
        <f>AND('Planilla_General_07-12-2012_8_3'!P1387,"AAAAAF/y6xo=")</f>
        <v>#VALUE!</v>
      </c>
      <c r="AB93">
        <f>IF('Planilla_General_07-12-2012_8_3'!1388:1388,"AAAAAF/y6xs=",0)</f>
        <v>0</v>
      </c>
      <c r="AC93" t="e">
        <f>AND('Planilla_General_07-12-2012_8_3'!A1388,"AAAAAF/y6xw=")</f>
        <v>#VALUE!</v>
      </c>
      <c r="AD93" t="e">
        <f>AND('Planilla_General_07-12-2012_8_3'!B1388,"AAAAAF/y6x0=")</f>
        <v>#VALUE!</v>
      </c>
      <c r="AE93" t="e">
        <f>AND('Planilla_General_07-12-2012_8_3'!C1388,"AAAAAF/y6x4=")</f>
        <v>#VALUE!</v>
      </c>
      <c r="AF93" t="e">
        <f>AND('Planilla_General_07-12-2012_8_3'!D1388,"AAAAAF/y6x8=")</f>
        <v>#VALUE!</v>
      </c>
      <c r="AG93" t="e">
        <f>AND('Planilla_General_07-12-2012_8_3'!E1388,"AAAAAF/y6yA=")</f>
        <v>#VALUE!</v>
      </c>
      <c r="AH93" t="e">
        <f>AND('Planilla_General_07-12-2012_8_3'!F1388,"AAAAAF/y6yE=")</f>
        <v>#VALUE!</v>
      </c>
      <c r="AI93" t="e">
        <f>AND('Planilla_General_07-12-2012_8_3'!G1388,"AAAAAF/y6yI=")</f>
        <v>#VALUE!</v>
      </c>
      <c r="AJ93" t="e">
        <f>AND('Planilla_General_07-12-2012_8_3'!H1388,"AAAAAF/y6yM=")</f>
        <v>#VALUE!</v>
      </c>
      <c r="AK93" t="e">
        <f>AND('Planilla_General_07-12-2012_8_3'!I1388,"AAAAAF/y6yQ=")</f>
        <v>#VALUE!</v>
      </c>
      <c r="AL93" t="e">
        <f>AND('Planilla_General_07-12-2012_8_3'!J1388,"AAAAAF/y6yU=")</f>
        <v>#VALUE!</v>
      </c>
      <c r="AM93" t="e">
        <f>AND('Planilla_General_07-12-2012_8_3'!K1388,"AAAAAF/y6yY=")</f>
        <v>#VALUE!</v>
      </c>
      <c r="AN93" t="e">
        <f>AND('Planilla_General_07-12-2012_8_3'!L1388,"AAAAAF/y6yc=")</f>
        <v>#VALUE!</v>
      </c>
      <c r="AO93" t="e">
        <f>AND('Planilla_General_07-12-2012_8_3'!M1388,"AAAAAF/y6yg=")</f>
        <v>#VALUE!</v>
      </c>
      <c r="AP93" t="e">
        <f>AND('Planilla_General_07-12-2012_8_3'!N1388,"AAAAAF/y6yk=")</f>
        <v>#VALUE!</v>
      </c>
      <c r="AQ93" t="e">
        <f>AND('Planilla_General_07-12-2012_8_3'!O1388,"AAAAAF/y6yo=")</f>
        <v>#VALUE!</v>
      </c>
      <c r="AR93" t="e">
        <f>AND('Planilla_General_07-12-2012_8_3'!P1388,"AAAAAF/y6ys=")</f>
        <v>#VALUE!</v>
      </c>
      <c r="AS93">
        <f>IF('Planilla_General_07-12-2012_8_3'!1389:1389,"AAAAAF/y6yw=",0)</f>
        <v>0</v>
      </c>
      <c r="AT93" t="e">
        <f>AND('Planilla_General_07-12-2012_8_3'!A1389,"AAAAAF/y6y0=")</f>
        <v>#VALUE!</v>
      </c>
      <c r="AU93" t="e">
        <f>AND('Planilla_General_07-12-2012_8_3'!B1389,"AAAAAF/y6y4=")</f>
        <v>#VALUE!</v>
      </c>
      <c r="AV93" t="e">
        <f>AND('Planilla_General_07-12-2012_8_3'!C1389,"AAAAAF/y6y8=")</f>
        <v>#VALUE!</v>
      </c>
      <c r="AW93" t="e">
        <f>AND('Planilla_General_07-12-2012_8_3'!D1389,"AAAAAF/y6zA=")</f>
        <v>#VALUE!</v>
      </c>
      <c r="AX93" t="e">
        <f>AND('Planilla_General_07-12-2012_8_3'!E1389,"AAAAAF/y6zE=")</f>
        <v>#VALUE!</v>
      </c>
      <c r="AY93" t="e">
        <f>AND('Planilla_General_07-12-2012_8_3'!F1389,"AAAAAF/y6zI=")</f>
        <v>#VALUE!</v>
      </c>
      <c r="AZ93" t="e">
        <f>AND('Planilla_General_07-12-2012_8_3'!G1389,"AAAAAF/y6zM=")</f>
        <v>#VALUE!</v>
      </c>
      <c r="BA93" t="e">
        <f>AND('Planilla_General_07-12-2012_8_3'!H1389,"AAAAAF/y6zQ=")</f>
        <v>#VALUE!</v>
      </c>
      <c r="BB93" t="e">
        <f>AND('Planilla_General_07-12-2012_8_3'!I1389,"AAAAAF/y6zU=")</f>
        <v>#VALUE!</v>
      </c>
      <c r="BC93" t="e">
        <f>AND('Planilla_General_07-12-2012_8_3'!J1389,"AAAAAF/y6zY=")</f>
        <v>#VALUE!</v>
      </c>
      <c r="BD93" t="e">
        <f>AND('Planilla_General_07-12-2012_8_3'!K1389,"AAAAAF/y6zc=")</f>
        <v>#VALUE!</v>
      </c>
      <c r="BE93" t="e">
        <f>AND('Planilla_General_07-12-2012_8_3'!L1389,"AAAAAF/y6zg=")</f>
        <v>#VALUE!</v>
      </c>
      <c r="BF93" t="e">
        <f>AND('Planilla_General_07-12-2012_8_3'!M1389,"AAAAAF/y6zk=")</f>
        <v>#VALUE!</v>
      </c>
      <c r="BG93" t="e">
        <f>AND('Planilla_General_07-12-2012_8_3'!N1389,"AAAAAF/y6zo=")</f>
        <v>#VALUE!</v>
      </c>
      <c r="BH93" t="e">
        <f>AND('Planilla_General_07-12-2012_8_3'!O1389,"AAAAAF/y6zs=")</f>
        <v>#VALUE!</v>
      </c>
      <c r="BI93" t="e">
        <f>AND('Planilla_General_07-12-2012_8_3'!P1389,"AAAAAF/y6zw=")</f>
        <v>#VALUE!</v>
      </c>
      <c r="BJ93">
        <f>IF('Planilla_General_07-12-2012_8_3'!1390:1390,"AAAAAF/y6z0=",0)</f>
        <v>0</v>
      </c>
      <c r="BK93" t="e">
        <f>AND('Planilla_General_07-12-2012_8_3'!A1390,"AAAAAF/y6z4=")</f>
        <v>#VALUE!</v>
      </c>
      <c r="BL93" t="e">
        <f>AND('Planilla_General_07-12-2012_8_3'!B1390,"AAAAAF/y6z8=")</f>
        <v>#VALUE!</v>
      </c>
      <c r="BM93" t="e">
        <f>AND('Planilla_General_07-12-2012_8_3'!C1390,"AAAAAF/y60A=")</f>
        <v>#VALUE!</v>
      </c>
      <c r="BN93" t="e">
        <f>AND('Planilla_General_07-12-2012_8_3'!D1390,"AAAAAF/y60E=")</f>
        <v>#VALUE!</v>
      </c>
      <c r="BO93" t="e">
        <f>AND('Planilla_General_07-12-2012_8_3'!E1390,"AAAAAF/y60I=")</f>
        <v>#VALUE!</v>
      </c>
      <c r="BP93" t="e">
        <f>AND('Planilla_General_07-12-2012_8_3'!F1390,"AAAAAF/y60M=")</f>
        <v>#VALUE!</v>
      </c>
      <c r="BQ93" t="e">
        <f>AND('Planilla_General_07-12-2012_8_3'!G1390,"AAAAAF/y60Q=")</f>
        <v>#VALUE!</v>
      </c>
      <c r="BR93" t="e">
        <f>AND('Planilla_General_07-12-2012_8_3'!H1390,"AAAAAF/y60U=")</f>
        <v>#VALUE!</v>
      </c>
      <c r="BS93" t="e">
        <f>AND('Planilla_General_07-12-2012_8_3'!I1390,"AAAAAF/y60Y=")</f>
        <v>#VALUE!</v>
      </c>
      <c r="BT93" t="e">
        <f>AND('Planilla_General_07-12-2012_8_3'!J1390,"AAAAAF/y60c=")</f>
        <v>#VALUE!</v>
      </c>
      <c r="BU93" t="e">
        <f>AND('Planilla_General_07-12-2012_8_3'!K1390,"AAAAAF/y60g=")</f>
        <v>#VALUE!</v>
      </c>
      <c r="BV93" t="e">
        <f>AND('Planilla_General_07-12-2012_8_3'!L1390,"AAAAAF/y60k=")</f>
        <v>#VALUE!</v>
      </c>
      <c r="BW93" t="e">
        <f>AND('Planilla_General_07-12-2012_8_3'!M1390,"AAAAAF/y60o=")</f>
        <v>#VALUE!</v>
      </c>
      <c r="BX93" t="e">
        <f>AND('Planilla_General_07-12-2012_8_3'!N1390,"AAAAAF/y60s=")</f>
        <v>#VALUE!</v>
      </c>
      <c r="BY93" t="e">
        <f>AND('Planilla_General_07-12-2012_8_3'!O1390,"AAAAAF/y60w=")</f>
        <v>#VALUE!</v>
      </c>
      <c r="BZ93" t="e">
        <f>AND('Planilla_General_07-12-2012_8_3'!P1390,"AAAAAF/y600=")</f>
        <v>#VALUE!</v>
      </c>
      <c r="CA93">
        <f>IF('Planilla_General_07-12-2012_8_3'!1391:1391,"AAAAAF/y604=",0)</f>
        <v>0</v>
      </c>
      <c r="CB93" t="e">
        <f>AND('Planilla_General_07-12-2012_8_3'!A1391,"AAAAAF/y608=")</f>
        <v>#VALUE!</v>
      </c>
      <c r="CC93" t="e">
        <f>AND('Planilla_General_07-12-2012_8_3'!B1391,"AAAAAF/y61A=")</f>
        <v>#VALUE!</v>
      </c>
      <c r="CD93" t="e">
        <f>AND('Planilla_General_07-12-2012_8_3'!C1391,"AAAAAF/y61E=")</f>
        <v>#VALUE!</v>
      </c>
      <c r="CE93" t="e">
        <f>AND('Planilla_General_07-12-2012_8_3'!D1391,"AAAAAF/y61I=")</f>
        <v>#VALUE!</v>
      </c>
      <c r="CF93" t="e">
        <f>AND('Planilla_General_07-12-2012_8_3'!E1391,"AAAAAF/y61M=")</f>
        <v>#VALUE!</v>
      </c>
      <c r="CG93" t="e">
        <f>AND('Planilla_General_07-12-2012_8_3'!F1391,"AAAAAF/y61Q=")</f>
        <v>#VALUE!</v>
      </c>
      <c r="CH93" t="e">
        <f>AND('Planilla_General_07-12-2012_8_3'!G1391,"AAAAAF/y61U=")</f>
        <v>#VALUE!</v>
      </c>
      <c r="CI93" t="e">
        <f>AND('Planilla_General_07-12-2012_8_3'!H1391,"AAAAAF/y61Y=")</f>
        <v>#VALUE!</v>
      </c>
      <c r="CJ93" t="e">
        <f>AND('Planilla_General_07-12-2012_8_3'!I1391,"AAAAAF/y61c=")</f>
        <v>#VALUE!</v>
      </c>
      <c r="CK93" t="e">
        <f>AND('Planilla_General_07-12-2012_8_3'!J1391,"AAAAAF/y61g=")</f>
        <v>#VALUE!</v>
      </c>
      <c r="CL93" t="e">
        <f>AND('Planilla_General_07-12-2012_8_3'!K1391,"AAAAAF/y61k=")</f>
        <v>#VALUE!</v>
      </c>
      <c r="CM93" t="e">
        <f>AND('Planilla_General_07-12-2012_8_3'!L1391,"AAAAAF/y61o=")</f>
        <v>#VALUE!</v>
      </c>
      <c r="CN93" t="e">
        <f>AND('Planilla_General_07-12-2012_8_3'!M1391,"AAAAAF/y61s=")</f>
        <v>#VALUE!</v>
      </c>
      <c r="CO93" t="e">
        <f>AND('Planilla_General_07-12-2012_8_3'!N1391,"AAAAAF/y61w=")</f>
        <v>#VALUE!</v>
      </c>
      <c r="CP93" t="e">
        <f>AND('Planilla_General_07-12-2012_8_3'!O1391,"AAAAAF/y610=")</f>
        <v>#VALUE!</v>
      </c>
      <c r="CQ93" t="e">
        <f>AND('Planilla_General_07-12-2012_8_3'!P1391,"AAAAAF/y614=")</f>
        <v>#VALUE!</v>
      </c>
      <c r="CR93">
        <f>IF('Planilla_General_07-12-2012_8_3'!1392:1392,"AAAAAF/y618=",0)</f>
        <v>0</v>
      </c>
      <c r="CS93" t="e">
        <f>AND('Planilla_General_07-12-2012_8_3'!A1392,"AAAAAF/y62A=")</f>
        <v>#VALUE!</v>
      </c>
      <c r="CT93" t="e">
        <f>AND('Planilla_General_07-12-2012_8_3'!B1392,"AAAAAF/y62E=")</f>
        <v>#VALUE!</v>
      </c>
      <c r="CU93" t="e">
        <f>AND('Planilla_General_07-12-2012_8_3'!C1392,"AAAAAF/y62I=")</f>
        <v>#VALUE!</v>
      </c>
      <c r="CV93" t="e">
        <f>AND('Planilla_General_07-12-2012_8_3'!D1392,"AAAAAF/y62M=")</f>
        <v>#VALUE!</v>
      </c>
      <c r="CW93" t="e">
        <f>AND('Planilla_General_07-12-2012_8_3'!E1392,"AAAAAF/y62Q=")</f>
        <v>#VALUE!</v>
      </c>
      <c r="CX93" t="e">
        <f>AND('Planilla_General_07-12-2012_8_3'!F1392,"AAAAAF/y62U=")</f>
        <v>#VALUE!</v>
      </c>
      <c r="CY93" t="e">
        <f>AND('Planilla_General_07-12-2012_8_3'!G1392,"AAAAAF/y62Y=")</f>
        <v>#VALUE!</v>
      </c>
      <c r="CZ93" t="e">
        <f>AND('Planilla_General_07-12-2012_8_3'!H1392,"AAAAAF/y62c=")</f>
        <v>#VALUE!</v>
      </c>
      <c r="DA93" t="e">
        <f>AND('Planilla_General_07-12-2012_8_3'!I1392,"AAAAAF/y62g=")</f>
        <v>#VALUE!</v>
      </c>
      <c r="DB93" t="e">
        <f>AND('Planilla_General_07-12-2012_8_3'!J1392,"AAAAAF/y62k=")</f>
        <v>#VALUE!</v>
      </c>
      <c r="DC93" t="e">
        <f>AND('Planilla_General_07-12-2012_8_3'!K1392,"AAAAAF/y62o=")</f>
        <v>#VALUE!</v>
      </c>
      <c r="DD93" t="e">
        <f>AND('Planilla_General_07-12-2012_8_3'!L1392,"AAAAAF/y62s=")</f>
        <v>#VALUE!</v>
      </c>
      <c r="DE93" t="e">
        <f>AND('Planilla_General_07-12-2012_8_3'!M1392,"AAAAAF/y62w=")</f>
        <v>#VALUE!</v>
      </c>
      <c r="DF93" t="e">
        <f>AND('Planilla_General_07-12-2012_8_3'!N1392,"AAAAAF/y620=")</f>
        <v>#VALUE!</v>
      </c>
      <c r="DG93" t="e">
        <f>AND('Planilla_General_07-12-2012_8_3'!O1392,"AAAAAF/y624=")</f>
        <v>#VALUE!</v>
      </c>
      <c r="DH93" t="e">
        <f>AND('Planilla_General_07-12-2012_8_3'!P1392,"AAAAAF/y628=")</f>
        <v>#VALUE!</v>
      </c>
      <c r="DI93">
        <f>IF('Planilla_General_07-12-2012_8_3'!1393:1393,"AAAAAF/y63A=",0)</f>
        <v>0</v>
      </c>
      <c r="DJ93" t="e">
        <f>AND('Planilla_General_07-12-2012_8_3'!A1393,"AAAAAF/y63E=")</f>
        <v>#VALUE!</v>
      </c>
      <c r="DK93" t="e">
        <f>AND('Planilla_General_07-12-2012_8_3'!B1393,"AAAAAF/y63I=")</f>
        <v>#VALUE!</v>
      </c>
      <c r="DL93" t="e">
        <f>AND('Planilla_General_07-12-2012_8_3'!C1393,"AAAAAF/y63M=")</f>
        <v>#VALUE!</v>
      </c>
      <c r="DM93" t="e">
        <f>AND('Planilla_General_07-12-2012_8_3'!D1393,"AAAAAF/y63Q=")</f>
        <v>#VALUE!</v>
      </c>
      <c r="DN93" t="e">
        <f>AND('Planilla_General_07-12-2012_8_3'!E1393,"AAAAAF/y63U=")</f>
        <v>#VALUE!</v>
      </c>
      <c r="DO93" t="e">
        <f>AND('Planilla_General_07-12-2012_8_3'!F1393,"AAAAAF/y63Y=")</f>
        <v>#VALUE!</v>
      </c>
      <c r="DP93" t="e">
        <f>AND('Planilla_General_07-12-2012_8_3'!G1393,"AAAAAF/y63c=")</f>
        <v>#VALUE!</v>
      </c>
      <c r="DQ93" t="e">
        <f>AND('Planilla_General_07-12-2012_8_3'!H1393,"AAAAAF/y63g=")</f>
        <v>#VALUE!</v>
      </c>
      <c r="DR93" t="e">
        <f>AND('Planilla_General_07-12-2012_8_3'!I1393,"AAAAAF/y63k=")</f>
        <v>#VALUE!</v>
      </c>
      <c r="DS93" t="e">
        <f>AND('Planilla_General_07-12-2012_8_3'!J1393,"AAAAAF/y63o=")</f>
        <v>#VALUE!</v>
      </c>
      <c r="DT93" t="e">
        <f>AND('Planilla_General_07-12-2012_8_3'!K1393,"AAAAAF/y63s=")</f>
        <v>#VALUE!</v>
      </c>
      <c r="DU93" t="e">
        <f>AND('Planilla_General_07-12-2012_8_3'!L1393,"AAAAAF/y63w=")</f>
        <v>#VALUE!</v>
      </c>
      <c r="DV93" t="e">
        <f>AND('Planilla_General_07-12-2012_8_3'!M1393,"AAAAAF/y630=")</f>
        <v>#VALUE!</v>
      </c>
      <c r="DW93" t="e">
        <f>AND('Planilla_General_07-12-2012_8_3'!N1393,"AAAAAF/y634=")</f>
        <v>#VALUE!</v>
      </c>
      <c r="DX93" t="e">
        <f>AND('Planilla_General_07-12-2012_8_3'!O1393,"AAAAAF/y638=")</f>
        <v>#VALUE!</v>
      </c>
      <c r="DY93" t="e">
        <f>AND('Planilla_General_07-12-2012_8_3'!P1393,"AAAAAF/y64A=")</f>
        <v>#VALUE!</v>
      </c>
      <c r="DZ93">
        <f>IF('Planilla_General_07-12-2012_8_3'!1394:1394,"AAAAAF/y64E=",0)</f>
        <v>0</v>
      </c>
      <c r="EA93" t="e">
        <f>AND('Planilla_General_07-12-2012_8_3'!A1394,"AAAAAF/y64I=")</f>
        <v>#VALUE!</v>
      </c>
      <c r="EB93" t="e">
        <f>AND('Planilla_General_07-12-2012_8_3'!B1394,"AAAAAF/y64M=")</f>
        <v>#VALUE!</v>
      </c>
      <c r="EC93" t="e">
        <f>AND('Planilla_General_07-12-2012_8_3'!C1394,"AAAAAF/y64Q=")</f>
        <v>#VALUE!</v>
      </c>
      <c r="ED93" t="e">
        <f>AND('Planilla_General_07-12-2012_8_3'!D1394,"AAAAAF/y64U=")</f>
        <v>#VALUE!</v>
      </c>
      <c r="EE93" t="e">
        <f>AND('Planilla_General_07-12-2012_8_3'!E1394,"AAAAAF/y64Y=")</f>
        <v>#VALUE!</v>
      </c>
      <c r="EF93" t="e">
        <f>AND('Planilla_General_07-12-2012_8_3'!F1394,"AAAAAF/y64c=")</f>
        <v>#VALUE!</v>
      </c>
      <c r="EG93" t="e">
        <f>AND('Planilla_General_07-12-2012_8_3'!G1394,"AAAAAF/y64g=")</f>
        <v>#VALUE!</v>
      </c>
      <c r="EH93" t="e">
        <f>AND('Planilla_General_07-12-2012_8_3'!H1394,"AAAAAF/y64k=")</f>
        <v>#VALUE!</v>
      </c>
      <c r="EI93" t="e">
        <f>AND('Planilla_General_07-12-2012_8_3'!I1394,"AAAAAF/y64o=")</f>
        <v>#VALUE!</v>
      </c>
      <c r="EJ93" t="e">
        <f>AND('Planilla_General_07-12-2012_8_3'!J1394,"AAAAAF/y64s=")</f>
        <v>#VALUE!</v>
      </c>
      <c r="EK93" t="e">
        <f>AND('Planilla_General_07-12-2012_8_3'!K1394,"AAAAAF/y64w=")</f>
        <v>#VALUE!</v>
      </c>
      <c r="EL93" t="e">
        <f>AND('Planilla_General_07-12-2012_8_3'!L1394,"AAAAAF/y640=")</f>
        <v>#VALUE!</v>
      </c>
      <c r="EM93" t="e">
        <f>AND('Planilla_General_07-12-2012_8_3'!M1394,"AAAAAF/y644=")</f>
        <v>#VALUE!</v>
      </c>
      <c r="EN93" t="e">
        <f>AND('Planilla_General_07-12-2012_8_3'!N1394,"AAAAAF/y648=")</f>
        <v>#VALUE!</v>
      </c>
      <c r="EO93" t="e">
        <f>AND('Planilla_General_07-12-2012_8_3'!O1394,"AAAAAF/y65A=")</f>
        <v>#VALUE!</v>
      </c>
      <c r="EP93" t="e">
        <f>AND('Planilla_General_07-12-2012_8_3'!P1394,"AAAAAF/y65E=")</f>
        <v>#VALUE!</v>
      </c>
      <c r="EQ93">
        <f>IF('Planilla_General_07-12-2012_8_3'!1395:1395,"AAAAAF/y65I=",0)</f>
        <v>0</v>
      </c>
      <c r="ER93" t="e">
        <f>AND('Planilla_General_07-12-2012_8_3'!A1395,"AAAAAF/y65M=")</f>
        <v>#VALUE!</v>
      </c>
      <c r="ES93" t="e">
        <f>AND('Planilla_General_07-12-2012_8_3'!B1395,"AAAAAF/y65Q=")</f>
        <v>#VALUE!</v>
      </c>
      <c r="ET93" t="e">
        <f>AND('Planilla_General_07-12-2012_8_3'!C1395,"AAAAAF/y65U=")</f>
        <v>#VALUE!</v>
      </c>
      <c r="EU93" t="e">
        <f>AND('Planilla_General_07-12-2012_8_3'!D1395,"AAAAAF/y65Y=")</f>
        <v>#VALUE!</v>
      </c>
      <c r="EV93" t="e">
        <f>AND('Planilla_General_07-12-2012_8_3'!E1395,"AAAAAF/y65c=")</f>
        <v>#VALUE!</v>
      </c>
      <c r="EW93" t="e">
        <f>AND('Planilla_General_07-12-2012_8_3'!F1395,"AAAAAF/y65g=")</f>
        <v>#VALUE!</v>
      </c>
      <c r="EX93" t="e">
        <f>AND('Planilla_General_07-12-2012_8_3'!G1395,"AAAAAF/y65k=")</f>
        <v>#VALUE!</v>
      </c>
      <c r="EY93" t="e">
        <f>AND('Planilla_General_07-12-2012_8_3'!H1395,"AAAAAF/y65o=")</f>
        <v>#VALUE!</v>
      </c>
      <c r="EZ93" t="e">
        <f>AND('Planilla_General_07-12-2012_8_3'!I1395,"AAAAAF/y65s=")</f>
        <v>#VALUE!</v>
      </c>
      <c r="FA93" t="e">
        <f>AND('Planilla_General_07-12-2012_8_3'!J1395,"AAAAAF/y65w=")</f>
        <v>#VALUE!</v>
      </c>
      <c r="FB93" t="e">
        <f>AND('Planilla_General_07-12-2012_8_3'!K1395,"AAAAAF/y650=")</f>
        <v>#VALUE!</v>
      </c>
      <c r="FC93" t="e">
        <f>AND('Planilla_General_07-12-2012_8_3'!L1395,"AAAAAF/y654=")</f>
        <v>#VALUE!</v>
      </c>
      <c r="FD93" t="e">
        <f>AND('Planilla_General_07-12-2012_8_3'!M1395,"AAAAAF/y658=")</f>
        <v>#VALUE!</v>
      </c>
      <c r="FE93" t="e">
        <f>AND('Planilla_General_07-12-2012_8_3'!N1395,"AAAAAF/y66A=")</f>
        <v>#VALUE!</v>
      </c>
      <c r="FF93" t="e">
        <f>AND('Planilla_General_07-12-2012_8_3'!O1395,"AAAAAF/y66E=")</f>
        <v>#VALUE!</v>
      </c>
      <c r="FG93" t="e">
        <f>AND('Planilla_General_07-12-2012_8_3'!P1395,"AAAAAF/y66I=")</f>
        <v>#VALUE!</v>
      </c>
      <c r="FH93">
        <f>IF('Planilla_General_07-12-2012_8_3'!1396:1396,"AAAAAF/y66M=",0)</f>
        <v>0</v>
      </c>
      <c r="FI93" t="e">
        <f>AND('Planilla_General_07-12-2012_8_3'!A1396,"AAAAAF/y66Q=")</f>
        <v>#VALUE!</v>
      </c>
      <c r="FJ93" t="e">
        <f>AND('Planilla_General_07-12-2012_8_3'!B1396,"AAAAAF/y66U=")</f>
        <v>#VALUE!</v>
      </c>
      <c r="FK93" t="e">
        <f>AND('Planilla_General_07-12-2012_8_3'!C1396,"AAAAAF/y66Y=")</f>
        <v>#VALUE!</v>
      </c>
      <c r="FL93" t="e">
        <f>AND('Planilla_General_07-12-2012_8_3'!D1396,"AAAAAF/y66c=")</f>
        <v>#VALUE!</v>
      </c>
      <c r="FM93" t="e">
        <f>AND('Planilla_General_07-12-2012_8_3'!E1396,"AAAAAF/y66g=")</f>
        <v>#VALUE!</v>
      </c>
      <c r="FN93" t="e">
        <f>AND('Planilla_General_07-12-2012_8_3'!F1396,"AAAAAF/y66k=")</f>
        <v>#VALUE!</v>
      </c>
      <c r="FO93" t="e">
        <f>AND('Planilla_General_07-12-2012_8_3'!G1396,"AAAAAF/y66o=")</f>
        <v>#VALUE!</v>
      </c>
      <c r="FP93" t="e">
        <f>AND('Planilla_General_07-12-2012_8_3'!H1396,"AAAAAF/y66s=")</f>
        <v>#VALUE!</v>
      </c>
      <c r="FQ93" t="e">
        <f>AND('Planilla_General_07-12-2012_8_3'!I1396,"AAAAAF/y66w=")</f>
        <v>#VALUE!</v>
      </c>
      <c r="FR93" t="e">
        <f>AND('Planilla_General_07-12-2012_8_3'!J1396,"AAAAAF/y660=")</f>
        <v>#VALUE!</v>
      </c>
      <c r="FS93" t="e">
        <f>AND('Planilla_General_07-12-2012_8_3'!K1396,"AAAAAF/y664=")</f>
        <v>#VALUE!</v>
      </c>
      <c r="FT93" t="e">
        <f>AND('Planilla_General_07-12-2012_8_3'!L1396,"AAAAAF/y668=")</f>
        <v>#VALUE!</v>
      </c>
      <c r="FU93" t="e">
        <f>AND('Planilla_General_07-12-2012_8_3'!M1396,"AAAAAF/y67A=")</f>
        <v>#VALUE!</v>
      </c>
      <c r="FV93" t="e">
        <f>AND('Planilla_General_07-12-2012_8_3'!N1396,"AAAAAF/y67E=")</f>
        <v>#VALUE!</v>
      </c>
      <c r="FW93" t="e">
        <f>AND('Planilla_General_07-12-2012_8_3'!O1396,"AAAAAF/y67I=")</f>
        <v>#VALUE!</v>
      </c>
      <c r="FX93" t="e">
        <f>AND('Planilla_General_07-12-2012_8_3'!P1396,"AAAAAF/y67M=")</f>
        <v>#VALUE!</v>
      </c>
      <c r="FY93">
        <f>IF('Planilla_General_07-12-2012_8_3'!1397:1397,"AAAAAF/y67Q=",0)</f>
        <v>0</v>
      </c>
      <c r="FZ93" t="e">
        <f>AND('Planilla_General_07-12-2012_8_3'!A1397,"AAAAAF/y67U=")</f>
        <v>#VALUE!</v>
      </c>
      <c r="GA93" t="e">
        <f>AND('Planilla_General_07-12-2012_8_3'!B1397,"AAAAAF/y67Y=")</f>
        <v>#VALUE!</v>
      </c>
      <c r="GB93" t="e">
        <f>AND('Planilla_General_07-12-2012_8_3'!C1397,"AAAAAF/y67c=")</f>
        <v>#VALUE!</v>
      </c>
      <c r="GC93" t="e">
        <f>AND('Planilla_General_07-12-2012_8_3'!D1397,"AAAAAF/y67g=")</f>
        <v>#VALUE!</v>
      </c>
      <c r="GD93" t="e">
        <f>AND('Planilla_General_07-12-2012_8_3'!E1397,"AAAAAF/y67k=")</f>
        <v>#VALUE!</v>
      </c>
      <c r="GE93" t="e">
        <f>AND('Planilla_General_07-12-2012_8_3'!F1397,"AAAAAF/y67o=")</f>
        <v>#VALUE!</v>
      </c>
      <c r="GF93" t="e">
        <f>AND('Planilla_General_07-12-2012_8_3'!G1397,"AAAAAF/y67s=")</f>
        <v>#VALUE!</v>
      </c>
      <c r="GG93" t="e">
        <f>AND('Planilla_General_07-12-2012_8_3'!H1397,"AAAAAF/y67w=")</f>
        <v>#VALUE!</v>
      </c>
      <c r="GH93" t="e">
        <f>AND('Planilla_General_07-12-2012_8_3'!I1397,"AAAAAF/y670=")</f>
        <v>#VALUE!</v>
      </c>
      <c r="GI93" t="e">
        <f>AND('Planilla_General_07-12-2012_8_3'!J1397,"AAAAAF/y674=")</f>
        <v>#VALUE!</v>
      </c>
      <c r="GJ93" t="e">
        <f>AND('Planilla_General_07-12-2012_8_3'!K1397,"AAAAAF/y678=")</f>
        <v>#VALUE!</v>
      </c>
      <c r="GK93" t="e">
        <f>AND('Planilla_General_07-12-2012_8_3'!L1397,"AAAAAF/y68A=")</f>
        <v>#VALUE!</v>
      </c>
      <c r="GL93" t="e">
        <f>AND('Planilla_General_07-12-2012_8_3'!M1397,"AAAAAF/y68E=")</f>
        <v>#VALUE!</v>
      </c>
      <c r="GM93" t="e">
        <f>AND('Planilla_General_07-12-2012_8_3'!N1397,"AAAAAF/y68I=")</f>
        <v>#VALUE!</v>
      </c>
      <c r="GN93" t="e">
        <f>AND('Planilla_General_07-12-2012_8_3'!O1397,"AAAAAF/y68M=")</f>
        <v>#VALUE!</v>
      </c>
      <c r="GO93" t="e">
        <f>AND('Planilla_General_07-12-2012_8_3'!P1397,"AAAAAF/y68Q=")</f>
        <v>#VALUE!</v>
      </c>
      <c r="GP93">
        <f>IF('Planilla_General_07-12-2012_8_3'!1398:1398,"AAAAAF/y68U=",0)</f>
        <v>0</v>
      </c>
      <c r="GQ93" t="e">
        <f>AND('Planilla_General_07-12-2012_8_3'!A1398,"AAAAAF/y68Y=")</f>
        <v>#VALUE!</v>
      </c>
      <c r="GR93" t="e">
        <f>AND('Planilla_General_07-12-2012_8_3'!B1398,"AAAAAF/y68c=")</f>
        <v>#VALUE!</v>
      </c>
      <c r="GS93" t="e">
        <f>AND('Planilla_General_07-12-2012_8_3'!C1398,"AAAAAF/y68g=")</f>
        <v>#VALUE!</v>
      </c>
      <c r="GT93" t="e">
        <f>AND('Planilla_General_07-12-2012_8_3'!D1398,"AAAAAF/y68k=")</f>
        <v>#VALUE!</v>
      </c>
      <c r="GU93" t="e">
        <f>AND('Planilla_General_07-12-2012_8_3'!E1398,"AAAAAF/y68o=")</f>
        <v>#VALUE!</v>
      </c>
      <c r="GV93" t="e">
        <f>AND('Planilla_General_07-12-2012_8_3'!F1398,"AAAAAF/y68s=")</f>
        <v>#VALUE!</v>
      </c>
      <c r="GW93" t="e">
        <f>AND('Planilla_General_07-12-2012_8_3'!G1398,"AAAAAF/y68w=")</f>
        <v>#VALUE!</v>
      </c>
      <c r="GX93" t="e">
        <f>AND('Planilla_General_07-12-2012_8_3'!H1398,"AAAAAF/y680=")</f>
        <v>#VALUE!</v>
      </c>
      <c r="GY93" t="e">
        <f>AND('Planilla_General_07-12-2012_8_3'!I1398,"AAAAAF/y684=")</f>
        <v>#VALUE!</v>
      </c>
      <c r="GZ93" t="e">
        <f>AND('Planilla_General_07-12-2012_8_3'!J1398,"AAAAAF/y688=")</f>
        <v>#VALUE!</v>
      </c>
      <c r="HA93" t="e">
        <f>AND('Planilla_General_07-12-2012_8_3'!K1398,"AAAAAF/y69A=")</f>
        <v>#VALUE!</v>
      </c>
      <c r="HB93" t="e">
        <f>AND('Planilla_General_07-12-2012_8_3'!L1398,"AAAAAF/y69E=")</f>
        <v>#VALUE!</v>
      </c>
      <c r="HC93" t="e">
        <f>AND('Planilla_General_07-12-2012_8_3'!M1398,"AAAAAF/y69I=")</f>
        <v>#VALUE!</v>
      </c>
      <c r="HD93" t="e">
        <f>AND('Planilla_General_07-12-2012_8_3'!N1398,"AAAAAF/y69M=")</f>
        <v>#VALUE!</v>
      </c>
      <c r="HE93" t="e">
        <f>AND('Planilla_General_07-12-2012_8_3'!O1398,"AAAAAF/y69Q=")</f>
        <v>#VALUE!</v>
      </c>
      <c r="HF93" t="e">
        <f>AND('Planilla_General_07-12-2012_8_3'!P1398,"AAAAAF/y69U=")</f>
        <v>#VALUE!</v>
      </c>
      <c r="HG93">
        <f>IF('Planilla_General_07-12-2012_8_3'!1399:1399,"AAAAAF/y69Y=",0)</f>
        <v>0</v>
      </c>
      <c r="HH93" t="e">
        <f>AND('Planilla_General_07-12-2012_8_3'!A1399,"AAAAAF/y69c=")</f>
        <v>#VALUE!</v>
      </c>
      <c r="HI93" t="e">
        <f>AND('Planilla_General_07-12-2012_8_3'!B1399,"AAAAAF/y69g=")</f>
        <v>#VALUE!</v>
      </c>
      <c r="HJ93" t="e">
        <f>AND('Planilla_General_07-12-2012_8_3'!C1399,"AAAAAF/y69k=")</f>
        <v>#VALUE!</v>
      </c>
      <c r="HK93" t="e">
        <f>AND('Planilla_General_07-12-2012_8_3'!D1399,"AAAAAF/y69o=")</f>
        <v>#VALUE!</v>
      </c>
      <c r="HL93" t="e">
        <f>AND('Planilla_General_07-12-2012_8_3'!E1399,"AAAAAF/y69s=")</f>
        <v>#VALUE!</v>
      </c>
      <c r="HM93" t="e">
        <f>AND('Planilla_General_07-12-2012_8_3'!F1399,"AAAAAF/y69w=")</f>
        <v>#VALUE!</v>
      </c>
      <c r="HN93" t="e">
        <f>AND('Planilla_General_07-12-2012_8_3'!G1399,"AAAAAF/y690=")</f>
        <v>#VALUE!</v>
      </c>
      <c r="HO93" t="e">
        <f>AND('Planilla_General_07-12-2012_8_3'!H1399,"AAAAAF/y694=")</f>
        <v>#VALUE!</v>
      </c>
      <c r="HP93" t="e">
        <f>AND('Planilla_General_07-12-2012_8_3'!I1399,"AAAAAF/y698=")</f>
        <v>#VALUE!</v>
      </c>
      <c r="HQ93" t="e">
        <f>AND('Planilla_General_07-12-2012_8_3'!J1399,"AAAAAF/y6+A=")</f>
        <v>#VALUE!</v>
      </c>
      <c r="HR93" t="e">
        <f>AND('Planilla_General_07-12-2012_8_3'!K1399,"AAAAAF/y6+E=")</f>
        <v>#VALUE!</v>
      </c>
      <c r="HS93" t="e">
        <f>AND('Planilla_General_07-12-2012_8_3'!L1399,"AAAAAF/y6+I=")</f>
        <v>#VALUE!</v>
      </c>
      <c r="HT93" t="e">
        <f>AND('Planilla_General_07-12-2012_8_3'!M1399,"AAAAAF/y6+M=")</f>
        <v>#VALUE!</v>
      </c>
      <c r="HU93" t="e">
        <f>AND('Planilla_General_07-12-2012_8_3'!N1399,"AAAAAF/y6+Q=")</f>
        <v>#VALUE!</v>
      </c>
      <c r="HV93" t="e">
        <f>AND('Planilla_General_07-12-2012_8_3'!O1399,"AAAAAF/y6+U=")</f>
        <v>#VALUE!</v>
      </c>
      <c r="HW93" t="e">
        <f>AND('Planilla_General_07-12-2012_8_3'!P1399,"AAAAAF/y6+Y=")</f>
        <v>#VALUE!</v>
      </c>
      <c r="HX93">
        <f>IF('Planilla_General_07-12-2012_8_3'!1400:1400,"AAAAAF/y6+c=",0)</f>
        <v>0</v>
      </c>
      <c r="HY93" t="e">
        <f>AND('Planilla_General_07-12-2012_8_3'!A1400,"AAAAAF/y6+g=")</f>
        <v>#VALUE!</v>
      </c>
      <c r="HZ93" t="e">
        <f>AND('Planilla_General_07-12-2012_8_3'!B1400,"AAAAAF/y6+k=")</f>
        <v>#VALUE!</v>
      </c>
      <c r="IA93" t="e">
        <f>AND('Planilla_General_07-12-2012_8_3'!C1400,"AAAAAF/y6+o=")</f>
        <v>#VALUE!</v>
      </c>
      <c r="IB93" t="e">
        <f>AND('Planilla_General_07-12-2012_8_3'!D1400,"AAAAAF/y6+s=")</f>
        <v>#VALUE!</v>
      </c>
      <c r="IC93" t="e">
        <f>AND('Planilla_General_07-12-2012_8_3'!E1400,"AAAAAF/y6+w=")</f>
        <v>#VALUE!</v>
      </c>
      <c r="ID93" t="e">
        <f>AND('Planilla_General_07-12-2012_8_3'!F1400,"AAAAAF/y6+0=")</f>
        <v>#VALUE!</v>
      </c>
      <c r="IE93" t="e">
        <f>AND('Planilla_General_07-12-2012_8_3'!G1400,"AAAAAF/y6+4=")</f>
        <v>#VALUE!</v>
      </c>
      <c r="IF93" t="e">
        <f>AND('Planilla_General_07-12-2012_8_3'!H1400,"AAAAAF/y6+8=")</f>
        <v>#VALUE!</v>
      </c>
      <c r="IG93" t="e">
        <f>AND('Planilla_General_07-12-2012_8_3'!I1400,"AAAAAF/y6/A=")</f>
        <v>#VALUE!</v>
      </c>
      <c r="IH93" t="e">
        <f>AND('Planilla_General_07-12-2012_8_3'!J1400,"AAAAAF/y6/E=")</f>
        <v>#VALUE!</v>
      </c>
      <c r="II93" t="e">
        <f>AND('Planilla_General_07-12-2012_8_3'!K1400,"AAAAAF/y6/I=")</f>
        <v>#VALUE!</v>
      </c>
      <c r="IJ93" t="e">
        <f>AND('Planilla_General_07-12-2012_8_3'!L1400,"AAAAAF/y6/M=")</f>
        <v>#VALUE!</v>
      </c>
      <c r="IK93" t="e">
        <f>AND('Planilla_General_07-12-2012_8_3'!M1400,"AAAAAF/y6/Q=")</f>
        <v>#VALUE!</v>
      </c>
      <c r="IL93" t="e">
        <f>AND('Planilla_General_07-12-2012_8_3'!N1400,"AAAAAF/y6/U=")</f>
        <v>#VALUE!</v>
      </c>
      <c r="IM93" t="e">
        <f>AND('Planilla_General_07-12-2012_8_3'!O1400,"AAAAAF/y6/Y=")</f>
        <v>#VALUE!</v>
      </c>
      <c r="IN93" t="e">
        <f>AND('Planilla_General_07-12-2012_8_3'!P1400,"AAAAAF/y6/c=")</f>
        <v>#VALUE!</v>
      </c>
      <c r="IO93">
        <f>IF('Planilla_General_07-12-2012_8_3'!1401:1401,"AAAAAF/y6/g=",0)</f>
        <v>0</v>
      </c>
      <c r="IP93" t="e">
        <f>AND('Planilla_General_07-12-2012_8_3'!A1401,"AAAAAF/y6/k=")</f>
        <v>#VALUE!</v>
      </c>
      <c r="IQ93" t="e">
        <f>AND('Planilla_General_07-12-2012_8_3'!B1401,"AAAAAF/y6/o=")</f>
        <v>#VALUE!</v>
      </c>
      <c r="IR93" t="e">
        <f>AND('Planilla_General_07-12-2012_8_3'!C1401,"AAAAAF/y6/s=")</f>
        <v>#VALUE!</v>
      </c>
      <c r="IS93" t="e">
        <f>AND('Planilla_General_07-12-2012_8_3'!D1401,"AAAAAF/y6/w=")</f>
        <v>#VALUE!</v>
      </c>
      <c r="IT93" t="e">
        <f>AND('Planilla_General_07-12-2012_8_3'!E1401,"AAAAAF/y6/0=")</f>
        <v>#VALUE!</v>
      </c>
      <c r="IU93" t="e">
        <f>AND('Planilla_General_07-12-2012_8_3'!F1401,"AAAAAF/y6/4=")</f>
        <v>#VALUE!</v>
      </c>
      <c r="IV93" t="e">
        <f>AND('Planilla_General_07-12-2012_8_3'!G1401,"AAAAAF/y6/8=")</f>
        <v>#VALUE!</v>
      </c>
    </row>
    <row r="94" spans="1:256" x14ac:dyDescent="0.25">
      <c r="A94" t="e">
        <f>AND('Planilla_General_07-12-2012_8_3'!H1401,"AAAAAFs8+wA=")</f>
        <v>#VALUE!</v>
      </c>
      <c r="B94" t="e">
        <f>AND('Planilla_General_07-12-2012_8_3'!I1401,"AAAAAFs8+wE=")</f>
        <v>#VALUE!</v>
      </c>
      <c r="C94" t="e">
        <f>AND('Planilla_General_07-12-2012_8_3'!J1401,"AAAAAFs8+wI=")</f>
        <v>#VALUE!</v>
      </c>
      <c r="D94" t="e">
        <f>AND('Planilla_General_07-12-2012_8_3'!K1401,"AAAAAFs8+wM=")</f>
        <v>#VALUE!</v>
      </c>
      <c r="E94" t="e">
        <f>AND('Planilla_General_07-12-2012_8_3'!L1401,"AAAAAFs8+wQ=")</f>
        <v>#VALUE!</v>
      </c>
      <c r="F94" t="e">
        <f>AND('Planilla_General_07-12-2012_8_3'!M1401,"AAAAAFs8+wU=")</f>
        <v>#VALUE!</v>
      </c>
      <c r="G94" t="e">
        <f>AND('Planilla_General_07-12-2012_8_3'!N1401,"AAAAAFs8+wY=")</f>
        <v>#VALUE!</v>
      </c>
      <c r="H94" t="e">
        <f>AND('Planilla_General_07-12-2012_8_3'!O1401,"AAAAAFs8+wc=")</f>
        <v>#VALUE!</v>
      </c>
      <c r="I94" t="e">
        <f>AND('Planilla_General_07-12-2012_8_3'!P1401,"AAAAAFs8+wg=")</f>
        <v>#VALUE!</v>
      </c>
      <c r="J94" t="e">
        <f>IF('Planilla_General_07-12-2012_8_3'!1402:1402,"AAAAAFs8+wk=",0)</f>
        <v>#VALUE!</v>
      </c>
      <c r="K94" t="e">
        <f>AND('Planilla_General_07-12-2012_8_3'!A1402,"AAAAAFs8+wo=")</f>
        <v>#VALUE!</v>
      </c>
      <c r="L94" t="e">
        <f>AND('Planilla_General_07-12-2012_8_3'!B1402,"AAAAAFs8+ws=")</f>
        <v>#VALUE!</v>
      </c>
      <c r="M94" t="e">
        <f>AND('Planilla_General_07-12-2012_8_3'!C1402,"AAAAAFs8+ww=")</f>
        <v>#VALUE!</v>
      </c>
      <c r="N94" t="e">
        <f>AND('Planilla_General_07-12-2012_8_3'!D1402,"AAAAAFs8+w0=")</f>
        <v>#VALUE!</v>
      </c>
      <c r="O94" t="e">
        <f>AND('Planilla_General_07-12-2012_8_3'!E1402,"AAAAAFs8+w4=")</f>
        <v>#VALUE!</v>
      </c>
      <c r="P94" t="e">
        <f>AND('Planilla_General_07-12-2012_8_3'!F1402,"AAAAAFs8+w8=")</f>
        <v>#VALUE!</v>
      </c>
      <c r="Q94" t="e">
        <f>AND('Planilla_General_07-12-2012_8_3'!G1402,"AAAAAFs8+xA=")</f>
        <v>#VALUE!</v>
      </c>
      <c r="R94" t="e">
        <f>AND('Planilla_General_07-12-2012_8_3'!H1402,"AAAAAFs8+xE=")</f>
        <v>#VALUE!</v>
      </c>
      <c r="S94" t="e">
        <f>AND('Planilla_General_07-12-2012_8_3'!I1402,"AAAAAFs8+xI=")</f>
        <v>#VALUE!</v>
      </c>
      <c r="T94" t="e">
        <f>AND('Planilla_General_07-12-2012_8_3'!J1402,"AAAAAFs8+xM=")</f>
        <v>#VALUE!</v>
      </c>
      <c r="U94" t="e">
        <f>AND('Planilla_General_07-12-2012_8_3'!K1402,"AAAAAFs8+xQ=")</f>
        <v>#VALUE!</v>
      </c>
      <c r="V94" t="e">
        <f>AND('Planilla_General_07-12-2012_8_3'!L1402,"AAAAAFs8+xU=")</f>
        <v>#VALUE!</v>
      </c>
      <c r="W94" t="e">
        <f>AND('Planilla_General_07-12-2012_8_3'!M1402,"AAAAAFs8+xY=")</f>
        <v>#VALUE!</v>
      </c>
      <c r="X94" t="e">
        <f>AND('Planilla_General_07-12-2012_8_3'!N1402,"AAAAAFs8+xc=")</f>
        <v>#VALUE!</v>
      </c>
      <c r="Y94" t="e">
        <f>AND('Planilla_General_07-12-2012_8_3'!O1402,"AAAAAFs8+xg=")</f>
        <v>#VALUE!</v>
      </c>
      <c r="Z94" t="e">
        <f>AND('Planilla_General_07-12-2012_8_3'!P1402,"AAAAAFs8+xk=")</f>
        <v>#VALUE!</v>
      </c>
      <c r="AA94">
        <f>IF('Planilla_General_07-12-2012_8_3'!1403:1403,"AAAAAFs8+xo=",0)</f>
        <v>0</v>
      </c>
      <c r="AB94" t="e">
        <f>AND('Planilla_General_07-12-2012_8_3'!A1403,"AAAAAFs8+xs=")</f>
        <v>#VALUE!</v>
      </c>
      <c r="AC94" t="e">
        <f>AND('Planilla_General_07-12-2012_8_3'!B1403,"AAAAAFs8+xw=")</f>
        <v>#VALUE!</v>
      </c>
      <c r="AD94" t="e">
        <f>AND('Planilla_General_07-12-2012_8_3'!C1403,"AAAAAFs8+x0=")</f>
        <v>#VALUE!</v>
      </c>
      <c r="AE94" t="e">
        <f>AND('Planilla_General_07-12-2012_8_3'!D1403,"AAAAAFs8+x4=")</f>
        <v>#VALUE!</v>
      </c>
      <c r="AF94" t="e">
        <f>AND('Planilla_General_07-12-2012_8_3'!E1403,"AAAAAFs8+x8=")</f>
        <v>#VALUE!</v>
      </c>
      <c r="AG94" t="e">
        <f>AND('Planilla_General_07-12-2012_8_3'!F1403,"AAAAAFs8+yA=")</f>
        <v>#VALUE!</v>
      </c>
      <c r="AH94" t="e">
        <f>AND('Planilla_General_07-12-2012_8_3'!G1403,"AAAAAFs8+yE=")</f>
        <v>#VALUE!</v>
      </c>
      <c r="AI94" t="e">
        <f>AND('Planilla_General_07-12-2012_8_3'!H1403,"AAAAAFs8+yI=")</f>
        <v>#VALUE!</v>
      </c>
      <c r="AJ94" t="e">
        <f>AND('Planilla_General_07-12-2012_8_3'!I1403,"AAAAAFs8+yM=")</f>
        <v>#VALUE!</v>
      </c>
      <c r="AK94" t="e">
        <f>AND('Planilla_General_07-12-2012_8_3'!J1403,"AAAAAFs8+yQ=")</f>
        <v>#VALUE!</v>
      </c>
      <c r="AL94" t="e">
        <f>AND('Planilla_General_07-12-2012_8_3'!K1403,"AAAAAFs8+yU=")</f>
        <v>#VALUE!</v>
      </c>
      <c r="AM94" t="e">
        <f>AND('Planilla_General_07-12-2012_8_3'!L1403,"AAAAAFs8+yY=")</f>
        <v>#VALUE!</v>
      </c>
      <c r="AN94" t="e">
        <f>AND('Planilla_General_07-12-2012_8_3'!M1403,"AAAAAFs8+yc=")</f>
        <v>#VALUE!</v>
      </c>
      <c r="AO94" t="e">
        <f>AND('Planilla_General_07-12-2012_8_3'!N1403,"AAAAAFs8+yg=")</f>
        <v>#VALUE!</v>
      </c>
      <c r="AP94" t="e">
        <f>AND('Planilla_General_07-12-2012_8_3'!O1403,"AAAAAFs8+yk=")</f>
        <v>#VALUE!</v>
      </c>
      <c r="AQ94" t="e">
        <f>AND('Planilla_General_07-12-2012_8_3'!P1403,"AAAAAFs8+yo=")</f>
        <v>#VALUE!</v>
      </c>
      <c r="AR94">
        <f>IF('Planilla_General_07-12-2012_8_3'!1404:1404,"AAAAAFs8+ys=",0)</f>
        <v>0</v>
      </c>
      <c r="AS94" t="e">
        <f>AND('Planilla_General_07-12-2012_8_3'!A1404,"AAAAAFs8+yw=")</f>
        <v>#VALUE!</v>
      </c>
      <c r="AT94" t="e">
        <f>AND('Planilla_General_07-12-2012_8_3'!B1404,"AAAAAFs8+y0=")</f>
        <v>#VALUE!</v>
      </c>
      <c r="AU94" t="e">
        <f>AND('Planilla_General_07-12-2012_8_3'!C1404,"AAAAAFs8+y4=")</f>
        <v>#VALUE!</v>
      </c>
      <c r="AV94" t="e">
        <f>AND('Planilla_General_07-12-2012_8_3'!D1404,"AAAAAFs8+y8=")</f>
        <v>#VALUE!</v>
      </c>
      <c r="AW94" t="e">
        <f>AND('Planilla_General_07-12-2012_8_3'!E1404,"AAAAAFs8+zA=")</f>
        <v>#VALUE!</v>
      </c>
      <c r="AX94" t="e">
        <f>AND('Planilla_General_07-12-2012_8_3'!F1404,"AAAAAFs8+zE=")</f>
        <v>#VALUE!</v>
      </c>
      <c r="AY94" t="e">
        <f>AND('Planilla_General_07-12-2012_8_3'!G1404,"AAAAAFs8+zI=")</f>
        <v>#VALUE!</v>
      </c>
      <c r="AZ94" t="e">
        <f>AND('Planilla_General_07-12-2012_8_3'!H1404,"AAAAAFs8+zM=")</f>
        <v>#VALUE!</v>
      </c>
      <c r="BA94" t="e">
        <f>AND('Planilla_General_07-12-2012_8_3'!I1404,"AAAAAFs8+zQ=")</f>
        <v>#VALUE!</v>
      </c>
      <c r="BB94" t="e">
        <f>AND('Planilla_General_07-12-2012_8_3'!J1404,"AAAAAFs8+zU=")</f>
        <v>#VALUE!</v>
      </c>
      <c r="BC94" t="e">
        <f>AND('Planilla_General_07-12-2012_8_3'!K1404,"AAAAAFs8+zY=")</f>
        <v>#VALUE!</v>
      </c>
      <c r="BD94" t="e">
        <f>AND('Planilla_General_07-12-2012_8_3'!L1404,"AAAAAFs8+zc=")</f>
        <v>#VALUE!</v>
      </c>
      <c r="BE94" t="e">
        <f>AND('Planilla_General_07-12-2012_8_3'!M1404,"AAAAAFs8+zg=")</f>
        <v>#VALUE!</v>
      </c>
      <c r="BF94" t="e">
        <f>AND('Planilla_General_07-12-2012_8_3'!N1404,"AAAAAFs8+zk=")</f>
        <v>#VALUE!</v>
      </c>
      <c r="BG94" t="e">
        <f>AND('Planilla_General_07-12-2012_8_3'!O1404,"AAAAAFs8+zo=")</f>
        <v>#VALUE!</v>
      </c>
      <c r="BH94" t="e">
        <f>AND('Planilla_General_07-12-2012_8_3'!P1404,"AAAAAFs8+zs=")</f>
        <v>#VALUE!</v>
      </c>
      <c r="BI94">
        <f>IF('Planilla_General_07-12-2012_8_3'!1405:1405,"AAAAAFs8+zw=",0)</f>
        <v>0</v>
      </c>
      <c r="BJ94" t="e">
        <f>AND('Planilla_General_07-12-2012_8_3'!A1405,"AAAAAFs8+z0=")</f>
        <v>#VALUE!</v>
      </c>
      <c r="BK94" t="e">
        <f>AND('Planilla_General_07-12-2012_8_3'!B1405,"AAAAAFs8+z4=")</f>
        <v>#VALUE!</v>
      </c>
      <c r="BL94" t="e">
        <f>AND('Planilla_General_07-12-2012_8_3'!C1405,"AAAAAFs8+z8=")</f>
        <v>#VALUE!</v>
      </c>
      <c r="BM94" t="e">
        <f>AND('Planilla_General_07-12-2012_8_3'!D1405,"AAAAAFs8+0A=")</f>
        <v>#VALUE!</v>
      </c>
      <c r="BN94" t="e">
        <f>AND('Planilla_General_07-12-2012_8_3'!E1405,"AAAAAFs8+0E=")</f>
        <v>#VALUE!</v>
      </c>
      <c r="BO94" t="e">
        <f>AND('Planilla_General_07-12-2012_8_3'!F1405,"AAAAAFs8+0I=")</f>
        <v>#VALUE!</v>
      </c>
      <c r="BP94" t="e">
        <f>AND('Planilla_General_07-12-2012_8_3'!G1405,"AAAAAFs8+0M=")</f>
        <v>#VALUE!</v>
      </c>
      <c r="BQ94" t="e">
        <f>AND('Planilla_General_07-12-2012_8_3'!H1405,"AAAAAFs8+0Q=")</f>
        <v>#VALUE!</v>
      </c>
      <c r="BR94" t="e">
        <f>AND('Planilla_General_07-12-2012_8_3'!I1405,"AAAAAFs8+0U=")</f>
        <v>#VALUE!</v>
      </c>
      <c r="BS94" t="e">
        <f>AND('Planilla_General_07-12-2012_8_3'!J1405,"AAAAAFs8+0Y=")</f>
        <v>#VALUE!</v>
      </c>
      <c r="BT94" t="e">
        <f>AND('Planilla_General_07-12-2012_8_3'!K1405,"AAAAAFs8+0c=")</f>
        <v>#VALUE!</v>
      </c>
      <c r="BU94" t="e">
        <f>AND('Planilla_General_07-12-2012_8_3'!L1405,"AAAAAFs8+0g=")</f>
        <v>#VALUE!</v>
      </c>
      <c r="BV94" t="e">
        <f>AND('Planilla_General_07-12-2012_8_3'!M1405,"AAAAAFs8+0k=")</f>
        <v>#VALUE!</v>
      </c>
      <c r="BW94" t="e">
        <f>AND('Planilla_General_07-12-2012_8_3'!N1405,"AAAAAFs8+0o=")</f>
        <v>#VALUE!</v>
      </c>
      <c r="BX94" t="e">
        <f>AND('Planilla_General_07-12-2012_8_3'!O1405,"AAAAAFs8+0s=")</f>
        <v>#VALUE!</v>
      </c>
      <c r="BY94" t="e">
        <f>AND('Planilla_General_07-12-2012_8_3'!P1405,"AAAAAFs8+0w=")</f>
        <v>#VALUE!</v>
      </c>
      <c r="BZ94">
        <f>IF('Planilla_General_07-12-2012_8_3'!1406:1406,"AAAAAFs8+00=",0)</f>
        <v>0</v>
      </c>
      <c r="CA94" t="e">
        <f>AND('Planilla_General_07-12-2012_8_3'!A1406,"AAAAAFs8+04=")</f>
        <v>#VALUE!</v>
      </c>
      <c r="CB94" t="e">
        <f>AND('Planilla_General_07-12-2012_8_3'!B1406,"AAAAAFs8+08=")</f>
        <v>#VALUE!</v>
      </c>
      <c r="CC94" t="e">
        <f>AND('Planilla_General_07-12-2012_8_3'!C1406,"AAAAAFs8+1A=")</f>
        <v>#VALUE!</v>
      </c>
      <c r="CD94" t="e">
        <f>AND('Planilla_General_07-12-2012_8_3'!D1406,"AAAAAFs8+1E=")</f>
        <v>#VALUE!</v>
      </c>
      <c r="CE94" t="e">
        <f>AND('Planilla_General_07-12-2012_8_3'!E1406,"AAAAAFs8+1I=")</f>
        <v>#VALUE!</v>
      </c>
      <c r="CF94" t="e">
        <f>AND('Planilla_General_07-12-2012_8_3'!F1406,"AAAAAFs8+1M=")</f>
        <v>#VALUE!</v>
      </c>
      <c r="CG94" t="e">
        <f>AND('Planilla_General_07-12-2012_8_3'!G1406,"AAAAAFs8+1Q=")</f>
        <v>#VALUE!</v>
      </c>
      <c r="CH94" t="e">
        <f>AND('Planilla_General_07-12-2012_8_3'!H1406,"AAAAAFs8+1U=")</f>
        <v>#VALUE!</v>
      </c>
      <c r="CI94" t="e">
        <f>AND('Planilla_General_07-12-2012_8_3'!I1406,"AAAAAFs8+1Y=")</f>
        <v>#VALUE!</v>
      </c>
      <c r="CJ94" t="e">
        <f>AND('Planilla_General_07-12-2012_8_3'!J1406,"AAAAAFs8+1c=")</f>
        <v>#VALUE!</v>
      </c>
      <c r="CK94" t="e">
        <f>AND('Planilla_General_07-12-2012_8_3'!K1406,"AAAAAFs8+1g=")</f>
        <v>#VALUE!</v>
      </c>
      <c r="CL94" t="e">
        <f>AND('Planilla_General_07-12-2012_8_3'!L1406,"AAAAAFs8+1k=")</f>
        <v>#VALUE!</v>
      </c>
      <c r="CM94" t="e">
        <f>AND('Planilla_General_07-12-2012_8_3'!M1406,"AAAAAFs8+1o=")</f>
        <v>#VALUE!</v>
      </c>
      <c r="CN94" t="e">
        <f>AND('Planilla_General_07-12-2012_8_3'!N1406,"AAAAAFs8+1s=")</f>
        <v>#VALUE!</v>
      </c>
      <c r="CO94" t="e">
        <f>AND('Planilla_General_07-12-2012_8_3'!O1406,"AAAAAFs8+1w=")</f>
        <v>#VALUE!</v>
      </c>
      <c r="CP94" t="e">
        <f>AND('Planilla_General_07-12-2012_8_3'!P1406,"AAAAAFs8+10=")</f>
        <v>#VALUE!</v>
      </c>
      <c r="CQ94">
        <f>IF('Planilla_General_07-12-2012_8_3'!1407:1407,"AAAAAFs8+14=",0)</f>
        <v>0</v>
      </c>
      <c r="CR94" t="e">
        <f>AND('Planilla_General_07-12-2012_8_3'!A1407,"AAAAAFs8+18=")</f>
        <v>#VALUE!</v>
      </c>
      <c r="CS94" t="e">
        <f>AND('Planilla_General_07-12-2012_8_3'!B1407,"AAAAAFs8+2A=")</f>
        <v>#VALUE!</v>
      </c>
      <c r="CT94" t="e">
        <f>AND('Planilla_General_07-12-2012_8_3'!C1407,"AAAAAFs8+2E=")</f>
        <v>#VALUE!</v>
      </c>
      <c r="CU94" t="e">
        <f>AND('Planilla_General_07-12-2012_8_3'!D1407,"AAAAAFs8+2I=")</f>
        <v>#VALUE!</v>
      </c>
      <c r="CV94" t="e">
        <f>AND('Planilla_General_07-12-2012_8_3'!E1407,"AAAAAFs8+2M=")</f>
        <v>#VALUE!</v>
      </c>
      <c r="CW94" t="e">
        <f>AND('Planilla_General_07-12-2012_8_3'!F1407,"AAAAAFs8+2Q=")</f>
        <v>#VALUE!</v>
      </c>
      <c r="CX94" t="e">
        <f>AND('Planilla_General_07-12-2012_8_3'!G1407,"AAAAAFs8+2U=")</f>
        <v>#VALUE!</v>
      </c>
      <c r="CY94" t="e">
        <f>AND('Planilla_General_07-12-2012_8_3'!H1407,"AAAAAFs8+2Y=")</f>
        <v>#VALUE!</v>
      </c>
      <c r="CZ94" t="e">
        <f>AND('Planilla_General_07-12-2012_8_3'!I1407,"AAAAAFs8+2c=")</f>
        <v>#VALUE!</v>
      </c>
      <c r="DA94" t="e">
        <f>AND('Planilla_General_07-12-2012_8_3'!J1407,"AAAAAFs8+2g=")</f>
        <v>#VALUE!</v>
      </c>
      <c r="DB94" t="e">
        <f>AND('Planilla_General_07-12-2012_8_3'!K1407,"AAAAAFs8+2k=")</f>
        <v>#VALUE!</v>
      </c>
      <c r="DC94" t="e">
        <f>AND('Planilla_General_07-12-2012_8_3'!L1407,"AAAAAFs8+2o=")</f>
        <v>#VALUE!</v>
      </c>
      <c r="DD94" t="e">
        <f>AND('Planilla_General_07-12-2012_8_3'!M1407,"AAAAAFs8+2s=")</f>
        <v>#VALUE!</v>
      </c>
      <c r="DE94" t="e">
        <f>AND('Planilla_General_07-12-2012_8_3'!N1407,"AAAAAFs8+2w=")</f>
        <v>#VALUE!</v>
      </c>
      <c r="DF94" t="e">
        <f>AND('Planilla_General_07-12-2012_8_3'!O1407,"AAAAAFs8+20=")</f>
        <v>#VALUE!</v>
      </c>
      <c r="DG94" t="e">
        <f>AND('Planilla_General_07-12-2012_8_3'!P1407,"AAAAAFs8+24=")</f>
        <v>#VALUE!</v>
      </c>
      <c r="DH94">
        <f>IF('Planilla_General_07-12-2012_8_3'!1408:1408,"AAAAAFs8+28=",0)</f>
        <v>0</v>
      </c>
      <c r="DI94" t="e">
        <f>AND('Planilla_General_07-12-2012_8_3'!A1408,"AAAAAFs8+3A=")</f>
        <v>#VALUE!</v>
      </c>
      <c r="DJ94" t="e">
        <f>AND('Planilla_General_07-12-2012_8_3'!B1408,"AAAAAFs8+3E=")</f>
        <v>#VALUE!</v>
      </c>
      <c r="DK94" t="e">
        <f>AND('Planilla_General_07-12-2012_8_3'!C1408,"AAAAAFs8+3I=")</f>
        <v>#VALUE!</v>
      </c>
      <c r="DL94" t="e">
        <f>AND('Planilla_General_07-12-2012_8_3'!D1408,"AAAAAFs8+3M=")</f>
        <v>#VALUE!</v>
      </c>
      <c r="DM94" t="e">
        <f>AND('Planilla_General_07-12-2012_8_3'!E1408,"AAAAAFs8+3Q=")</f>
        <v>#VALUE!</v>
      </c>
      <c r="DN94" t="e">
        <f>AND('Planilla_General_07-12-2012_8_3'!F1408,"AAAAAFs8+3U=")</f>
        <v>#VALUE!</v>
      </c>
      <c r="DO94" t="e">
        <f>AND('Planilla_General_07-12-2012_8_3'!G1408,"AAAAAFs8+3Y=")</f>
        <v>#VALUE!</v>
      </c>
      <c r="DP94" t="e">
        <f>AND('Planilla_General_07-12-2012_8_3'!H1408,"AAAAAFs8+3c=")</f>
        <v>#VALUE!</v>
      </c>
      <c r="DQ94" t="e">
        <f>AND('Planilla_General_07-12-2012_8_3'!I1408,"AAAAAFs8+3g=")</f>
        <v>#VALUE!</v>
      </c>
      <c r="DR94" t="e">
        <f>AND('Planilla_General_07-12-2012_8_3'!J1408,"AAAAAFs8+3k=")</f>
        <v>#VALUE!</v>
      </c>
      <c r="DS94" t="e">
        <f>AND('Planilla_General_07-12-2012_8_3'!K1408,"AAAAAFs8+3o=")</f>
        <v>#VALUE!</v>
      </c>
      <c r="DT94" t="e">
        <f>AND('Planilla_General_07-12-2012_8_3'!L1408,"AAAAAFs8+3s=")</f>
        <v>#VALUE!</v>
      </c>
      <c r="DU94" t="e">
        <f>AND('Planilla_General_07-12-2012_8_3'!M1408,"AAAAAFs8+3w=")</f>
        <v>#VALUE!</v>
      </c>
      <c r="DV94" t="e">
        <f>AND('Planilla_General_07-12-2012_8_3'!N1408,"AAAAAFs8+30=")</f>
        <v>#VALUE!</v>
      </c>
      <c r="DW94" t="e">
        <f>AND('Planilla_General_07-12-2012_8_3'!O1408,"AAAAAFs8+34=")</f>
        <v>#VALUE!</v>
      </c>
      <c r="DX94" t="e">
        <f>AND('Planilla_General_07-12-2012_8_3'!P1408,"AAAAAFs8+38=")</f>
        <v>#VALUE!</v>
      </c>
      <c r="DY94">
        <f>IF('Planilla_General_07-12-2012_8_3'!1409:1409,"AAAAAFs8+4A=",0)</f>
        <v>0</v>
      </c>
      <c r="DZ94" t="e">
        <f>AND('Planilla_General_07-12-2012_8_3'!A1409,"AAAAAFs8+4E=")</f>
        <v>#VALUE!</v>
      </c>
      <c r="EA94" t="e">
        <f>AND('Planilla_General_07-12-2012_8_3'!B1409,"AAAAAFs8+4I=")</f>
        <v>#VALUE!</v>
      </c>
      <c r="EB94" t="e">
        <f>AND('Planilla_General_07-12-2012_8_3'!C1409,"AAAAAFs8+4M=")</f>
        <v>#VALUE!</v>
      </c>
      <c r="EC94" t="e">
        <f>AND('Planilla_General_07-12-2012_8_3'!D1409,"AAAAAFs8+4Q=")</f>
        <v>#VALUE!</v>
      </c>
      <c r="ED94" t="e">
        <f>AND('Planilla_General_07-12-2012_8_3'!E1409,"AAAAAFs8+4U=")</f>
        <v>#VALUE!</v>
      </c>
      <c r="EE94" t="e">
        <f>AND('Planilla_General_07-12-2012_8_3'!F1409,"AAAAAFs8+4Y=")</f>
        <v>#VALUE!</v>
      </c>
      <c r="EF94" t="e">
        <f>AND('Planilla_General_07-12-2012_8_3'!G1409,"AAAAAFs8+4c=")</f>
        <v>#VALUE!</v>
      </c>
      <c r="EG94" t="e">
        <f>AND('Planilla_General_07-12-2012_8_3'!H1409,"AAAAAFs8+4g=")</f>
        <v>#VALUE!</v>
      </c>
      <c r="EH94" t="e">
        <f>AND('Planilla_General_07-12-2012_8_3'!I1409,"AAAAAFs8+4k=")</f>
        <v>#VALUE!</v>
      </c>
      <c r="EI94" t="e">
        <f>AND('Planilla_General_07-12-2012_8_3'!J1409,"AAAAAFs8+4o=")</f>
        <v>#VALUE!</v>
      </c>
      <c r="EJ94" t="e">
        <f>AND('Planilla_General_07-12-2012_8_3'!K1409,"AAAAAFs8+4s=")</f>
        <v>#VALUE!</v>
      </c>
      <c r="EK94" t="e">
        <f>AND('Planilla_General_07-12-2012_8_3'!L1409,"AAAAAFs8+4w=")</f>
        <v>#VALUE!</v>
      </c>
      <c r="EL94" t="e">
        <f>AND('Planilla_General_07-12-2012_8_3'!M1409,"AAAAAFs8+40=")</f>
        <v>#VALUE!</v>
      </c>
      <c r="EM94" t="e">
        <f>AND('Planilla_General_07-12-2012_8_3'!N1409,"AAAAAFs8+44=")</f>
        <v>#VALUE!</v>
      </c>
      <c r="EN94" t="e">
        <f>AND('Planilla_General_07-12-2012_8_3'!O1409,"AAAAAFs8+48=")</f>
        <v>#VALUE!</v>
      </c>
      <c r="EO94" t="e">
        <f>AND('Planilla_General_07-12-2012_8_3'!P1409,"AAAAAFs8+5A=")</f>
        <v>#VALUE!</v>
      </c>
      <c r="EP94">
        <f>IF('Planilla_General_07-12-2012_8_3'!1410:1410,"AAAAAFs8+5E=",0)</f>
        <v>0</v>
      </c>
      <c r="EQ94" t="e">
        <f>AND('Planilla_General_07-12-2012_8_3'!A1410,"AAAAAFs8+5I=")</f>
        <v>#VALUE!</v>
      </c>
      <c r="ER94" t="e">
        <f>AND('Planilla_General_07-12-2012_8_3'!B1410,"AAAAAFs8+5M=")</f>
        <v>#VALUE!</v>
      </c>
      <c r="ES94" t="e">
        <f>AND('Planilla_General_07-12-2012_8_3'!C1410,"AAAAAFs8+5Q=")</f>
        <v>#VALUE!</v>
      </c>
      <c r="ET94" t="e">
        <f>AND('Planilla_General_07-12-2012_8_3'!D1410,"AAAAAFs8+5U=")</f>
        <v>#VALUE!</v>
      </c>
      <c r="EU94" t="e">
        <f>AND('Planilla_General_07-12-2012_8_3'!E1410,"AAAAAFs8+5Y=")</f>
        <v>#VALUE!</v>
      </c>
      <c r="EV94" t="e">
        <f>AND('Planilla_General_07-12-2012_8_3'!F1410,"AAAAAFs8+5c=")</f>
        <v>#VALUE!</v>
      </c>
      <c r="EW94" t="e">
        <f>AND('Planilla_General_07-12-2012_8_3'!G1410,"AAAAAFs8+5g=")</f>
        <v>#VALUE!</v>
      </c>
      <c r="EX94" t="e">
        <f>AND('Planilla_General_07-12-2012_8_3'!H1410,"AAAAAFs8+5k=")</f>
        <v>#VALUE!</v>
      </c>
      <c r="EY94" t="e">
        <f>AND('Planilla_General_07-12-2012_8_3'!I1410,"AAAAAFs8+5o=")</f>
        <v>#VALUE!</v>
      </c>
      <c r="EZ94" t="e">
        <f>AND('Planilla_General_07-12-2012_8_3'!J1410,"AAAAAFs8+5s=")</f>
        <v>#VALUE!</v>
      </c>
      <c r="FA94" t="e">
        <f>AND('Planilla_General_07-12-2012_8_3'!K1410,"AAAAAFs8+5w=")</f>
        <v>#VALUE!</v>
      </c>
      <c r="FB94" t="e">
        <f>AND('Planilla_General_07-12-2012_8_3'!L1410,"AAAAAFs8+50=")</f>
        <v>#VALUE!</v>
      </c>
      <c r="FC94" t="e">
        <f>AND('Planilla_General_07-12-2012_8_3'!M1410,"AAAAAFs8+54=")</f>
        <v>#VALUE!</v>
      </c>
      <c r="FD94" t="e">
        <f>AND('Planilla_General_07-12-2012_8_3'!N1410,"AAAAAFs8+58=")</f>
        <v>#VALUE!</v>
      </c>
      <c r="FE94" t="e">
        <f>AND('Planilla_General_07-12-2012_8_3'!O1410,"AAAAAFs8+6A=")</f>
        <v>#VALUE!</v>
      </c>
      <c r="FF94" t="e">
        <f>AND('Planilla_General_07-12-2012_8_3'!P1410,"AAAAAFs8+6E=")</f>
        <v>#VALUE!</v>
      </c>
      <c r="FG94">
        <f>IF('Planilla_General_07-12-2012_8_3'!1411:1411,"AAAAAFs8+6I=",0)</f>
        <v>0</v>
      </c>
      <c r="FH94" t="e">
        <f>AND('Planilla_General_07-12-2012_8_3'!A1411,"AAAAAFs8+6M=")</f>
        <v>#VALUE!</v>
      </c>
      <c r="FI94" t="e">
        <f>AND('Planilla_General_07-12-2012_8_3'!B1411,"AAAAAFs8+6Q=")</f>
        <v>#VALUE!</v>
      </c>
      <c r="FJ94" t="e">
        <f>AND('Planilla_General_07-12-2012_8_3'!C1411,"AAAAAFs8+6U=")</f>
        <v>#VALUE!</v>
      </c>
      <c r="FK94" t="e">
        <f>AND('Planilla_General_07-12-2012_8_3'!D1411,"AAAAAFs8+6Y=")</f>
        <v>#VALUE!</v>
      </c>
      <c r="FL94" t="e">
        <f>AND('Planilla_General_07-12-2012_8_3'!E1411,"AAAAAFs8+6c=")</f>
        <v>#VALUE!</v>
      </c>
      <c r="FM94" t="e">
        <f>AND('Planilla_General_07-12-2012_8_3'!F1411,"AAAAAFs8+6g=")</f>
        <v>#VALUE!</v>
      </c>
      <c r="FN94" t="e">
        <f>AND('Planilla_General_07-12-2012_8_3'!G1411,"AAAAAFs8+6k=")</f>
        <v>#VALUE!</v>
      </c>
      <c r="FO94" t="e">
        <f>AND('Planilla_General_07-12-2012_8_3'!H1411,"AAAAAFs8+6o=")</f>
        <v>#VALUE!</v>
      </c>
      <c r="FP94" t="e">
        <f>AND('Planilla_General_07-12-2012_8_3'!I1411,"AAAAAFs8+6s=")</f>
        <v>#VALUE!</v>
      </c>
      <c r="FQ94" t="e">
        <f>AND('Planilla_General_07-12-2012_8_3'!J1411,"AAAAAFs8+6w=")</f>
        <v>#VALUE!</v>
      </c>
      <c r="FR94" t="e">
        <f>AND('Planilla_General_07-12-2012_8_3'!K1411,"AAAAAFs8+60=")</f>
        <v>#VALUE!</v>
      </c>
      <c r="FS94" t="e">
        <f>AND('Planilla_General_07-12-2012_8_3'!L1411,"AAAAAFs8+64=")</f>
        <v>#VALUE!</v>
      </c>
      <c r="FT94" t="e">
        <f>AND('Planilla_General_07-12-2012_8_3'!M1411,"AAAAAFs8+68=")</f>
        <v>#VALUE!</v>
      </c>
      <c r="FU94" t="e">
        <f>AND('Planilla_General_07-12-2012_8_3'!N1411,"AAAAAFs8+7A=")</f>
        <v>#VALUE!</v>
      </c>
      <c r="FV94" t="e">
        <f>AND('Planilla_General_07-12-2012_8_3'!O1411,"AAAAAFs8+7E=")</f>
        <v>#VALUE!</v>
      </c>
      <c r="FW94" t="e">
        <f>AND('Planilla_General_07-12-2012_8_3'!P1411,"AAAAAFs8+7I=")</f>
        <v>#VALUE!</v>
      </c>
      <c r="FX94">
        <f>IF('Planilla_General_07-12-2012_8_3'!1412:1412,"AAAAAFs8+7M=",0)</f>
        <v>0</v>
      </c>
      <c r="FY94" t="e">
        <f>AND('Planilla_General_07-12-2012_8_3'!A1412,"AAAAAFs8+7Q=")</f>
        <v>#VALUE!</v>
      </c>
      <c r="FZ94" t="e">
        <f>AND('Planilla_General_07-12-2012_8_3'!B1412,"AAAAAFs8+7U=")</f>
        <v>#VALUE!</v>
      </c>
      <c r="GA94" t="e">
        <f>AND('Planilla_General_07-12-2012_8_3'!C1412,"AAAAAFs8+7Y=")</f>
        <v>#VALUE!</v>
      </c>
      <c r="GB94" t="e">
        <f>AND('Planilla_General_07-12-2012_8_3'!D1412,"AAAAAFs8+7c=")</f>
        <v>#VALUE!</v>
      </c>
      <c r="GC94" t="e">
        <f>AND('Planilla_General_07-12-2012_8_3'!E1412,"AAAAAFs8+7g=")</f>
        <v>#VALUE!</v>
      </c>
      <c r="GD94" t="e">
        <f>AND('Planilla_General_07-12-2012_8_3'!F1412,"AAAAAFs8+7k=")</f>
        <v>#VALUE!</v>
      </c>
      <c r="GE94" t="e">
        <f>AND('Planilla_General_07-12-2012_8_3'!G1412,"AAAAAFs8+7o=")</f>
        <v>#VALUE!</v>
      </c>
      <c r="GF94" t="e">
        <f>AND('Planilla_General_07-12-2012_8_3'!H1412,"AAAAAFs8+7s=")</f>
        <v>#VALUE!</v>
      </c>
      <c r="GG94" t="e">
        <f>AND('Planilla_General_07-12-2012_8_3'!I1412,"AAAAAFs8+7w=")</f>
        <v>#VALUE!</v>
      </c>
      <c r="GH94" t="e">
        <f>AND('Planilla_General_07-12-2012_8_3'!J1412,"AAAAAFs8+70=")</f>
        <v>#VALUE!</v>
      </c>
      <c r="GI94" t="e">
        <f>AND('Planilla_General_07-12-2012_8_3'!K1412,"AAAAAFs8+74=")</f>
        <v>#VALUE!</v>
      </c>
      <c r="GJ94" t="e">
        <f>AND('Planilla_General_07-12-2012_8_3'!L1412,"AAAAAFs8+78=")</f>
        <v>#VALUE!</v>
      </c>
      <c r="GK94" t="e">
        <f>AND('Planilla_General_07-12-2012_8_3'!M1412,"AAAAAFs8+8A=")</f>
        <v>#VALUE!</v>
      </c>
      <c r="GL94" t="e">
        <f>AND('Planilla_General_07-12-2012_8_3'!N1412,"AAAAAFs8+8E=")</f>
        <v>#VALUE!</v>
      </c>
      <c r="GM94" t="e">
        <f>AND('Planilla_General_07-12-2012_8_3'!O1412,"AAAAAFs8+8I=")</f>
        <v>#VALUE!</v>
      </c>
      <c r="GN94" t="e">
        <f>AND('Planilla_General_07-12-2012_8_3'!P1412,"AAAAAFs8+8M=")</f>
        <v>#VALUE!</v>
      </c>
      <c r="GO94">
        <f>IF('Planilla_General_07-12-2012_8_3'!1413:1413,"AAAAAFs8+8Q=",0)</f>
        <v>0</v>
      </c>
      <c r="GP94" t="e">
        <f>AND('Planilla_General_07-12-2012_8_3'!A1413,"AAAAAFs8+8U=")</f>
        <v>#VALUE!</v>
      </c>
      <c r="GQ94" t="e">
        <f>AND('Planilla_General_07-12-2012_8_3'!B1413,"AAAAAFs8+8Y=")</f>
        <v>#VALUE!</v>
      </c>
      <c r="GR94" t="e">
        <f>AND('Planilla_General_07-12-2012_8_3'!C1413,"AAAAAFs8+8c=")</f>
        <v>#VALUE!</v>
      </c>
      <c r="GS94" t="e">
        <f>AND('Planilla_General_07-12-2012_8_3'!D1413,"AAAAAFs8+8g=")</f>
        <v>#VALUE!</v>
      </c>
      <c r="GT94" t="e">
        <f>AND('Planilla_General_07-12-2012_8_3'!E1413,"AAAAAFs8+8k=")</f>
        <v>#VALUE!</v>
      </c>
      <c r="GU94" t="e">
        <f>AND('Planilla_General_07-12-2012_8_3'!F1413,"AAAAAFs8+8o=")</f>
        <v>#VALUE!</v>
      </c>
      <c r="GV94" t="e">
        <f>AND('Planilla_General_07-12-2012_8_3'!G1413,"AAAAAFs8+8s=")</f>
        <v>#VALUE!</v>
      </c>
      <c r="GW94" t="e">
        <f>AND('Planilla_General_07-12-2012_8_3'!H1413,"AAAAAFs8+8w=")</f>
        <v>#VALUE!</v>
      </c>
      <c r="GX94" t="e">
        <f>AND('Planilla_General_07-12-2012_8_3'!I1413,"AAAAAFs8+80=")</f>
        <v>#VALUE!</v>
      </c>
      <c r="GY94" t="e">
        <f>AND('Planilla_General_07-12-2012_8_3'!J1413,"AAAAAFs8+84=")</f>
        <v>#VALUE!</v>
      </c>
      <c r="GZ94" t="e">
        <f>AND('Planilla_General_07-12-2012_8_3'!K1413,"AAAAAFs8+88=")</f>
        <v>#VALUE!</v>
      </c>
      <c r="HA94" t="e">
        <f>AND('Planilla_General_07-12-2012_8_3'!L1413,"AAAAAFs8+9A=")</f>
        <v>#VALUE!</v>
      </c>
      <c r="HB94" t="e">
        <f>AND('Planilla_General_07-12-2012_8_3'!M1413,"AAAAAFs8+9E=")</f>
        <v>#VALUE!</v>
      </c>
      <c r="HC94" t="e">
        <f>AND('Planilla_General_07-12-2012_8_3'!N1413,"AAAAAFs8+9I=")</f>
        <v>#VALUE!</v>
      </c>
      <c r="HD94" t="e">
        <f>AND('Planilla_General_07-12-2012_8_3'!O1413,"AAAAAFs8+9M=")</f>
        <v>#VALUE!</v>
      </c>
      <c r="HE94" t="e">
        <f>AND('Planilla_General_07-12-2012_8_3'!P1413,"AAAAAFs8+9Q=")</f>
        <v>#VALUE!</v>
      </c>
      <c r="HF94">
        <f>IF('Planilla_General_07-12-2012_8_3'!1414:1414,"AAAAAFs8+9U=",0)</f>
        <v>0</v>
      </c>
      <c r="HG94" t="e">
        <f>AND('Planilla_General_07-12-2012_8_3'!A1414,"AAAAAFs8+9Y=")</f>
        <v>#VALUE!</v>
      </c>
      <c r="HH94" t="e">
        <f>AND('Planilla_General_07-12-2012_8_3'!B1414,"AAAAAFs8+9c=")</f>
        <v>#VALUE!</v>
      </c>
      <c r="HI94" t="e">
        <f>AND('Planilla_General_07-12-2012_8_3'!C1414,"AAAAAFs8+9g=")</f>
        <v>#VALUE!</v>
      </c>
      <c r="HJ94" t="e">
        <f>AND('Planilla_General_07-12-2012_8_3'!D1414,"AAAAAFs8+9k=")</f>
        <v>#VALUE!</v>
      </c>
      <c r="HK94" t="e">
        <f>AND('Planilla_General_07-12-2012_8_3'!E1414,"AAAAAFs8+9o=")</f>
        <v>#VALUE!</v>
      </c>
      <c r="HL94" t="e">
        <f>AND('Planilla_General_07-12-2012_8_3'!F1414,"AAAAAFs8+9s=")</f>
        <v>#VALUE!</v>
      </c>
      <c r="HM94" t="e">
        <f>AND('Planilla_General_07-12-2012_8_3'!G1414,"AAAAAFs8+9w=")</f>
        <v>#VALUE!</v>
      </c>
      <c r="HN94" t="e">
        <f>AND('Planilla_General_07-12-2012_8_3'!H1414,"AAAAAFs8+90=")</f>
        <v>#VALUE!</v>
      </c>
      <c r="HO94" t="e">
        <f>AND('Planilla_General_07-12-2012_8_3'!I1414,"AAAAAFs8+94=")</f>
        <v>#VALUE!</v>
      </c>
      <c r="HP94" t="e">
        <f>AND('Planilla_General_07-12-2012_8_3'!J1414,"AAAAAFs8+98=")</f>
        <v>#VALUE!</v>
      </c>
      <c r="HQ94" t="e">
        <f>AND('Planilla_General_07-12-2012_8_3'!K1414,"AAAAAFs8++A=")</f>
        <v>#VALUE!</v>
      </c>
      <c r="HR94" t="e">
        <f>AND('Planilla_General_07-12-2012_8_3'!L1414,"AAAAAFs8++E=")</f>
        <v>#VALUE!</v>
      </c>
      <c r="HS94" t="e">
        <f>AND('Planilla_General_07-12-2012_8_3'!M1414,"AAAAAFs8++I=")</f>
        <v>#VALUE!</v>
      </c>
      <c r="HT94" t="e">
        <f>AND('Planilla_General_07-12-2012_8_3'!N1414,"AAAAAFs8++M=")</f>
        <v>#VALUE!</v>
      </c>
      <c r="HU94" t="e">
        <f>AND('Planilla_General_07-12-2012_8_3'!O1414,"AAAAAFs8++Q=")</f>
        <v>#VALUE!</v>
      </c>
      <c r="HV94" t="e">
        <f>AND('Planilla_General_07-12-2012_8_3'!P1414,"AAAAAFs8++U=")</f>
        <v>#VALUE!</v>
      </c>
      <c r="HW94">
        <f>IF('Planilla_General_07-12-2012_8_3'!1415:1415,"AAAAAFs8++Y=",0)</f>
        <v>0</v>
      </c>
      <c r="HX94" t="e">
        <f>AND('Planilla_General_07-12-2012_8_3'!A1415,"AAAAAFs8++c=")</f>
        <v>#VALUE!</v>
      </c>
      <c r="HY94" t="e">
        <f>AND('Planilla_General_07-12-2012_8_3'!B1415,"AAAAAFs8++g=")</f>
        <v>#VALUE!</v>
      </c>
      <c r="HZ94" t="e">
        <f>AND('Planilla_General_07-12-2012_8_3'!C1415,"AAAAAFs8++k=")</f>
        <v>#VALUE!</v>
      </c>
      <c r="IA94" t="e">
        <f>AND('Planilla_General_07-12-2012_8_3'!D1415,"AAAAAFs8++o=")</f>
        <v>#VALUE!</v>
      </c>
      <c r="IB94" t="e">
        <f>AND('Planilla_General_07-12-2012_8_3'!E1415,"AAAAAFs8++s=")</f>
        <v>#VALUE!</v>
      </c>
      <c r="IC94" t="e">
        <f>AND('Planilla_General_07-12-2012_8_3'!F1415,"AAAAAFs8++w=")</f>
        <v>#VALUE!</v>
      </c>
      <c r="ID94" t="e">
        <f>AND('Planilla_General_07-12-2012_8_3'!G1415,"AAAAAFs8++0=")</f>
        <v>#VALUE!</v>
      </c>
      <c r="IE94" t="e">
        <f>AND('Planilla_General_07-12-2012_8_3'!H1415,"AAAAAFs8++4=")</f>
        <v>#VALUE!</v>
      </c>
      <c r="IF94" t="e">
        <f>AND('Planilla_General_07-12-2012_8_3'!I1415,"AAAAAFs8++8=")</f>
        <v>#VALUE!</v>
      </c>
      <c r="IG94" t="e">
        <f>AND('Planilla_General_07-12-2012_8_3'!J1415,"AAAAAFs8+/A=")</f>
        <v>#VALUE!</v>
      </c>
      <c r="IH94" t="e">
        <f>AND('Planilla_General_07-12-2012_8_3'!K1415,"AAAAAFs8+/E=")</f>
        <v>#VALUE!</v>
      </c>
      <c r="II94" t="e">
        <f>AND('Planilla_General_07-12-2012_8_3'!L1415,"AAAAAFs8+/I=")</f>
        <v>#VALUE!</v>
      </c>
      <c r="IJ94" t="e">
        <f>AND('Planilla_General_07-12-2012_8_3'!M1415,"AAAAAFs8+/M=")</f>
        <v>#VALUE!</v>
      </c>
      <c r="IK94" t="e">
        <f>AND('Planilla_General_07-12-2012_8_3'!N1415,"AAAAAFs8+/Q=")</f>
        <v>#VALUE!</v>
      </c>
      <c r="IL94" t="e">
        <f>AND('Planilla_General_07-12-2012_8_3'!O1415,"AAAAAFs8+/U=")</f>
        <v>#VALUE!</v>
      </c>
      <c r="IM94" t="e">
        <f>AND('Planilla_General_07-12-2012_8_3'!P1415,"AAAAAFs8+/Y=")</f>
        <v>#VALUE!</v>
      </c>
      <c r="IN94">
        <f>IF('Planilla_General_07-12-2012_8_3'!1416:1416,"AAAAAFs8+/c=",0)</f>
        <v>0</v>
      </c>
      <c r="IO94" t="e">
        <f>AND('Planilla_General_07-12-2012_8_3'!A1416,"AAAAAFs8+/g=")</f>
        <v>#VALUE!</v>
      </c>
      <c r="IP94" t="e">
        <f>AND('Planilla_General_07-12-2012_8_3'!B1416,"AAAAAFs8+/k=")</f>
        <v>#VALUE!</v>
      </c>
      <c r="IQ94" t="e">
        <f>AND('Planilla_General_07-12-2012_8_3'!C1416,"AAAAAFs8+/o=")</f>
        <v>#VALUE!</v>
      </c>
      <c r="IR94" t="e">
        <f>AND('Planilla_General_07-12-2012_8_3'!D1416,"AAAAAFs8+/s=")</f>
        <v>#VALUE!</v>
      </c>
      <c r="IS94" t="e">
        <f>AND('Planilla_General_07-12-2012_8_3'!E1416,"AAAAAFs8+/w=")</f>
        <v>#VALUE!</v>
      </c>
      <c r="IT94" t="e">
        <f>AND('Planilla_General_07-12-2012_8_3'!F1416,"AAAAAFs8+/0=")</f>
        <v>#VALUE!</v>
      </c>
      <c r="IU94" t="e">
        <f>AND('Planilla_General_07-12-2012_8_3'!G1416,"AAAAAFs8+/4=")</f>
        <v>#VALUE!</v>
      </c>
      <c r="IV94" t="e">
        <f>AND('Planilla_General_07-12-2012_8_3'!H1416,"AAAAAFs8+/8=")</f>
        <v>#VALUE!</v>
      </c>
    </row>
    <row r="95" spans="1:256" x14ac:dyDescent="0.25">
      <c r="A95" t="e">
        <f>AND('Planilla_General_07-12-2012_8_3'!I1416,"AAAAAHvX9wA=")</f>
        <v>#VALUE!</v>
      </c>
      <c r="B95" t="e">
        <f>AND('Planilla_General_07-12-2012_8_3'!J1416,"AAAAAHvX9wE=")</f>
        <v>#VALUE!</v>
      </c>
      <c r="C95" t="e">
        <f>AND('Planilla_General_07-12-2012_8_3'!K1416,"AAAAAHvX9wI=")</f>
        <v>#VALUE!</v>
      </c>
      <c r="D95" t="e">
        <f>AND('Planilla_General_07-12-2012_8_3'!L1416,"AAAAAHvX9wM=")</f>
        <v>#VALUE!</v>
      </c>
      <c r="E95" t="e">
        <f>AND('Planilla_General_07-12-2012_8_3'!M1416,"AAAAAHvX9wQ=")</f>
        <v>#VALUE!</v>
      </c>
      <c r="F95" t="e">
        <f>AND('Planilla_General_07-12-2012_8_3'!N1416,"AAAAAHvX9wU=")</f>
        <v>#VALUE!</v>
      </c>
      <c r="G95" t="e">
        <f>AND('Planilla_General_07-12-2012_8_3'!O1416,"AAAAAHvX9wY=")</f>
        <v>#VALUE!</v>
      </c>
      <c r="H95" t="e">
        <f>AND('Planilla_General_07-12-2012_8_3'!P1416,"AAAAAHvX9wc=")</f>
        <v>#VALUE!</v>
      </c>
      <c r="I95" t="e">
        <f>IF('Planilla_General_07-12-2012_8_3'!1417:1417,"AAAAAHvX9wg=",0)</f>
        <v>#VALUE!</v>
      </c>
      <c r="J95" t="e">
        <f>AND('Planilla_General_07-12-2012_8_3'!A1417,"AAAAAHvX9wk=")</f>
        <v>#VALUE!</v>
      </c>
      <c r="K95" t="e">
        <f>AND('Planilla_General_07-12-2012_8_3'!B1417,"AAAAAHvX9wo=")</f>
        <v>#VALUE!</v>
      </c>
      <c r="L95" t="e">
        <f>AND('Planilla_General_07-12-2012_8_3'!C1417,"AAAAAHvX9ws=")</f>
        <v>#VALUE!</v>
      </c>
      <c r="M95" t="e">
        <f>AND('Planilla_General_07-12-2012_8_3'!D1417,"AAAAAHvX9ww=")</f>
        <v>#VALUE!</v>
      </c>
      <c r="N95" t="e">
        <f>AND('Planilla_General_07-12-2012_8_3'!E1417,"AAAAAHvX9w0=")</f>
        <v>#VALUE!</v>
      </c>
      <c r="O95" t="e">
        <f>AND('Planilla_General_07-12-2012_8_3'!F1417,"AAAAAHvX9w4=")</f>
        <v>#VALUE!</v>
      </c>
      <c r="P95" t="e">
        <f>AND('Planilla_General_07-12-2012_8_3'!G1417,"AAAAAHvX9w8=")</f>
        <v>#VALUE!</v>
      </c>
      <c r="Q95" t="e">
        <f>AND('Planilla_General_07-12-2012_8_3'!H1417,"AAAAAHvX9xA=")</f>
        <v>#VALUE!</v>
      </c>
      <c r="R95" t="e">
        <f>AND('Planilla_General_07-12-2012_8_3'!I1417,"AAAAAHvX9xE=")</f>
        <v>#VALUE!</v>
      </c>
      <c r="S95" t="e">
        <f>AND('Planilla_General_07-12-2012_8_3'!J1417,"AAAAAHvX9xI=")</f>
        <v>#VALUE!</v>
      </c>
      <c r="T95" t="e">
        <f>AND('Planilla_General_07-12-2012_8_3'!K1417,"AAAAAHvX9xM=")</f>
        <v>#VALUE!</v>
      </c>
      <c r="U95" t="e">
        <f>AND('Planilla_General_07-12-2012_8_3'!L1417,"AAAAAHvX9xQ=")</f>
        <v>#VALUE!</v>
      </c>
      <c r="V95" t="e">
        <f>AND('Planilla_General_07-12-2012_8_3'!M1417,"AAAAAHvX9xU=")</f>
        <v>#VALUE!</v>
      </c>
      <c r="W95" t="e">
        <f>AND('Planilla_General_07-12-2012_8_3'!N1417,"AAAAAHvX9xY=")</f>
        <v>#VALUE!</v>
      </c>
      <c r="X95" t="e">
        <f>AND('Planilla_General_07-12-2012_8_3'!O1417,"AAAAAHvX9xc=")</f>
        <v>#VALUE!</v>
      </c>
      <c r="Y95" t="e">
        <f>AND('Planilla_General_07-12-2012_8_3'!P1417,"AAAAAHvX9xg=")</f>
        <v>#VALUE!</v>
      </c>
      <c r="Z95">
        <f>IF('Planilla_General_07-12-2012_8_3'!1418:1418,"AAAAAHvX9xk=",0)</f>
        <v>0</v>
      </c>
      <c r="AA95" t="e">
        <f>AND('Planilla_General_07-12-2012_8_3'!A1418,"AAAAAHvX9xo=")</f>
        <v>#VALUE!</v>
      </c>
      <c r="AB95" t="e">
        <f>AND('Planilla_General_07-12-2012_8_3'!B1418,"AAAAAHvX9xs=")</f>
        <v>#VALUE!</v>
      </c>
      <c r="AC95" t="e">
        <f>AND('Planilla_General_07-12-2012_8_3'!C1418,"AAAAAHvX9xw=")</f>
        <v>#VALUE!</v>
      </c>
      <c r="AD95" t="e">
        <f>AND('Planilla_General_07-12-2012_8_3'!D1418,"AAAAAHvX9x0=")</f>
        <v>#VALUE!</v>
      </c>
      <c r="AE95" t="e">
        <f>AND('Planilla_General_07-12-2012_8_3'!E1418,"AAAAAHvX9x4=")</f>
        <v>#VALUE!</v>
      </c>
      <c r="AF95" t="e">
        <f>AND('Planilla_General_07-12-2012_8_3'!F1418,"AAAAAHvX9x8=")</f>
        <v>#VALUE!</v>
      </c>
      <c r="AG95" t="e">
        <f>AND('Planilla_General_07-12-2012_8_3'!G1418,"AAAAAHvX9yA=")</f>
        <v>#VALUE!</v>
      </c>
      <c r="AH95" t="e">
        <f>AND('Planilla_General_07-12-2012_8_3'!H1418,"AAAAAHvX9yE=")</f>
        <v>#VALUE!</v>
      </c>
      <c r="AI95" t="e">
        <f>AND('Planilla_General_07-12-2012_8_3'!I1418,"AAAAAHvX9yI=")</f>
        <v>#VALUE!</v>
      </c>
      <c r="AJ95" t="e">
        <f>AND('Planilla_General_07-12-2012_8_3'!J1418,"AAAAAHvX9yM=")</f>
        <v>#VALUE!</v>
      </c>
      <c r="AK95" t="e">
        <f>AND('Planilla_General_07-12-2012_8_3'!K1418,"AAAAAHvX9yQ=")</f>
        <v>#VALUE!</v>
      </c>
      <c r="AL95" t="e">
        <f>AND('Planilla_General_07-12-2012_8_3'!L1418,"AAAAAHvX9yU=")</f>
        <v>#VALUE!</v>
      </c>
      <c r="AM95" t="e">
        <f>AND('Planilla_General_07-12-2012_8_3'!M1418,"AAAAAHvX9yY=")</f>
        <v>#VALUE!</v>
      </c>
      <c r="AN95" t="e">
        <f>AND('Planilla_General_07-12-2012_8_3'!N1418,"AAAAAHvX9yc=")</f>
        <v>#VALUE!</v>
      </c>
      <c r="AO95" t="e">
        <f>AND('Planilla_General_07-12-2012_8_3'!O1418,"AAAAAHvX9yg=")</f>
        <v>#VALUE!</v>
      </c>
      <c r="AP95" t="e">
        <f>AND('Planilla_General_07-12-2012_8_3'!P1418,"AAAAAHvX9yk=")</f>
        <v>#VALUE!</v>
      </c>
      <c r="AQ95">
        <f>IF('Planilla_General_07-12-2012_8_3'!1419:1419,"AAAAAHvX9yo=",0)</f>
        <v>0</v>
      </c>
      <c r="AR95" t="e">
        <f>AND('Planilla_General_07-12-2012_8_3'!A1419,"AAAAAHvX9ys=")</f>
        <v>#VALUE!</v>
      </c>
      <c r="AS95" t="e">
        <f>AND('Planilla_General_07-12-2012_8_3'!B1419,"AAAAAHvX9yw=")</f>
        <v>#VALUE!</v>
      </c>
      <c r="AT95" t="e">
        <f>AND('Planilla_General_07-12-2012_8_3'!C1419,"AAAAAHvX9y0=")</f>
        <v>#VALUE!</v>
      </c>
      <c r="AU95" t="e">
        <f>AND('Planilla_General_07-12-2012_8_3'!D1419,"AAAAAHvX9y4=")</f>
        <v>#VALUE!</v>
      </c>
      <c r="AV95" t="e">
        <f>AND('Planilla_General_07-12-2012_8_3'!E1419,"AAAAAHvX9y8=")</f>
        <v>#VALUE!</v>
      </c>
      <c r="AW95" t="e">
        <f>AND('Planilla_General_07-12-2012_8_3'!F1419,"AAAAAHvX9zA=")</f>
        <v>#VALUE!</v>
      </c>
      <c r="AX95" t="e">
        <f>AND('Planilla_General_07-12-2012_8_3'!G1419,"AAAAAHvX9zE=")</f>
        <v>#VALUE!</v>
      </c>
      <c r="AY95" t="e">
        <f>AND('Planilla_General_07-12-2012_8_3'!H1419,"AAAAAHvX9zI=")</f>
        <v>#VALUE!</v>
      </c>
      <c r="AZ95" t="e">
        <f>AND('Planilla_General_07-12-2012_8_3'!I1419,"AAAAAHvX9zM=")</f>
        <v>#VALUE!</v>
      </c>
      <c r="BA95" t="e">
        <f>AND('Planilla_General_07-12-2012_8_3'!J1419,"AAAAAHvX9zQ=")</f>
        <v>#VALUE!</v>
      </c>
      <c r="BB95" t="e">
        <f>AND('Planilla_General_07-12-2012_8_3'!K1419,"AAAAAHvX9zU=")</f>
        <v>#VALUE!</v>
      </c>
      <c r="BC95" t="e">
        <f>AND('Planilla_General_07-12-2012_8_3'!L1419,"AAAAAHvX9zY=")</f>
        <v>#VALUE!</v>
      </c>
      <c r="BD95" t="e">
        <f>AND('Planilla_General_07-12-2012_8_3'!M1419,"AAAAAHvX9zc=")</f>
        <v>#VALUE!</v>
      </c>
      <c r="BE95" t="e">
        <f>AND('Planilla_General_07-12-2012_8_3'!N1419,"AAAAAHvX9zg=")</f>
        <v>#VALUE!</v>
      </c>
      <c r="BF95" t="e">
        <f>AND('Planilla_General_07-12-2012_8_3'!O1419,"AAAAAHvX9zk=")</f>
        <v>#VALUE!</v>
      </c>
      <c r="BG95" t="e">
        <f>AND('Planilla_General_07-12-2012_8_3'!P1419,"AAAAAHvX9zo=")</f>
        <v>#VALUE!</v>
      </c>
      <c r="BH95">
        <f>IF('Planilla_General_07-12-2012_8_3'!1420:1420,"AAAAAHvX9zs=",0)</f>
        <v>0</v>
      </c>
      <c r="BI95" t="e">
        <f>AND('Planilla_General_07-12-2012_8_3'!A1420,"AAAAAHvX9zw=")</f>
        <v>#VALUE!</v>
      </c>
      <c r="BJ95" t="e">
        <f>AND('Planilla_General_07-12-2012_8_3'!B1420,"AAAAAHvX9z0=")</f>
        <v>#VALUE!</v>
      </c>
      <c r="BK95" t="e">
        <f>AND('Planilla_General_07-12-2012_8_3'!C1420,"AAAAAHvX9z4=")</f>
        <v>#VALUE!</v>
      </c>
      <c r="BL95" t="e">
        <f>AND('Planilla_General_07-12-2012_8_3'!D1420,"AAAAAHvX9z8=")</f>
        <v>#VALUE!</v>
      </c>
      <c r="BM95" t="e">
        <f>AND('Planilla_General_07-12-2012_8_3'!E1420,"AAAAAHvX90A=")</f>
        <v>#VALUE!</v>
      </c>
      <c r="BN95" t="e">
        <f>AND('Planilla_General_07-12-2012_8_3'!F1420,"AAAAAHvX90E=")</f>
        <v>#VALUE!</v>
      </c>
      <c r="BO95" t="e">
        <f>AND('Planilla_General_07-12-2012_8_3'!G1420,"AAAAAHvX90I=")</f>
        <v>#VALUE!</v>
      </c>
      <c r="BP95" t="e">
        <f>AND('Planilla_General_07-12-2012_8_3'!H1420,"AAAAAHvX90M=")</f>
        <v>#VALUE!</v>
      </c>
      <c r="BQ95" t="e">
        <f>AND('Planilla_General_07-12-2012_8_3'!I1420,"AAAAAHvX90Q=")</f>
        <v>#VALUE!</v>
      </c>
      <c r="BR95" t="e">
        <f>AND('Planilla_General_07-12-2012_8_3'!J1420,"AAAAAHvX90U=")</f>
        <v>#VALUE!</v>
      </c>
      <c r="BS95" t="e">
        <f>AND('Planilla_General_07-12-2012_8_3'!K1420,"AAAAAHvX90Y=")</f>
        <v>#VALUE!</v>
      </c>
      <c r="BT95" t="e">
        <f>AND('Planilla_General_07-12-2012_8_3'!L1420,"AAAAAHvX90c=")</f>
        <v>#VALUE!</v>
      </c>
      <c r="BU95" t="e">
        <f>AND('Planilla_General_07-12-2012_8_3'!M1420,"AAAAAHvX90g=")</f>
        <v>#VALUE!</v>
      </c>
      <c r="BV95" t="e">
        <f>AND('Planilla_General_07-12-2012_8_3'!N1420,"AAAAAHvX90k=")</f>
        <v>#VALUE!</v>
      </c>
      <c r="BW95" t="e">
        <f>AND('Planilla_General_07-12-2012_8_3'!O1420,"AAAAAHvX90o=")</f>
        <v>#VALUE!</v>
      </c>
      <c r="BX95" t="e">
        <f>AND('Planilla_General_07-12-2012_8_3'!P1420,"AAAAAHvX90s=")</f>
        <v>#VALUE!</v>
      </c>
      <c r="BY95">
        <f>IF('Planilla_General_07-12-2012_8_3'!1421:1421,"AAAAAHvX90w=",0)</f>
        <v>0</v>
      </c>
      <c r="BZ95" t="e">
        <f>AND('Planilla_General_07-12-2012_8_3'!A1421,"AAAAAHvX900=")</f>
        <v>#VALUE!</v>
      </c>
      <c r="CA95" t="e">
        <f>AND('Planilla_General_07-12-2012_8_3'!B1421,"AAAAAHvX904=")</f>
        <v>#VALUE!</v>
      </c>
      <c r="CB95" t="e">
        <f>AND('Planilla_General_07-12-2012_8_3'!C1421,"AAAAAHvX908=")</f>
        <v>#VALUE!</v>
      </c>
      <c r="CC95" t="e">
        <f>AND('Planilla_General_07-12-2012_8_3'!D1421,"AAAAAHvX91A=")</f>
        <v>#VALUE!</v>
      </c>
      <c r="CD95" t="e">
        <f>AND('Planilla_General_07-12-2012_8_3'!E1421,"AAAAAHvX91E=")</f>
        <v>#VALUE!</v>
      </c>
      <c r="CE95" t="e">
        <f>AND('Planilla_General_07-12-2012_8_3'!F1421,"AAAAAHvX91I=")</f>
        <v>#VALUE!</v>
      </c>
      <c r="CF95" t="e">
        <f>AND('Planilla_General_07-12-2012_8_3'!G1421,"AAAAAHvX91M=")</f>
        <v>#VALUE!</v>
      </c>
      <c r="CG95" t="e">
        <f>AND('Planilla_General_07-12-2012_8_3'!H1421,"AAAAAHvX91Q=")</f>
        <v>#VALUE!</v>
      </c>
      <c r="CH95" t="e">
        <f>AND('Planilla_General_07-12-2012_8_3'!I1421,"AAAAAHvX91U=")</f>
        <v>#VALUE!</v>
      </c>
      <c r="CI95" t="e">
        <f>AND('Planilla_General_07-12-2012_8_3'!J1421,"AAAAAHvX91Y=")</f>
        <v>#VALUE!</v>
      </c>
      <c r="CJ95" t="e">
        <f>AND('Planilla_General_07-12-2012_8_3'!K1421,"AAAAAHvX91c=")</f>
        <v>#VALUE!</v>
      </c>
      <c r="CK95" t="e">
        <f>AND('Planilla_General_07-12-2012_8_3'!L1421,"AAAAAHvX91g=")</f>
        <v>#VALUE!</v>
      </c>
      <c r="CL95" t="e">
        <f>AND('Planilla_General_07-12-2012_8_3'!M1421,"AAAAAHvX91k=")</f>
        <v>#VALUE!</v>
      </c>
      <c r="CM95" t="e">
        <f>AND('Planilla_General_07-12-2012_8_3'!N1421,"AAAAAHvX91o=")</f>
        <v>#VALUE!</v>
      </c>
      <c r="CN95" t="e">
        <f>AND('Planilla_General_07-12-2012_8_3'!O1421,"AAAAAHvX91s=")</f>
        <v>#VALUE!</v>
      </c>
      <c r="CO95" t="e">
        <f>AND('Planilla_General_07-12-2012_8_3'!P1421,"AAAAAHvX91w=")</f>
        <v>#VALUE!</v>
      </c>
      <c r="CP95">
        <f>IF('Planilla_General_07-12-2012_8_3'!1422:1422,"AAAAAHvX910=",0)</f>
        <v>0</v>
      </c>
      <c r="CQ95" t="e">
        <f>AND('Planilla_General_07-12-2012_8_3'!A1422,"AAAAAHvX914=")</f>
        <v>#VALUE!</v>
      </c>
      <c r="CR95" t="e">
        <f>AND('Planilla_General_07-12-2012_8_3'!B1422,"AAAAAHvX918=")</f>
        <v>#VALUE!</v>
      </c>
      <c r="CS95" t="e">
        <f>AND('Planilla_General_07-12-2012_8_3'!C1422,"AAAAAHvX92A=")</f>
        <v>#VALUE!</v>
      </c>
      <c r="CT95" t="e">
        <f>AND('Planilla_General_07-12-2012_8_3'!D1422,"AAAAAHvX92E=")</f>
        <v>#VALUE!</v>
      </c>
      <c r="CU95" t="e">
        <f>AND('Planilla_General_07-12-2012_8_3'!E1422,"AAAAAHvX92I=")</f>
        <v>#VALUE!</v>
      </c>
      <c r="CV95" t="e">
        <f>AND('Planilla_General_07-12-2012_8_3'!F1422,"AAAAAHvX92M=")</f>
        <v>#VALUE!</v>
      </c>
      <c r="CW95" t="e">
        <f>AND('Planilla_General_07-12-2012_8_3'!G1422,"AAAAAHvX92Q=")</f>
        <v>#VALUE!</v>
      </c>
      <c r="CX95" t="e">
        <f>AND('Planilla_General_07-12-2012_8_3'!H1422,"AAAAAHvX92U=")</f>
        <v>#VALUE!</v>
      </c>
      <c r="CY95" t="e">
        <f>AND('Planilla_General_07-12-2012_8_3'!I1422,"AAAAAHvX92Y=")</f>
        <v>#VALUE!</v>
      </c>
      <c r="CZ95" t="e">
        <f>AND('Planilla_General_07-12-2012_8_3'!J1422,"AAAAAHvX92c=")</f>
        <v>#VALUE!</v>
      </c>
      <c r="DA95" t="e">
        <f>AND('Planilla_General_07-12-2012_8_3'!K1422,"AAAAAHvX92g=")</f>
        <v>#VALUE!</v>
      </c>
      <c r="DB95" t="e">
        <f>AND('Planilla_General_07-12-2012_8_3'!L1422,"AAAAAHvX92k=")</f>
        <v>#VALUE!</v>
      </c>
      <c r="DC95" t="e">
        <f>AND('Planilla_General_07-12-2012_8_3'!M1422,"AAAAAHvX92o=")</f>
        <v>#VALUE!</v>
      </c>
      <c r="DD95" t="e">
        <f>AND('Planilla_General_07-12-2012_8_3'!N1422,"AAAAAHvX92s=")</f>
        <v>#VALUE!</v>
      </c>
      <c r="DE95" t="e">
        <f>AND('Planilla_General_07-12-2012_8_3'!O1422,"AAAAAHvX92w=")</f>
        <v>#VALUE!</v>
      </c>
      <c r="DF95" t="e">
        <f>AND('Planilla_General_07-12-2012_8_3'!P1422,"AAAAAHvX920=")</f>
        <v>#VALUE!</v>
      </c>
      <c r="DG95">
        <f>IF('Planilla_General_07-12-2012_8_3'!1423:1423,"AAAAAHvX924=",0)</f>
        <v>0</v>
      </c>
      <c r="DH95" t="e">
        <f>AND('Planilla_General_07-12-2012_8_3'!A1423,"AAAAAHvX928=")</f>
        <v>#VALUE!</v>
      </c>
      <c r="DI95" t="e">
        <f>AND('Planilla_General_07-12-2012_8_3'!B1423,"AAAAAHvX93A=")</f>
        <v>#VALUE!</v>
      </c>
      <c r="DJ95" t="e">
        <f>AND('Planilla_General_07-12-2012_8_3'!C1423,"AAAAAHvX93E=")</f>
        <v>#VALUE!</v>
      </c>
      <c r="DK95" t="e">
        <f>AND('Planilla_General_07-12-2012_8_3'!D1423,"AAAAAHvX93I=")</f>
        <v>#VALUE!</v>
      </c>
      <c r="DL95" t="e">
        <f>AND('Planilla_General_07-12-2012_8_3'!E1423,"AAAAAHvX93M=")</f>
        <v>#VALUE!</v>
      </c>
      <c r="DM95" t="e">
        <f>AND('Planilla_General_07-12-2012_8_3'!F1423,"AAAAAHvX93Q=")</f>
        <v>#VALUE!</v>
      </c>
      <c r="DN95" t="e">
        <f>AND('Planilla_General_07-12-2012_8_3'!G1423,"AAAAAHvX93U=")</f>
        <v>#VALUE!</v>
      </c>
      <c r="DO95" t="e">
        <f>AND('Planilla_General_07-12-2012_8_3'!H1423,"AAAAAHvX93Y=")</f>
        <v>#VALUE!</v>
      </c>
      <c r="DP95" t="e">
        <f>AND('Planilla_General_07-12-2012_8_3'!I1423,"AAAAAHvX93c=")</f>
        <v>#VALUE!</v>
      </c>
      <c r="DQ95" t="e">
        <f>AND('Planilla_General_07-12-2012_8_3'!J1423,"AAAAAHvX93g=")</f>
        <v>#VALUE!</v>
      </c>
      <c r="DR95" t="e">
        <f>AND('Planilla_General_07-12-2012_8_3'!K1423,"AAAAAHvX93k=")</f>
        <v>#VALUE!</v>
      </c>
      <c r="DS95" t="e">
        <f>AND('Planilla_General_07-12-2012_8_3'!L1423,"AAAAAHvX93o=")</f>
        <v>#VALUE!</v>
      </c>
      <c r="DT95" t="e">
        <f>AND('Planilla_General_07-12-2012_8_3'!M1423,"AAAAAHvX93s=")</f>
        <v>#VALUE!</v>
      </c>
      <c r="DU95" t="e">
        <f>AND('Planilla_General_07-12-2012_8_3'!N1423,"AAAAAHvX93w=")</f>
        <v>#VALUE!</v>
      </c>
      <c r="DV95" t="e">
        <f>AND('Planilla_General_07-12-2012_8_3'!O1423,"AAAAAHvX930=")</f>
        <v>#VALUE!</v>
      </c>
      <c r="DW95" t="e">
        <f>AND('Planilla_General_07-12-2012_8_3'!P1423,"AAAAAHvX934=")</f>
        <v>#VALUE!</v>
      </c>
      <c r="DX95">
        <f>IF('Planilla_General_07-12-2012_8_3'!1424:1424,"AAAAAHvX938=",0)</f>
        <v>0</v>
      </c>
      <c r="DY95" t="e">
        <f>AND('Planilla_General_07-12-2012_8_3'!A1424,"AAAAAHvX94A=")</f>
        <v>#VALUE!</v>
      </c>
      <c r="DZ95" t="e">
        <f>AND('Planilla_General_07-12-2012_8_3'!B1424,"AAAAAHvX94E=")</f>
        <v>#VALUE!</v>
      </c>
      <c r="EA95" t="e">
        <f>AND('Planilla_General_07-12-2012_8_3'!C1424,"AAAAAHvX94I=")</f>
        <v>#VALUE!</v>
      </c>
      <c r="EB95" t="e">
        <f>AND('Planilla_General_07-12-2012_8_3'!D1424,"AAAAAHvX94M=")</f>
        <v>#VALUE!</v>
      </c>
      <c r="EC95" t="e">
        <f>AND('Planilla_General_07-12-2012_8_3'!E1424,"AAAAAHvX94Q=")</f>
        <v>#VALUE!</v>
      </c>
      <c r="ED95" t="e">
        <f>AND('Planilla_General_07-12-2012_8_3'!F1424,"AAAAAHvX94U=")</f>
        <v>#VALUE!</v>
      </c>
      <c r="EE95" t="e">
        <f>AND('Planilla_General_07-12-2012_8_3'!G1424,"AAAAAHvX94Y=")</f>
        <v>#VALUE!</v>
      </c>
      <c r="EF95" t="e">
        <f>AND('Planilla_General_07-12-2012_8_3'!H1424,"AAAAAHvX94c=")</f>
        <v>#VALUE!</v>
      </c>
      <c r="EG95" t="e">
        <f>AND('Planilla_General_07-12-2012_8_3'!I1424,"AAAAAHvX94g=")</f>
        <v>#VALUE!</v>
      </c>
      <c r="EH95" t="e">
        <f>AND('Planilla_General_07-12-2012_8_3'!J1424,"AAAAAHvX94k=")</f>
        <v>#VALUE!</v>
      </c>
      <c r="EI95" t="e">
        <f>AND('Planilla_General_07-12-2012_8_3'!K1424,"AAAAAHvX94o=")</f>
        <v>#VALUE!</v>
      </c>
      <c r="EJ95" t="e">
        <f>AND('Planilla_General_07-12-2012_8_3'!L1424,"AAAAAHvX94s=")</f>
        <v>#VALUE!</v>
      </c>
      <c r="EK95" t="e">
        <f>AND('Planilla_General_07-12-2012_8_3'!M1424,"AAAAAHvX94w=")</f>
        <v>#VALUE!</v>
      </c>
      <c r="EL95" t="e">
        <f>AND('Planilla_General_07-12-2012_8_3'!N1424,"AAAAAHvX940=")</f>
        <v>#VALUE!</v>
      </c>
      <c r="EM95" t="e">
        <f>AND('Planilla_General_07-12-2012_8_3'!O1424,"AAAAAHvX944=")</f>
        <v>#VALUE!</v>
      </c>
      <c r="EN95" t="e">
        <f>AND('Planilla_General_07-12-2012_8_3'!P1424,"AAAAAHvX948=")</f>
        <v>#VALUE!</v>
      </c>
      <c r="EO95">
        <f>IF('Planilla_General_07-12-2012_8_3'!1425:1425,"AAAAAHvX95A=",0)</f>
        <v>0</v>
      </c>
      <c r="EP95" t="e">
        <f>AND('Planilla_General_07-12-2012_8_3'!A1425,"AAAAAHvX95E=")</f>
        <v>#VALUE!</v>
      </c>
      <c r="EQ95" t="e">
        <f>AND('Planilla_General_07-12-2012_8_3'!B1425,"AAAAAHvX95I=")</f>
        <v>#VALUE!</v>
      </c>
      <c r="ER95" t="e">
        <f>AND('Planilla_General_07-12-2012_8_3'!C1425,"AAAAAHvX95M=")</f>
        <v>#VALUE!</v>
      </c>
      <c r="ES95" t="e">
        <f>AND('Planilla_General_07-12-2012_8_3'!D1425,"AAAAAHvX95Q=")</f>
        <v>#VALUE!</v>
      </c>
      <c r="ET95" t="e">
        <f>AND('Planilla_General_07-12-2012_8_3'!E1425,"AAAAAHvX95U=")</f>
        <v>#VALUE!</v>
      </c>
      <c r="EU95" t="e">
        <f>AND('Planilla_General_07-12-2012_8_3'!F1425,"AAAAAHvX95Y=")</f>
        <v>#VALUE!</v>
      </c>
      <c r="EV95" t="e">
        <f>AND('Planilla_General_07-12-2012_8_3'!G1425,"AAAAAHvX95c=")</f>
        <v>#VALUE!</v>
      </c>
      <c r="EW95" t="e">
        <f>AND('Planilla_General_07-12-2012_8_3'!H1425,"AAAAAHvX95g=")</f>
        <v>#VALUE!</v>
      </c>
      <c r="EX95" t="e">
        <f>AND('Planilla_General_07-12-2012_8_3'!I1425,"AAAAAHvX95k=")</f>
        <v>#VALUE!</v>
      </c>
      <c r="EY95" t="e">
        <f>AND('Planilla_General_07-12-2012_8_3'!J1425,"AAAAAHvX95o=")</f>
        <v>#VALUE!</v>
      </c>
      <c r="EZ95" t="e">
        <f>AND('Planilla_General_07-12-2012_8_3'!K1425,"AAAAAHvX95s=")</f>
        <v>#VALUE!</v>
      </c>
      <c r="FA95" t="e">
        <f>AND('Planilla_General_07-12-2012_8_3'!L1425,"AAAAAHvX95w=")</f>
        <v>#VALUE!</v>
      </c>
      <c r="FB95" t="e">
        <f>AND('Planilla_General_07-12-2012_8_3'!M1425,"AAAAAHvX950=")</f>
        <v>#VALUE!</v>
      </c>
      <c r="FC95" t="e">
        <f>AND('Planilla_General_07-12-2012_8_3'!N1425,"AAAAAHvX954=")</f>
        <v>#VALUE!</v>
      </c>
      <c r="FD95" t="e">
        <f>AND('Planilla_General_07-12-2012_8_3'!O1425,"AAAAAHvX958=")</f>
        <v>#VALUE!</v>
      </c>
      <c r="FE95" t="e">
        <f>AND('Planilla_General_07-12-2012_8_3'!P1425,"AAAAAHvX96A=")</f>
        <v>#VALUE!</v>
      </c>
      <c r="FF95">
        <f>IF('Planilla_General_07-12-2012_8_3'!1426:1426,"AAAAAHvX96E=",0)</f>
        <v>0</v>
      </c>
      <c r="FG95" t="e">
        <f>AND('Planilla_General_07-12-2012_8_3'!A1426,"AAAAAHvX96I=")</f>
        <v>#VALUE!</v>
      </c>
      <c r="FH95" t="e">
        <f>AND('Planilla_General_07-12-2012_8_3'!B1426,"AAAAAHvX96M=")</f>
        <v>#VALUE!</v>
      </c>
      <c r="FI95" t="e">
        <f>AND('Planilla_General_07-12-2012_8_3'!C1426,"AAAAAHvX96Q=")</f>
        <v>#VALUE!</v>
      </c>
      <c r="FJ95" t="e">
        <f>AND('Planilla_General_07-12-2012_8_3'!D1426,"AAAAAHvX96U=")</f>
        <v>#VALUE!</v>
      </c>
      <c r="FK95" t="e">
        <f>AND('Planilla_General_07-12-2012_8_3'!E1426,"AAAAAHvX96Y=")</f>
        <v>#VALUE!</v>
      </c>
      <c r="FL95" t="e">
        <f>AND('Planilla_General_07-12-2012_8_3'!F1426,"AAAAAHvX96c=")</f>
        <v>#VALUE!</v>
      </c>
      <c r="FM95" t="e">
        <f>AND('Planilla_General_07-12-2012_8_3'!G1426,"AAAAAHvX96g=")</f>
        <v>#VALUE!</v>
      </c>
      <c r="FN95" t="e">
        <f>AND('Planilla_General_07-12-2012_8_3'!H1426,"AAAAAHvX96k=")</f>
        <v>#VALUE!</v>
      </c>
      <c r="FO95" t="e">
        <f>AND('Planilla_General_07-12-2012_8_3'!I1426,"AAAAAHvX96o=")</f>
        <v>#VALUE!</v>
      </c>
      <c r="FP95" t="e">
        <f>AND('Planilla_General_07-12-2012_8_3'!J1426,"AAAAAHvX96s=")</f>
        <v>#VALUE!</v>
      </c>
      <c r="FQ95" t="e">
        <f>AND('Planilla_General_07-12-2012_8_3'!K1426,"AAAAAHvX96w=")</f>
        <v>#VALUE!</v>
      </c>
      <c r="FR95" t="e">
        <f>AND('Planilla_General_07-12-2012_8_3'!L1426,"AAAAAHvX960=")</f>
        <v>#VALUE!</v>
      </c>
      <c r="FS95" t="e">
        <f>AND('Planilla_General_07-12-2012_8_3'!M1426,"AAAAAHvX964=")</f>
        <v>#VALUE!</v>
      </c>
      <c r="FT95" t="e">
        <f>AND('Planilla_General_07-12-2012_8_3'!N1426,"AAAAAHvX968=")</f>
        <v>#VALUE!</v>
      </c>
      <c r="FU95" t="e">
        <f>AND('Planilla_General_07-12-2012_8_3'!O1426,"AAAAAHvX97A=")</f>
        <v>#VALUE!</v>
      </c>
      <c r="FV95" t="e">
        <f>AND('Planilla_General_07-12-2012_8_3'!P1426,"AAAAAHvX97E=")</f>
        <v>#VALUE!</v>
      </c>
      <c r="FW95">
        <f>IF('Planilla_General_07-12-2012_8_3'!1427:1427,"AAAAAHvX97I=",0)</f>
        <v>0</v>
      </c>
      <c r="FX95" t="e">
        <f>AND('Planilla_General_07-12-2012_8_3'!A1427,"AAAAAHvX97M=")</f>
        <v>#VALUE!</v>
      </c>
      <c r="FY95" t="e">
        <f>AND('Planilla_General_07-12-2012_8_3'!B1427,"AAAAAHvX97Q=")</f>
        <v>#VALUE!</v>
      </c>
      <c r="FZ95" t="e">
        <f>AND('Planilla_General_07-12-2012_8_3'!C1427,"AAAAAHvX97U=")</f>
        <v>#VALUE!</v>
      </c>
      <c r="GA95" t="e">
        <f>AND('Planilla_General_07-12-2012_8_3'!D1427,"AAAAAHvX97Y=")</f>
        <v>#VALUE!</v>
      </c>
      <c r="GB95" t="e">
        <f>AND('Planilla_General_07-12-2012_8_3'!E1427,"AAAAAHvX97c=")</f>
        <v>#VALUE!</v>
      </c>
      <c r="GC95" t="e">
        <f>AND('Planilla_General_07-12-2012_8_3'!F1427,"AAAAAHvX97g=")</f>
        <v>#VALUE!</v>
      </c>
      <c r="GD95" t="e">
        <f>AND('Planilla_General_07-12-2012_8_3'!G1427,"AAAAAHvX97k=")</f>
        <v>#VALUE!</v>
      </c>
      <c r="GE95" t="e">
        <f>AND('Planilla_General_07-12-2012_8_3'!H1427,"AAAAAHvX97o=")</f>
        <v>#VALUE!</v>
      </c>
      <c r="GF95" t="e">
        <f>AND('Planilla_General_07-12-2012_8_3'!I1427,"AAAAAHvX97s=")</f>
        <v>#VALUE!</v>
      </c>
      <c r="GG95" t="e">
        <f>AND('Planilla_General_07-12-2012_8_3'!J1427,"AAAAAHvX97w=")</f>
        <v>#VALUE!</v>
      </c>
      <c r="GH95" t="e">
        <f>AND('Planilla_General_07-12-2012_8_3'!K1427,"AAAAAHvX970=")</f>
        <v>#VALUE!</v>
      </c>
      <c r="GI95" t="e">
        <f>AND('Planilla_General_07-12-2012_8_3'!L1427,"AAAAAHvX974=")</f>
        <v>#VALUE!</v>
      </c>
      <c r="GJ95" t="e">
        <f>AND('Planilla_General_07-12-2012_8_3'!M1427,"AAAAAHvX978=")</f>
        <v>#VALUE!</v>
      </c>
      <c r="GK95" t="e">
        <f>AND('Planilla_General_07-12-2012_8_3'!N1427,"AAAAAHvX98A=")</f>
        <v>#VALUE!</v>
      </c>
      <c r="GL95" t="e">
        <f>AND('Planilla_General_07-12-2012_8_3'!O1427,"AAAAAHvX98E=")</f>
        <v>#VALUE!</v>
      </c>
      <c r="GM95" t="e">
        <f>AND('Planilla_General_07-12-2012_8_3'!P1427,"AAAAAHvX98I=")</f>
        <v>#VALUE!</v>
      </c>
      <c r="GN95">
        <f>IF('Planilla_General_07-12-2012_8_3'!1428:1428,"AAAAAHvX98M=",0)</f>
        <v>0</v>
      </c>
      <c r="GO95" t="e">
        <f>AND('Planilla_General_07-12-2012_8_3'!A1428,"AAAAAHvX98Q=")</f>
        <v>#VALUE!</v>
      </c>
      <c r="GP95" t="e">
        <f>AND('Planilla_General_07-12-2012_8_3'!B1428,"AAAAAHvX98U=")</f>
        <v>#VALUE!</v>
      </c>
      <c r="GQ95" t="e">
        <f>AND('Planilla_General_07-12-2012_8_3'!C1428,"AAAAAHvX98Y=")</f>
        <v>#VALUE!</v>
      </c>
      <c r="GR95" t="e">
        <f>AND('Planilla_General_07-12-2012_8_3'!D1428,"AAAAAHvX98c=")</f>
        <v>#VALUE!</v>
      </c>
      <c r="GS95" t="e">
        <f>AND('Planilla_General_07-12-2012_8_3'!E1428,"AAAAAHvX98g=")</f>
        <v>#VALUE!</v>
      </c>
      <c r="GT95" t="e">
        <f>AND('Planilla_General_07-12-2012_8_3'!F1428,"AAAAAHvX98k=")</f>
        <v>#VALUE!</v>
      </c>
      <c r="GU95" t="e">
        <f>AND('Planilla_General_07-12-2012_8_3'!G1428,"AAAAAHvX98o=")</f>
        <v>#VALUE!</v>
      </c>
      <c r="GV95" t="e">
        <f>AND('Planilla_General_07-12-2012_8_3'!H1428,"AAAAAHvX98s=")</f>
        <v>#VALUE!</v>
      </c>
      <c r="GW95" t="e">
        <f>AND('Planilla_General_07-12-2012_8_3'!I1428,"AAAAAHvX98w=")</f>
        <v>#VALUE!</v>
      </c>
      <c r="GX95" t="e">
        <f>AND('Planilla_General_07-12-2012_8_3'!J1428,"AAAAAHvX980=")</f>
        <v>#VALUE!</v>
      </c>
      <c r="GY95" t="e">
        <f>AND('Planilla_General_07-12-2012_8_3'!K1428,"AAAAAHvX984=")</f>
        <v>#VALUE!</v>
      </c>
      <c r="GZ95" t="e">
        <f>AND('Planilla_General_07-12-2012_8_3'!L1428,"AAAAAHvX988=")</f>
        <v>#VALUE!</v>
      </c>
      <c r="HA95" t="e">
        <f>AND('Planilla_General_07-12-2012_8_3'!M1428,"AAAAAHvX99A=")</f>
        <v>#VALUE!</v>
      </c>
      <c r="HB95" t="e">
        <f>AND('Planilla_General_07-12-2012_8_3'!N1428,"AAAAAHvX99E=")</f>
        <v>#VALUE!</v>
      </c>
      <c r="HC95" t="e">
        <f>AND('Planilla_General_07-12-2012_8_3'!O1428,"AAAAAHvX99I=")</f>
        <v>#VALUE!</v>
      </c>
      <c r="HD95" t="e">
        <f>AND('Planilla_General_07-12-2012_8_3'!P1428,"AAAAAHvX99M=")</f>
        <v>#VALUE!</v>
      </c>
      <c r="HE95">
        <f>IF('Planilla_General_07-12-2012_8_3'!1429:1429,"AAAAAHvX99Q=",0)</f>
        <v>0</v>
      </c>
      <c r="HF95" t="e">
        <f>AND('Planilla_General_07-12-2012_8_3'!A1429,"AAAAAHvX99U=")</f>
        <v>#VALUE!</v>
      </c>
      <c r="HG95" t="e">
        <f>AND('Planilla_General_07-12-2012_8_3'!B1429,"AAAAAHvX99Y=")</f>
        <v>#VALUE!</v>
      </c>
      <c r="HH95" t="e">
        <f>AND('Planilla_General_07-12-2012_8_3'!C1429,"AAAAAHvX99c=")</f>
        <v>#VALUE!</v>
      </c>
      <c r="HI95" t="e">
        <f>AND('Planilla_General_07-12-2012_8_3'!D1429,"AAAAAHvX99g=")</f>
        <v>#VALUE!</v>
      </c>
      <c r="HJ95" t="e">
        <f>AND('Planilla_General_07-12-2012_8_3'!E1429,"AAAAAHvX99k=")</f>
        <v>#VALUE!</v>
      </c>
      <c r="HK95" t="e">
        <f>AND('Planilla_General_07-12-2012_8_3'!F1429,"AAAAAHvX99o=")</f>
        <v>#VALUE!</v>
      </c>
      <c r="HL95" t="e">
        <f>AND('Planilla_General_07-12-2012_8_3'!G1429,"AAAAAHvX99s=")</f>
        <v>#VALUE!</v>
      </c>
      <c r="HM95" t="e">
        <f>AND('Planilla_General_07-12-2012_8_3'!H1429,"AAAAAHvX99w=")</f>
        <v>#VALUE!</v>
      </c>
      <c r="HN95" t="e">
        <f>AND('Planilla_General_07-12-2012_8_3'!I1429,"AAAAAHvX990=")</f>
        <v>#VALUE!</v>
      </c>
      <c r="HO95" t="e">
        <f>AND('Planilla_General_07-12-2012_8_3'!J1429,"AAAAAHvX994=")</f>
        <v>#VALUE!</v>
      </c>
      <c r="HP95" t="e">
        <f>AND('Planilla_General_07-12-2012_8_3'!K1429,"AAAAAHvX998=")</f>
        <v>#VALUE!</v>
      </c>
      <c r="HQ95" t="e">
        <f>AND('Planilla_General_07-12-2012_8_3'!L1429,"AAAAAHvX9+A=")</f>
        <v>#VALUE!</v>
      </c>
      <c r="HR95" t="e">
        <f>AND('Planilla_General_07-12-2012_8_3'!M1429,"AAAAAHvX9+E=")</f>
        <v>#VALUE!</v>
      </c>
      <c r="HS95" t="e">
        <f>AND('Planilla_General_07-12-2012_8_3'!N1429,"AAAAAHvX9+I=")</f>
        <v>#VALUE!</v>
      </c>
      <c r="HT95" t="e">
        <f>AND('Planilla_General_07-12-2012_8_3'!O1429,"AAAAAHvX9+M=")</f>
        <v>#VALUE!</v>
      </c>
      <c r="HU95" t="e">
        <f>AND('Planilla_General_07-12-2012_8_3'!P1429,"AAAAAHvX9+Q=")</f>
        <v>#VALUE!</v>
      </c>
      <c r="HV95">
        <f>IF('Planilla_General_07-12-2012_8_3'!1430:1430,"AAAAAHvX9+U=",0)</f>
        <v>0</v>
      </c>
      <c r="HW95" t="e">
        <f>AND('Planilla_General_07-12-2012_8_3'!A1430,"AAAAAHvX9+Y=")</f>
        <v>#VALUE!</v>
      </c>
      <c r="HX95" t="e">
        <f>AND('Planilla_General_07-12-2012_8_3'!B1430,"AAAAAHvX9+c=")</f>
        <v>#VALUE!</v>
      </c>
      <c r="HY95" t="e">
        <f>AND('Planilla_General_07-12-2012_8_3'!C1430,"AAAAAHvX9+g=")</f>
        <v>#VALUE!</v>
      </c>
      <c r="HZ95" t="e">
        <f>AND('Planilla_General_07-12-2012_8_3'!D1430,"AAAAAHvX9+k=")</f>
        <v>#VALUE!</v>
      </c>
      <c r="IA95" t="e">
        <f>AND('Planilla_General_07-12-2012_8_3'!E1430,"AAAAAHvX9+o=")</f>
        <v>#VALUE!</v>
      </c>
      <c r="IB95" t="e">
        <f>AND('Planilla_General_07-12-2012_8_3'!F1430,"AAAAAHvX9+s=")</f>
        <v>#VALUE!</v>
      </c>
      <c r="IC95" t="e">
        <f>AND('Planilla_General_07-12-2012_8_3'!G1430,"AAAAAHvX9+w=")</f>
        <v>#VALUE!</v>
      </c>
      <c r="ID95" t="e">
        <f>AND('Planilla_General_07-12-2012_8_3'!H1430,"AAAAAHvX9+0=")</f>
        <v>#VALUE!</v>
      </c>
      <c r="IE95" t="e">
        <f>AND('Planilla_General_07-12-2012_8_3'!I1430,"AAAAAHvX9+4=")</f>
        <v>#VALUE!</v>
      </c>
      <c r="IF95" t="e">
        <f>AND('Planilla_General_07-12-2012_8_3'!J1430,"AAAAAHvX9+8=")</f>
        <v>#VALUE!</v>
      </c>
      <c r="IG95" t="e">
        <f>AND('Planilla_General_07-12-2012_8_3'!K1430,"AAAAAHvX9/A=")</f>
        <v>#VALUE!</v>
      </c>
      <c r="IH95" t="e">
        <f>AND('Planilla_General_07-12-2012_8_3'!L1430,"AAAAAHvX9/E=")</f>
        <v>#VALUE!</v>
      </c>
      <c r="II95" t="e">
        <f>AND('Planilla_General_07-12-2012_8_3'!M1430,"AAAAAHvX9/I=")</f>
        <v>#VALUE!</v>
      </c>
      <c r="IJ95" t="e">
        <f>AND('Planilla_General_07-12-2012_8_3'!N1430,"AAAAAHvX9/M=")</f>
        <v>#VALUE!</v>
      </c>
      <c r="IK95" t="e">
        <f>AND('Planilla_General_07-12-2012_8_3'!O1430,"AAAAAHvX9/Q=")</f>
        <v>#VALUE!</v>
      </c>
      <c r="IL95" t="e">
        <f>AND('Planilla_General_07-12-2012_8_3'!P1430,"AAAAAHvX9/U=")</f>
        <v>#VALUE!</v>
      </c>
      <c r="IM95">
        <f>IF('Planilla_General_07-12-2012_8_3'!1431:1431,"AAAAAHvX9/Y=",0)</f>
        <v>0</v>
      </c>
      <c r="IN95" t="e">
        <f>AND('Planilla_General_07-12-2012_8_3'!A1431,"AAAAAHvX9/c=")</f>
        <v>#VALUE!</v>
      </c>
      <c r="IO95" t="e">
        <f>AND('Planilla_General_07-12-2012_8_3'!B1431,"AAAAAHvX9/g=")</f>
        <v>#VALUE!</v>
      </c>
      <c r="IP95" t="e">
        <f>AND('Planilla_General_07-12-2012_8_3'!C1431,"AAAAAHvX9/k=")</f>
        <v>#VALUE!</v>
      </c>
      <c r="IQ95" t="e">
        <f>AND('Planilla_General_07-12-2012_8_3'!D1431,"AAAAAHvX9/o=")</f>
        <v>#VALUE!</v>
      </c>
      <c r="IR95" t="e">
        <f>AND('Planilla_General_07-12-2012_8_3'!E1431,"AAAAAHvX9/s=")</f>
        <v>#VALUE!</v>
      </c>
      <c r="IS95" t="e">
        <f>AND('Planilla_General_07-12-2012_8_3'!F1431,"AAAAAHvX9/w=")</f>
        <v>#VALUE!</v>
      </c>
      <c r="IT95" t="e">
        <f>AND('Planilla_General_07-12-2012_8_3'!G1431,"AAAAAHvX9/0=")</f>
        <v>#VALUE!</v>
      </c>
      <c r="IU95" t="e">
        <f>AND('Planilla_General_07-12-2012_8_3'!H1431,"AAAAAHvX9/4=")</f>
        <v>#VALUE!</v>
      </c>
      <c r="IV95" t="e">
        <f>AND('Planilla_General_07-12-2012_8_3'!I1431,"AAAAAHvX9/8=")</f>
        <v>#VALUE!</v>
      </c>
    </row>
    <row r="96" spans="1:256" x14ac:dyDescent="0.25">
      <c r="A96" t="e">
        <f>AND('Planilla_General_07-12-2012_8_3'!J1431,"AAAAAGf//wA=")</f>
        <v>#VALUE!</v>
      </c>
      <c r="B96" t="e">
        <f>AND('Planilla_General_07-12-2012_8_3'!K1431,"AAAAAGf//wE=")</f>
        <v>#VALUE!</v>
      </c>
      <c r="C96" t="e">
        <f>AND('Planilla_General_07-12-2012_8_3'!L1431,"AAAAAGf//wI=")</f>
        <v>#VALUE!</v>
      </c>
      <c r="D96" t="e">
        <f>AND('Planilla_General_07-12-2012_8_3'!M1431,"AAAAAGf//wM=")</f>
        <v>#VALUE!</v>
      </c>
      <c r="E96" t="e">
        <f>AND('Planilla_General_07-12-2012_8_3'!N1431,"AAAAAGf//wQ=")</f>
        <v>#VALUE!</v>
      </c>
      <c r="F96" t="e">
        <f>AND('Planilla_General_07-12-2012_8_3'!O1431,"AAAAAGf//wU=")</f>
        <v>#VALUE!</v>
      </c>
      <c r="G96" t="e">
        <f>AND('Planilla_General_07-12-2012_8_3'!P1431,"AAAAAGf//wY=")</f>
        <v>#VALUE!</v>
      </c>
      <c r="H96" t="e">
        <f>IF('Planilla_General_07-12-2012_8_3'!1432:1432,"AAAAAGf//wc=",0)</f>
        <v>#VALUE!</v>
      </c>
      <c r="I96" t="e">
        <f>AND('Planilla_General_07-12-2012_8_3'!A1432,"AAAAAGf//wg=")</f>
        <v>#VALUE!</v>
      </c>
      <c r="J96" t="e">
        <f>AND('Planilla_General_07-12-2012_8_3'!B1432,"AAAAAGf//wk=")</f>
        <v>#VALUE!</v>
      </c>
      <c r="K96" t="e">
        <f>AND('Planilla_General_07-12-2012_8_3'!C1432,"AAAAAGf//wo=")</f>
        <v>#VALUE!</v>
      </c>
      <c r="L96" t="e">
        <f>AND('Planilla_General_07-12-2012_8_3'!D1432,"AAAAAGf//ws=")</f>
        <v>#VALUE!</v>
      </c>
      <c r="M96" t="e">
        <f>AND('Planilla_General_07-12-2012_8_3'!E1432,"AAAAAGf//ww=")</f>
        <v>#VALUE!</v>
      </c>
      <c r="N96" t="e">
        <f>AND('Planilla_General_07-12-2012_8_3'!F1432,"AAAAAGf//w0=")</f>
        <v>#VALUE!</v>
      </c>
      <c r="O96" t="e">
        <f>AND('Planilla_General_07-12-2012_8_3'!G1432,"AAAAAGf//w4=")</f>
        <v>#VALUE!</v>
      </c>
      <c r="P96" t="e">
        <f>AND('Planilla_General_07-12-2012_8_3'!H1432,"AAAAAGf//w8=")</f>
        <v>#VALUE!</v>
      </c>
      <c r="Q96" t="e">
        <f>AND('Planilla_General_07-12-2012_8_3'!I1432,"AAAAAGf//xA=")</f>
        <v>#VALUE!</v>
      </c>
      <c r="R96" t="e">
        <f>AND('Planilla_General_07-12-2012_8_3'!J1432,"AAAAAGf//xE=")</f>
        <v>#VALUE!</v>
      </c>
      <c r="S96" t="e">
        <f>AND('Planilla_General_07-12-2012_8_3'!K1432,"AAAAAGf//xI=")</f>
        <v>#VALUE!</v>
      </c>
      <c r="T96" t="e">
        <f>AND('Planilla_General_07-12-2012_8_3'!L1432,"AAAAAGf//xM=")</f>
        <v>#VALUE!</v>
      </c>
      <c r="U96" t="e">
        <f>AND('Planilla_General_07-12-2012_8_3'!M1432,"AAAAAGf//xQ=")</f>
        <v>#VALUE!</v>
      </c>
      <c r="V96" t="e">
        <f>AND('Planilla_General_07-12-2012_8_3'!N1432,"AAAAAGf//xU=")</f>
        <v>#VALUE!</v>
      </c>
      <c r="W96" t="e">
        <f>AND('Planilla_General_07-12-2012_8_3'!O1432,"AAAAAGf//xY=")</f>
        <v>#VALUE!</v>
      </c>
      <c r="X96" t="e">
        <f>AND('Planilla_General_07-12-2012_8_3'!P1432,"AAAAAGf//xc=")</f>
        <v>#VALUE!</v>
      </c>
      <c r="Y96">
        <f>IF('Planilla_General_07-12-2012_8_3'!1433:1433,"AAAAAGf//xg=",0)</f>
        <v>0</v>
      </c>
      <c r="Z96" t="e">
        <f>AND('Planilla_General_07-12-2012_8_3'!A1433,"AAAAAGf//xk=")</f>
        <v>#VALUE!</v>
      </c>
      <c r="AA96" t="e">
        <f>AND('Planilla_General_07-12-2012_8_3'!B1433,"AAAAAGf//xo=")</f>
        <v>#VALUE!</v>
      </c>
      <c r="AB96" t="e">
        <f>AND('Planilla_General_07-12-2012_8_3'!C1433,"AAAAAGf//xs=")</f>
        <v>#VALUE!</v>
      </c>
      <c r="AC96" t="e">
        <f>AND('Planilla_General_07-12-2012_8_3'!D1433,"AAAAAGf//xw=")</f>
        <v>#VALUE!</v>
      </c>
      <c r="AD96" t="e">
        <f>AND('Planilla_General_07-12-2012_8_3'!E1433,"AAAAAGf//x0=")</f>
        <v>#VALUE!</v>
      </c>
      <c r="AE96" t="e">
        <f>AND('Planilla_General_07-12-2012_8_3'!F1433,"AAAAAGf//x4=")</f>
        <v>#VALUE!</v>
      </c>
      <c r="AF96" t="e">
        <f>AND('Planilla_General_07-12-2012_8_3'!G1433,"AAAAAGf//x8=")</f>
        <v>#VALUE!</v>
      </c>
      <c r="AG96" t="e">
        <f>AND('Planilla_General_07-12-2012_8_3'!H1433,"AAAAAGf//yA=")</f>
        <v>#VALUE!</v>
      </c>
      <c r="AH96" t="e">
        <f>AND('Planilla_General_07-12-2012_8_3'!I1433,"AAAAAGf//yE=")</f>
        <v>#VALUE!</v>
      </c>
      <c r="AI96" t="e">
        <f>AND('Planilla_General_07-12-2012_8_3'!J1433,"AAAAAGf//yI=")</f>
        <v>#VALUE!</v>
      </c>
      <c r="AJ96" t="e">
        <f>AND('Planilla_General_07-12-2012_8_3'!K1433,"AAAAAGf//yM=")</f>
        <v>#VALUE!</v>
      </c>
      <c r="AK96" t="e">
        <f>AND('Planilla_General_07-12-2012_8_3'!L1433,"AAAAAGf//yQ=")</f>
        <v>#VALUE!</v>
      </c>
      <c r="AL96" t="e">
        <f>AND('Planilla_General_07-12-2012_8_3'!M1433,"AAAAAGf//yU=")</f>
        <v>#VALUE!</v>
      </c>
      <c r="AM96" t="e">
        <f>AND('Planilla_General_07-12-2012_8_3'!N1433,"AAAAAGf//yY=")</f>
        <v>#VALUE!</v>
      </c>
      <c r="AN96" t="e">
        <f>AND('Planilla_General_07-12-2012_8_3'!O1433,"AAAAAGf//yc=")</f>
        <v>#VALUE!</v>
      </c>
      <c r="AO96" t="e">
        <f>AND('Planilla_General_07-12-2012_8_3'!P1433,"AAAAAGf//yg=")</f>
        <v>#VALUE!</v>
      </c>
      <c r="AP96">
        <f>IF('Planilla_General_07-12-2012_8_3'!1434:1434,"AAAAAGf//yk=",0)</f>
        <v>0</v>
      </c>
      <c r="AQ96" t="e">
        <f>AND('Planilla_General_07-12-2012_8_3'!A1434,"AAAAAGf//yo=")</f>
        <v>#VALUE!</v>
      </c>
      <c r="AR96" t="e">
        <f>AND('Planilla_General_07-12-2012_8_3'!B1434,"AAAAAGf//ys=")</f>
        <v>#VALUE!</v>
      </c>
      <c r="AS96" t="e">
        <f>AND('Planilla_General_07-12-2012_8_3'!C1434,"AAAAAGf//yw=")</f>
        <v>#VALUE!</v>
      </c>
      <c r="AT96" t="e">
        <f>AND('Planilla_General_07-12-2012_8_3'!D1434,"AAAAAGf//y0=")</f>
        <v>#VALUE!</v>
      </c>
      <c r="AU96" t="e">
        <f>AND('Planilla_General_07-12-2012_8_3'!E1434,"AAAAAGf//y4=")</f>
        <v>#VALUE!</v>
      </c>
      <c r="AV96" t="e">
        <f>AND('Planilla_General_07-12-2012_8_3'!F1434,"AAAAAGf//y8=")</f>
        <v>#VALUE!</v>
      </c>
      <c r="AW96" t="e">
        <f>AND('Planilla_General_07-12-2012_8_3'!G1434,"AAAAAGf//zA=")</f>
        <v>#VALUE!</v>
      </c>
      <c r="AX96" t="e">
        <f>AND('Planilla_General_07-12-2012_8_3'!H1434,"AAAAAGf//zE=")</f>
        <v>#VALUE!</v>
      </c>
      <c r="AY96" t="e">
        <f>AND('Planilla_General_07-12-2012_8_3'!I1434,"AAAAAGf//zI=")</f>
        <v>#VALUE!</v>
      </c>
      <c r="AZ96" t="e">
        <f>AND('Planilla_General_07-12-2012_8_3'!J1434,"AAAAAGf//zM=")</f>
        <v>#VALUE!</v>
      </c>
      <c r="BA96" t="e">
        <f>AND('Planilla_General_07-12-2012_8_3'!K1434,"AAAAAGf//zQ=")</f>
        <v>#VALUE!</v>
      </c>
      <c r="BB96" t="e">
        <f>AND('Planilla_General_07-12-2012_8_3'!L1434,"AAAAAGf//zU=")</f>
        <v>#VALUE!</v>
      </c>
      <c r="BC96" t="e">
        <f>AND('Planilla_General_07-12-2012_8_3'!M1434,"AAAAAGf//zY=")</f>
        <v>#VALUE!</v>
      </c>
      <c r="BD96" t="e">
        <f>AND('Planilla_General_07-12-2012_8_3'!N1434,"AAAAAGf//zc=")</f>
        <v>#VALUE!</v>
      </c>
      <c r="BE96" t="e">
        <f>AND('Planilla_General_07-12-2012_8_3'!O1434,"AAAAAGf//zg=")</f>
        <v>#VALUE!</v>
      </c>
      <c r="BF96" t="e">
        <f>AND('Planilla_General_07-12-2012_8_3'!P1434,"AAAAAGf//zk=")</f>
        <v>#VALUE!</v>
      </c>
      <c r="BG96">
        <f>IF('Planilla_General_07-12-2012_8_3'!1435:1435,"AAAAAGf//zo=",0)</f>
        <v>0</v>
      </c>
      <c r="BH96" t="e">
        <f>AND('Planilla_General_07-12-2012_8_3'!A1435,"AAAAAGf//zs=")</f>
        <v>#VALUE!</v>
      </c>
      <c r="BI96" t="e">
        <f>AND('Planilla_General_07-12-2012_8_3'!B1435,"AAAAAGf//zw=")</f>
        <v>#VALUE!</v>
      </c>
      <c r="BJ96" t="e">
        <f>AND('Planilla_General_07-12-2012_8_3'!C1435,"AAAAAGf//z0=")</f>
        <v>#VALUE!</v>
      </c>
      <c r="BK96" t="e">
        <f>AND('Planilla_General_07-12-2012_8_3'!D1435,"AAAAAGf//z4=")</f>
        <v>#VALUE!</v>
      </c>
      <c r="BL96" t="e">
        <f>AND('Planilla_General_07-12-2012_8_3'!E1435,"AAAAAGf//z8=")</f>
        <v>#VALUE!</v>
      </c>
      <c r="BM96" t="e">
        <f>AND('Planilla_General_07-12-2012_8_3'!F1435,"AAAAAGf//0A=")</f>
        <v>#VALUE!</v>
      </c>
      <c r="BN96" t="e">
        <f>AND('Planilla_General_07-12-2012_8_3'!G1435,"AAAAAGf//0E=")</f>
        <v>#VALUE!</v>
      </c>
      <c r="BO96" t="e">
        <f>AND('Planilla_General_07-12-2012_8_3'!H1435,"AAAAAGf//0I=")</f>
        <v>#VALUE!</v>
      </c>
      <c r="BP96" t="e">
        <f>AND('Planilla_General_07-12-2012_8_3'!I1435,"AAAAAGf//0M=")</f>
        <v>#VALUE!</v>
      </c>
      <c r="BQ96" t="e">
        <f>AND('Planilla_General_07-12-2012_8_3'!J1435,"AAAAAGf//0Q=")</f>
        <v>#VALUE!</v>
      </c>
      <c r="BR96" t="e">
        <f>AND('Planilla_General_07-12-2012_8_3'!K1435,"AAAAAGf//0U=")</f>
        <v>#VALUE!</v>
      </c>
      <c r="BS96" t="e">
        <f>AND('Planilla_General_07-12-2012_8_3'!L1435,"AAAAAGf//0Y=")</f>
        <v>#VALUE!</v>
      </c>
      <c r="BT96" t="e">
        <f>AND('Planilla_General_07-12-2012_8_3'!M1435,"AAAAAGf//0c=")</f>
        <v>#VALUE!</v>
      </c>
      <c r="BU96" t="e">
        <f>AND('Planilla_General_07-12-2012_8_3'!N1435,"AAAAAGf//0g=")</f>
        <v>#VALUE!</v>
      </c>
      <c r="BV96" t="e">
        <f>AND('Planilla_General_07-12-2012_8_3'!O1435,"AAAAAGf//0k=")</f>
        <v>#VALUE!</v>
      </c>
      <c r="BW96" t="e">
        <f>AND('Planilla_General_07-12-2012_8_3'!P1435,"AAAAAGf//0o=")</f>
        <v>#VALUE!</v>
      </c>
      <c r="BX96">
        <f>IF('Planilla_General_07-12-2012_8_3'!1436:1436,"AAAAAGf//0s=",0)</f>
        <v>0</v>
      </c>
      <c r="BY96" t="e">
        <f>AND('Planilla_General_07-12-2012_8_3'!A1436,"AAAAAGf//0w=")</f>
        <v>#VALUE!</v>
      </c>
      <c r="BZ96" t="e">
        <f>AND('Planilla_General_07-12-2012_8_3'!B1436,"AAAAAGf//00=")</f>
        <v>#VALUE!</v>
      </c>
      <c r="CA96" t="e">
        <f>AND('Planilla_General_07-12-2012_8_3'!C1436,"AAAAAGf//04=")</f>
        <v>#VALUE!</v>
      </c>
      <c r="CB96" t="e">
        <f>AND('Planilla_General_07-12-2012_8_3'!D1436,"AAAAAGf//08=")</f>
        <v>#VALUE!</v>
      </c>
      <c r="CC96" t="e">
        <f>AND('Planilla_General_07-12-2012_8_3'!E1436,"AAAAAGf//1A=")</f>
        <v>#VALUE!</v>
      </c>
      <c r="CD96" t="e">
        <f>AND('Planilla_General_07-12-2012_8_3'!F1436,"AAAAAGf//1E=")</f>
        <v>#VALUE!</v>
      </c>
      <c r="CE96" t="e">
        <f>AND('Planilla_General_07-12-2012_8_3'!G1436,"AAAAAGf//1I=")</f>
        <v>#VALUE!</v>
      </c>
      <c r="CF96" t="e">
        <f>AND('Planilla_General_07-12-2012_8_3'!H1436,"AAAAAGf//1M=")</f>
        <v>#VALUE!</v>
      </c>
      <c r="CG96" t="e">
        <f>AND('Planilla_General_07-12-2012_8_3'!I1436,"AAAAAGf//1Q=")</f>
        <v>#VALUE!</v>
      </c>
      <c r="CH96" t="e">
        <f>AND('Planilla_General_07-12-2012_8_3'!J1436,"AAAAAGf//1U=")</f>
        <v>#VALUE!</v>
      </c>
      <c r="CI96" t="e">
        <f>AND('Planilla_General_07-12-2012_8_3'!K1436,"AAAAAGf//1Y=")</f>
        <v>#VALUE!</v>
      </c>
      <c r="CJ96" t="e">
        <f>AND('Planilla_General_07-12-2012_8_3'!L1436,"AAAAAGf//1c=")</f>
        <v>#VALUE!</v>
      </c>
      <c r="CK96" t="e">
        <f>AND('Planilla_General_07-12-2012_8_3'!M1436,"AAAAAGf//1g=")</f>
        <v>#VALUE!</v>
      </c>
      <c r="CL96" t="e">
        <f>AND('Planilla_General_07-12-2012_8_3'!N1436,"AAAAAGf//1k=")</f>
        <v>#VALUE!</v>
      </c>
      <c r="CM96" t="e">
        <f>AND('Planilla_General_07-12-2012_8_3'!O1436,"AAAAAGf//1o=")</f>
        <v>#VALUE!</v>
      </c>
      <c r="CN96" t="e">
        <f>AND('Planilla_General_07-12-2012_8_3'!P1436,"AAAAAGf//1s=")</f>
        <v>#VALUE!</v>
      </c>
      <c r="CO96">
        <f>IF('Planilla_General_07-12-2012_8_3'!1437:1437,"AAAAAGf//1w=",0)</f>
        <v>0</v>
      </c>
      <c r="CP96" t="e">
        <f>AND('Planilla_General_07-12-2012_8_3'!A1437,"AAAAAGf//10=")</f>
        <v>#VALUE!</v>
      </c>
      <c r="CQ96" t="e">
        <f>AND('Planilla_General_07-12-2012_8_3'!B1437,"AAAAAGf//14=")</f>
        <v>#VALUE!</v>
      </c>
      <c r="CR96" t="e">
        <f>AND('Planilla_General_07-12-2012_8_3'!C1437,"AAAAAGf//18=")</f>
        <v>#VALUE!</v>
      </c>
      <c r="CS96" t="e">
        <f>AND('Planilla_General_07-12-2012_8_3'!D1437,"AAAAAGf//2A=")</f>
        <v>#VALUE!</v>
      </c>
      <c r="CT96" t="e">
        <f>AND('Planilla_General_07-12-2012_8_3'!E1437,"AAAAAGf//2E=")</f>
        <v>#VALUE!</v>
      </c>
      <c r="CU96" t="e">
        <f>AND('Planilla_General_07-12-2012_8_3'!F1437,"AAAAAGf//2I=")</f>
        <v>#VALUE!</v>
      </c>
      <c r="CV96" t="e">
        <f>AND('Planilla_General_07-12-2012_8_3'!G1437,"AAAAAGf//2M=")</f>
        <v>#VALUE!</v>
      </c>
      <c r="CW96" t="e">
        <f>AND('Planilla_General_07-12-2012_8_3'!H1437,"AAAAAGf//2Q=")</f>
        <v>#VALUE!</v>
      </c>
      <c r="CX96" t="e">
        <f>AND('Planilla_General_07-12-2012_8_3'!I1437,"AAAAAGf//2U=")</f>
        <v>#VALUE!</v>
      </c>
      <c r="CY96" t="e">
        <f>AND('Planilla_General_07-12-2012_8_3'!J1437,"AAAAAGf//2Y=")</f>
        <v>#VALUE!</v>
      </c>
      <c r="CZ96" t="e">
        <f>AND('Planilla_General_07-12-2012_8_3'!K1437,"AAAAAGf//2c=")</f>
        <v>#VALUE!</v>
      </c>
      <c r="DA96" t="e">
        <f>AND('Planilla_General_07-12-2012_8_3'!L1437,"AAAAAGf//2g=")</f>
        <v>#VALUE!</v>
      </c>
      <c r="DB96" t="e">
        <f>AND('Planilla_General_07-12-2012_8_3'!M1437,"AAAAAGf//2k=")</f>
        <v>#VALUE!</v>
      </c>
      <c r="DC96" t="e">
        <f>AND('Planilla_General_07-12-2012_8_3'!N1437,"AAAAAGf//2o=")</f>
        <v>#VALUE!</v>
      </c>
      <c r="DD96" t="e">
        <f>AND('Planilla_General_07-12-2012_8_3'!O1437,"AAAAAGf//2s=")</f>
        <v>#VALUE!</v>
      </c>
      <c r="DE96" t="e">
        <f>AND('Planilla_General_07-12-2012_8_3'!P1437,"AAAAAGf//2w=")</f>
        <v>#VALUE!</v>
      </c>
      <c r="DF96">
        <f>IF('Planilla_General_07-12-2012_8_3'!1438:1438,"AAAAAGf//20=",0)</f>
        <v>0</v>
      </c>
      <c r="DG96" t="e">
        <f>AND('Planilla_General_07-12-2012_8_3'!A1438,"AAAAAGf//24=")</f>
        <v>#VALUE!</v>
      </c>
      <c r="DH96" t="e">
        <f>AND('Planilla_General_07-12-2012_8_3'!B1438,"AAAAAGf//28=")</f>
        <v>#VALUE!</v>
      </c>
      <c r="DI96" t="e">
        <f>AND('Planilla_General_07-12-2012_8_3'!C1438,"AAAAAGf//3A=")</f>
        <v>#VALUE!</v>
      </c>
      <c r="DJ96" t="e">
        <f>AND('Planilla_General_07-12-2012_8_3'!D1438,"AAAAAGf//3E=")</f>
        <v>#VALUE!</v>
      </c>
      <c r="DK96" t="e">
        <f>AND('Planilla_General_07-12-2012_8_3'!E1438,"AAAAAGf//3I=")</f>
        <v>#VALUE!</v>
      </c>
      <c r="DL96" t="e">
        <f>AND('Planilla_General_07-12-2012_8_3'!F1438,"AAAAAGf//3M=")</f>
        <v>#VALUE!</v>
      </c>
      <c r="DM96" t="e">
        <f>AND('Planilla_General_07-12-2012_8_3'!G1438,"AAAAAGf//3Q=")</f>
        <v>#VALUE!</v>
      </c>
      <c r="DN96" t="e">
        <f>AND('Planilla_General_07-12-2012_8_3'!H1438,"AAAAAGf//3U=")</f>
        <v>#VALUE!</v>
      </c>
      <c r="DO96" t="e">
        <f>AND('Planilla_General_07-12-2012_8_3'!I1438,"AAAAAGf//3Y=")</f>
        <v>#VALUE!</v>
      </c>
      <c r="DP96" t="e">
        <f>AND('Planilla_General_07-12-2012_8_3'!J1438,"AAAAAGf//3c=")</f>
        <v>#VALUE!</v>
      </c>
      <c r="DQ96" t="e">
        <f>AND('Planilla_General_07-12-2012_8_3'!K1438,"AAAAAGf//3g=")</f>
        <v>#VALUE!</v>
      </c>
      <c r="DR96" t="e">
        <f>AND('Planilla_General_07-12-2012_8_3'!L1438,"AAAAAGf//3k=")</f>
        <v>#VALUE!</v>
      </c>
      <c r="DS96" t="e">
        <f>AND('Planilla_General_07-12-2012_8_3'!M1438,"AAAAAGf//3o=")</f>
        <v>#VALUE!</v>
      </c>
      <c r="DT96" t="e">
        <f>AND('Planilla_General_07-12-2012_8_3'!N1438,"AAAAAGf//3s=")</f>
        <v>#VALUE!</v>
      </c>
      <c r="DU96" t="e">
        <f>AND('Planilla_General_07-12-2012_8_3'!O1438,"AAAAAGf//3w=")</f>
        <v>#VALUE!</v>
      </c>
      <c r="DV96" t="e">
        <f>AND('Planilla_General_07-12-2012_8_3'!P1438,"AAAAAGf//30=")</f>
        <v>#VALUE!</v>
      </c>
      <c r="DW96">
        <f>IF('Planilla_General_07-12-2012_8_3'!1439:1439,"AAAAAGf//34=",0)</f>
        <v>0</v>
      </c>
      <c r="DX96" t="e">
        <f>AND('Planilla_General_07-12-2012_8_3'!A1439,"AAAAAGf//38=")</f>
        <v>#VALUE!</v>
      </c>
      <c r="DY96" t="e">
        <f>AND('Planilla_General_07-12-2012_8_3'!B1439,"AAAAAGf//4A=")</f>
        <v>#VALUE!</v>
      </c>
      <c r="DZ96" t="e">
        <f>AND('Planilla_General_07-12-2012_8_3'!C1439,"AAAAAGf//4E=")</f>
        <v>#VALUE!</v>
      </c>
      <c r="EA96" t="e">
        <f>AND('Planilla_General_07-12-2012_8_3'!D1439,"AAAAAGf//4I=")</f>
        <v>#VALUE!</v>
      </c>
      <c r="EB96" t="e">
        <f>AND('Planilla_General_07-12-2012_8_3'!E1439,"AAAAAGf//4M=")</f>
        <v>#VALUE!</v>
      </c>
      <c r="EC96" t="e">
        <f>AND('Planilla_General_07-12-2012_8_3'!F1439,"AAAAAGf//4Q=")</f>
        <v>#VALUE!</v>
      </c>
      <c r="ED96" t="e">
        <f>AND('Planilla_General_07-12-2012_8_3'!G1439,"AAAAAGf//4U=")</f>
        <v>#VALUE!</v>
      </c>
      <c r="EE96" t="e">
        <f>AND('Planilla_General_07-12-2012_8_3'!H1439,"AAAAAGf//4Y=")</f>
        <v>#VALUE!</v>
      </c>
      <c r="EF96" t="e">
        <f>AND('Planilla_General_07-12-2012_8_3'!I1439,"AAAAAGf//4c=")</f>
        <v>#VALUE!</v>
      </c>
      <c r="EG96" t="e">
        <f>AND('Planilla_General_07-12-2012_8_3'!J1439,"AAAAAGf//4g=")</f>
        <v>#VALUE!</v>
      </c>
      <c r="EH96" t="e">
        <f>AND('Planilla_General_07-12-2012_8_3'!K1439,"AAAAAGf//4k=")</f>
        <v>#VALUE!</v>
      </c>
      <c r="EI96" t="e">
        <f>AND('Planilla_General_07-12-2012_8_3'!L1439,"AAAAAGf//4o=")</f>
        <v>#VALUE!</v>
      </c>
      <c r="EJ96" t="e">
        <f>AND('Planilla_General_07-12-2012_8_3'!M1439,"AAAAAGf//4s=")</f>
        <v>#VALUE!</v>
      </c>
      <c r="EK96" t="e">
        <f>AND('Planilla_General_07-12-2012_8_3'!N1439,"AAAAAGf//4w=")</f>
        <v>#VALUE!</v>
      </c>
      <c r="EL96" t="e">
        <f>AND('Planilla_General_07-12-2012_8_3'!O1439,"AAAAAGf//40=")</f>
        <v>#VALUE!</v>
      </c>
      <c r="EM96" t="e">
        <f>AND('Planilla_General_07-12-2012_8_3'!P1439,"AAAAAGf//44=")</f>
        <v>#VALUE!</v>
      </c>
      <c r="EN96">
        <f>IF('Planilla_General_07-12-2012_8_3'!1440:1440,"AAAAAGf//48=",0)</f>
        <v>0</v>
      </c>
      <c r="EO96" t="e">
        <f>AND('Planilla_General_07-12-2012_8_3'!A1440,"AAAAAGf//5A=")</f>
        <v>#VALUE!</v>
      </c>
      <c r="EP96" t="e">
        <f>AND('Planilla_General_07-12-2012_8_3'!B1440,"AAAAAGf//5E=")</f>
        <v>#VALUE!</v>
      </c>
      <c r="EQ96" t="e">
        <f>AND('Planilla_General_07-12-2012_8_3'!C1440,"AAAAAGf//5I=")</f>
        <v>#VALUE!</v>
      </c>
      <c r="ER96" t="e">
        <f>AND('Planilla_General_07-12-2012_8_3'!D1440,"AAAAAGf//5M=")</f>
        <v>#VALUE!</v>
      </c>
      <c r="ES96" t="e">
        <f>AND('Planilla_General_07-12-2012_8_3'!E1440,"AAAAAGf//5Q=")</f>
        <v>#VALUE!</v>
      </c>
      <c r="ET96" t="e">
        <f>AND('Planilla_General_07-12-2012_8_3'!F1440,"AAAAAGf//5U=")</f>
        <v>#VALUE!</v>
      </c>
      <c r="EU96" t="e">
        <f>AND('Planilla_General_07-12-2012_8_3'!G1440,"AAAAAGf//5Y=")</f>
        <v>#VALUE!</v>
      </c>
      <c r="EV96" t="e">
        <f>AND('Planilla_General_07-12-2012_8_3'!H1440,"AAAAAGf//5c=")</f>
        <v>#VALUE!</v>
      </c>
      <c r="EW96" t="e">
        <f>AND('Planilla_General_07-12-2012_8_3'!I1440,"AAAAAGf//5g=")</f>
        <v>#VALUE!</v>
      </c>
      <c r="EX96" t="e">
        <f>AND('Planilla_General_07-12-2012_8_3'!J1440,"AAAAAGf//5k=")</f>
        <v>#VALUE!</v>
      </c>
      <c r="EY96" t="e">
        <f>AND('Planilla_General_07-12-2012_8_3'!K1440,"AAAAAGf//5o=")</f>
        <v>#VALUE!</v>
      </c>
      <c r="EZ96" t="e">
        <f>AND('Planilla_General_07-12-2012_8_3'!L1440,"AAAAAGf//5s=")</f>
        <v>#VALUE!</v>
      </c>
      <c r="FA96" t="e">
        <f>AND('Planilla_General_07-12-2012_8_3'!M1440,"AAAAAGf//5w=")</f>
        <v>#VALUE!</v>
      </c>
      <c r="FB96" t="e">
        <f>AND('Planilla_General_07-12-2012_8_3'!N1440,"AAAAAGf//50=")</f>
        <v>#VALUE!</v>
      </c>
      <c r="FC96" t="e">
        <f>AND('Planilla_General_07-12-2012_8_3'!O1440,"AAAAAGf//54=")</f>
        <v>#VALUE!</v>
      </c>
      <c r="FD96" t="e">
        <f>AND('Planilla_General_07-12-2012_8_3'!P1440,"AAAAAGf//58=")</f>
        <v>#VALUE!</v>
      </c>
      <c r="FE96">
        <f>IF('Planilla_General_07-12-2012_8_3'!1441:1441,"AAAAAGf//6A=",0)</f>
        <v>0</v>
      </c>
      <c r="FF96" t="e">
        <f>AND('Planilla_General_07-12-2012_8_3'!A1441,"AAAAAGf//6E=")</f>
        <v>#VALUE!</v>
      </c>
      <c r="FG96" t="e">
        <f>AND('Planilla_General_07-12-2012_8_3'!B1441,"AAAAAGf//6I=")</f>
        <v>#VALUE!</v>
      </c>
      <c r="FH96" t="e">
        <f>AND('Planilla_General_07-12-2012_8_3'!C1441,"AAAAAGf//6M=")</f>
        <v>#VALUE!</v>
      </c>
      <c r="FI96" t="e">
        <f>AND('Planilla_General_07-12-2012_8_3'!D1441,"AAAAAGf//6Q=")</f>
        <v>#VALUE!</v>
      </c>
      <c r="FJ96" t="e">
        <f>AND('Planilla_General_07-12-2012_8_3'!E1441,"AAAAAGf//6U=")</f>
        <v>#VALUE!</v>
      </c>
      <c r="FK96" t="e">
        <f>AND('Planilla_General_07-12-2012_8_3'!F1441,"AAAAAGf//6Y=")</f>
        <v>#VALUE!</v>
      </c>
      <c r="FL96" t="e">
        <f>AND('Planilla_General_07-12-2012_8_3'!G1441,"AAAAAGf//6c=")</f>
        <v>#VALUE!</v>
      </c>
      <c r="FM96" t="e">
        <f>AND('Planilla_General_07-12-2012_8_3'!H1441,"AAAAAGf//6g=")</f>
        <v>#VALUE!</v>
      </c>
      <c r="FN96" t="e">
        <f>AND('Planilla_General_07-12-2012_8_3'!I1441,"AAAAAGf//6k=")</f>
        <v>#VALUE!</v>
      </c>
      <c r="FO96" t="e">
        <f>AND('Planilla_General_07-12-2012_8_3'!J1441,"AAAAAGf//6o=")</f>
        <v>#VALUE!</v>
      </c>
      <c r="FP96" t="e">
        <f>AND('Planilla_General_07-12-2012_8_3'!K1441,"AAAAAGf//6s=")</f>
        <v>#VALUE!</v>
      </c>
      <c r="FQ96" t="e">
        <f>AND('Planilla_General_07-12-2012_8_3'!L1441,"AAAAAGf//6w=")</f>
        <v>#VALUE!</v>
      </c>
      <c r="FR96" t="e">
        <f>AND('Planilla_General_07-12-2012_8_3'!M1441,"AAAAAGf//60=")</f>
        <v>#VALUE!</v>
      </c>
      <c r="FS96" t="e">
        <f>AND('Planilla_General_07-12-2012_8_3'!N1441,"AAAAAGf//64=")</f>
        <v>#VALUE!</v>
      </c>
      <c r="FT96" t="e">
        <f>AND('Planilla_General_07-12-2012_8_3'!O1441,"AAAAAGf//68=")</f>
        <v>#VALUE!</v>
      </c>
      <c r="FU96" t="e">
        <f>AND('Planilla_General_07-12-2012_8_3'!P1441,"AAAAAGf//7A=")</f>
        <v>#VALUE!</v>
      </c>
      <c r="FV96">
        <f>IF('Planilla_General_07-12-2012_8_3'!1442:1442,"AAAAAGf//7E=",0)</f>
        <v>0</v>
      </c>
      <c r="FW96" t="e">
        <f>AND('Planilla_General_07-12-2012_8_3'!A1442,"AAAAAGf//7I=")</f>
        <v>#VALUE!</v>
      </c>
      <c r="FX96" t="e">
        <f>AND('Planilla_General_07-12-2012_8_3'!B1442,"AAAAAGf//7M=")</f>
        <v>#VALUE!</v>
      </c>
      <c r="FY96" t="e">
        <f>AND('Planilla_General_07-12-2012_8_3'!C1442,"AAAAAGf//7Q=")</f>
        <v>#VALUE!</v>
      </c>
      <c r="FZ96" t="e">
        <f>AND('Planilla_General_07-12-2012_8_3'!D1442,"AAAAAGf//7U=")</f>
        <v>#VALUE!</v>
      </c>
      <c r="GA96" t="e">
        <f>AND('Planilla_General_07-12-2012_8_3'!E1442,"AAAAAGf//7Y=")</f>
        <v>#VALUE!</v>
      </c>
      <c r="GB96" t="e">
        <f>AND('Planilla_General_07-12-2012_8_3'!F1442,"AAAAAGf//7c=")</f>
        <v>#VALUE!</v>
      </c>
      <c r="GC96" t="e">
        <f>AND('Planilla_General_07-12-2012_8_3'!G1442,"AAAAAGf//7g=")</f>
        <v>#VALUE!</v>
      </c>
      <c r="GD96" t="e">
        <f>AND('Planilla_General_07-12-2012_8_3'!H1442,"AAAAAGf//7k=")</f>
        <v>#VALUE!</v>
      </c>
      <c r="GE96" t="e">
        <f>AND('Planilla_General_07-12-2012_8_3'!I1442,"AAAAAGf//7o=")</f>
        <v>#VALUE!</v>
      </c>
      <c r="GF96" t="e">
        <f>AND('Planilla_General_07-12-2012_8_3'!J1442,"AAAAAGf//7s=")</f>
        <v>#VALUE!</v>
      </c>
      <c r="GG96" t="e">
        <f>AND('Planilla_General_07-12-2012_8_3'!K1442,"AAAAAGf//7w=")</f>
        <v>#VALUE!</v>
      </c>
      <c r="GH96" t="e">
        <f>AND('Planilla_General_07-12-2012_8_3'!L1442,"AAAAAGf//70=")</f>
        <v>#VALUE!</v>
      </c>
      <c r="GI96" t="e">
        <f>AND('Planilla_General_07-12-2012_8_3'!M1442,"AAAAAGf//74=")</f>
        <v>#VALUE!</v>
      </c>
      <c r="GJ96" t="e">
        <f>AND('Planilla_General_07-12-2012_8_3'!N1442,"AAAAAGf//78=")</f>
        <v>#VALUE!</v>
      </c>
      <c r="GK96" t="e">
        <f>AND('Planilla_General_07-12-2012_8_3'!O1442,"AAAAAGf//8A=")</f>
        <v>#VALUE!</v>
      </c>
      <c r="GL96" t="e">
        <f>AND('Planilla_General_07-12-2012_8_3'!P1442,"AAAAAGf//8E=")</f>
        <v>#VALUE!</v>
      </c>
      <c r="GM96">
        <f>IF('Planilla_General_07-12-2012_8_3'!1443:1443,"AAAAAGf//8I=",0)</f>
        <v>0</v>
      </c>
      <c r="GN96" t="e">
        <f>AND('Planilla_General_07-12-2012_8_3'!A1443,"AAAAAGf//8M=")</f>
        <v>#VALUE!</v>
      </c>
      <c r="GO96" t="e">
        <f>AND('Planilla_General_07-12-2012_8_3'!B1443,"AAAAAGf//8Q=")</f>
        <v>#VALUE!</v>
      </c>
      <c r="GP96" t="e">
        <f>AND('Planilla_General_07-12-2012_8_3'!C1443,"AAAAAGf//8U=")</f>
        <v>#VALUE!</v>
      </c>
      <c r="GQ96" t="e">
        <f>AND('Planilla_General_07-12-2012_8_3'!D1443,"AAAAAGf//8Y=")</f>
        <v>#VALUE!</v>
      </c>
      <c r="GR96" t="e">
        <f>AND('Planilla_General_07-12-2012_8_3'!E1443,"AAAAAGf//8c=")</f>
        <v>#VALUE!</v>
      </c>
      <c r="GS96" t="e">
        <f>AND('Planilla_General_07-12-2012_8_3'!F1443,"AAAAAGf//8g=")</f>
        <v>#VALUE!</v>
      </c>
      <c r="GT96" t="e">
        <f>AND('Planilla_General_07-12-2012_8_3'!G1443,"AAAAAGf//8k=")</f>
        <v>#VALUE!</v>
      </c>
      <c r="GU96" t="e">
        <f>AND('Planilla_General_07-12-2012_8_3'!H1443,"AAAAAGf//8o=")</f>
        <v>#VALUE!</v>
      </c>
      <c r="GV96" t="e">
        <f>AND('Planilla_General_07-12-2012_8_3'!I1443,"AAAAAGf//8s=")</f>
        <v>#VALUE!</v>
      </c>
      <c r="GW96" t="e">
        <f>AND('Planilla_General_07-12-2012_8_3'!J1443,"AAAAAGf//8w=")</f>
        <v>#VALUE!</v>
      </c>
      <c r="GX96" t="e">
        <f>AND('Planilla_General_07-12-2012_8_3'!K1443,"AAAAAGf//80=")</f>
        <v>#VALUE!</v>
      </c>
      <c r="GY96" t="e">
        <f>AND('Planilla_General_07-12-2012_8_3'!L1443,"AAAAAGf//84=")</f>
        <v>#VALUE!</v>
      </c>
      <c r="GZ96" t="e">
        <f>AND('Planilla_General_07-12-2012_8_3'!M1443,"AAAAAGf//88=")</f>
        <v>#VALUE!</v>
      </c>
      <c r="HA96" t="e">
        <f>AND('Planilla_General_07-12-2012_8_3'!N1443,"AAAAAGf//9A=")</f>
        <v>#VALUE!</v>
      </c>
      <c r="HB96" t="e">
        <f>AND('Planilla_General_07-12-2012_8_3'!O1443,"AAAAAGf//9E=")</f>
        <v>#VALUE!</v>
      </c>
      <c r="HC96" t="e">
        <f>AND('Planilla_General_07-12-2012_8_3'!P1443,"AAAAAGf//9I=")</f>
        <v>#VALUE!</v>
      </c>
      <c r="HD96">
        <f>IF('Planilla_General_07-12-2012_8_3'!1444:1444,"AAAAAGf//9M=",0)</f>
        <v>0</v>
      </c>
      <c r="HE96" t="e">
        <f>AND('Planilla_General_07-12-2012_8_3'!A1444,"AAAAAGf//9Q=")</f>
        <v>#VALUE!</v>
      </c>
      <c r="HF96" t="e">
        <f>AND('Planilla_General_07-12-2012_8_3'!B1444,"AAAAAGf//9U=")</f>
        <v>#VALUE!</v>
      </c>
      <c r="HG96" t="e">
        <f>AND('Planilla_General_07-12-2012_8_3'!C1444,"AAAAAGf//9Y=")</f>
        <v>#VALUE!</v>
      </c>
      <c r="HH96" t="e">
        <f>AND('Planilla_General_07-12-2012_8_3'!D1444,"AAAAAGf//9c=")</f>
        <v>#VALUE!</v>
      </c>
      <c r="HI96" t="e">
        <f>AND('Planilla_General_07-12-2012_8_3'!E1444,"AAAAAGf//9g=")</f>
        <v>#VALUE!</v>
      </c>
      <c r="HJ96" t="e">
        <f>AND('Planilla_General_07-12-2012_8_3'!F1444,"AAAAAGf//9k=")</f>
        <v>#VALUE!</v>
      </c>
      <c r="HK96" t="e">
        <f>AND('Planilla_General_07-12-2012_8_3'!G1444,"AAAAAGf//9o=")</f>
        <v>#VALUE!</v>
      </c>
      <c r="HL96" t="e">
        <f>AND('Planilla_General_07-12-2012_8_3'!H1444,"AAAAAGf//9s=")</f>
        <v>#VALUE!</v>
      </c>
      <c r="HM96" t="e">
        <f>AND('Planilla_General_07-12-2012_8_3'!I1444,"AAAAAGf//9w=")</f>
        <v>#VALUE!</v>
      </c>
      <c r="HN96" t="e">
        <f>AND('Planilla_General_07-12-2012_8_3'!J1444,"AAAAAGf//90=")</f>
        <v>#VALUE!</v>
      </c>
      <c r="HO96" t="e">
        <f>AND('Planilla_General_07-12-2012_8_3'!K1444,"AAAAAGf//94=")</f>
        <v>#VALUE!</v>
      </c>
      <c r="HP96" t="e">
        <f>AND('Planilla_General_07-12-2012_8_3'!L1444,"AAAAAGf//98=")</f>
        <v>#VALUE!</v>
      </c>
      <c r="HQ96" t="e">
        <f>AND('Planilla_General_07-12-2012_8_3'!M1444,"AAAAAGf//+A=")</f>
        <v>#VALUE!</v>
      </c>
      <c r="HR96" t="e">
        <f>AND('Planilla_General_07-12-2012_8_3'!N1444,"AAAAAGf//+E=")</f>
        <v>#VALUE!</v>
      </c>
      <c r="HS96" t="e">
        <f>AND('Planilla_General_07-12-2012_8_3'!O1444,"AAAAAGf//+I=")</f>
        <v>#VALUE!</v>
      </c>
      <c r="HT96" t="e">
        <f>AND('Planilla_General_07-12-2012_8_3'!P1444,"AAAAAGf//+M=")</f>
        <v>#VALUE!</v>
      </c>
      <c r="HU96">
        <f>IF('Planilla_General_07-12-2012_8_3'!1445:1445,"AAAAAGf//+Q=",0)</f>
        <v>0</v>
      </c>
      <c r="HV96" t="e">
        <f>AND('Planilla_General_07-12-2012_8_3'!A1445,"AAAAAGf//+U=")</f>
        <v>#VALUE!</v>
      </c>
      <c r="HW96" t="e">
        <f>AND('Planilla_General_07-12-2012_8_3'!B1445,"AAAAAGf//+Y=")</f>
        <v>#VALUE!</v>
      </c>
      <c r="HX96" t="e">
        <f>AND('Planilla_General_07-12-2012_8_3'!C1445,"AAAAAGf//+c=")</f>
        <v>#VALUE!</v>
      </c>
      <c r="HY96" t="e">
        <f>AND('Planilla_General_07-12-2012_8_3'!D1445,"AAAAAGf//+g=")</f>
        <v>#VALUE!</v>
      </c>
      <c r="HZ96" t="e">
        <f>AND('Planilla_General_07-12-2012_8_3'!E1445,"AAAAAGf//+k=")</f>
        <v>#VALUE!</v>
      </c>
      <c r="IA96" t="e">
        <f>AND('Planilla_General_07-12-2012_8_3'!F1445,"AAAAAGf//+o=")</f>
        <v>#VALUE!</v>
      </c>
      <c r="IB96" t="e">
        <f>AND('Planilla_General_07-12-2012_8_3'!G1445,"AAAAAGf//+s=")</f>
        <v>#VALUE!</v>
      </c>
      <c r="IC96" t="e">
        <f>AND('Planilla_General_07-12-2012_8_3'!H1445,"AAAAAGf//+w=")</f>
        <v>#VALUE!</v>
      </c>
      <c r="ID96" t="e">
        <f>AND('Planilla_General_07-12-2012_8_3'!I1445,"AAAAAGf//+0=")</f>
        <v>#VALUE!</v>
      </c>
      <c r="IE96" t="e">
        <f>AND('Planilla_General_07-12-2012_8_3'!J1445,"AAAAAGf//+4=")</f>
        <v>#VALUE!</v>
      </c>
      <c r="IF96" t="e">
        <f>AND('Planilla_General_07-12-2012_8_3'!K1445,"AAAAAGf//+8=")</f>
        <v>#VALUE!</v>
      </c>
      <c r="IG96" t="e">
        <f>AND('Planilla_General_07-12-2012_8_3'!L1445,"AAAAAGf///A=")</f>
        <v>#VALUE!</v>
      </c>
      <c r="IH96" t="e">
        <f>AND('Planilla_General_07-12-2012_8_3'!M1445,"AAAAAGf///E=")</f>
        <v>#VALUE!</v>
      </c>
      <c r="II96" t="e">
        <f>AND('Planilla_General_07-12-2012_8_3'!N1445,"AAAAAGf///I=")</f>
        <v>#VALUE!</v>
      </c>
      <c r="IJ96" t="e">
        <f>AND('Planilla_General_07-12-2012_8_3'!O1445,"AAAAAGf///M=")</f>
        <v>#VALUE!</v>
      </c>
      <c r="IK96" t="e">
        <f>AND('Planilla_General_07-12-2012_8_3'!P1445,"AAAAAGf///Q=")</f>
        <v>#VALUE!</v>
      </c>
      <c r="IL96">
        <f>IF('Planilla_General_07-12-2012_8_3'!1446:1446,"AAAAAGf///U=",0)</f>
        <v>0</v>
      </c>
      <c r="IM96" t="e">
        <f>AND('Planilla_General_07-12-2012_8_3'!A1446,"AAAAAGf///Y=")</f>
        <v>#VALUE!</v>
      </c>
      <c r="IN96" t="e">
        <f>AND('Planilla_General_07-12-2012_8_3'!B1446,"AAAAAGf///c=")</f>
        <v>#VALUE!</v>
      </c>
      <c r="IO96" t="e">
        <f>AND('Planilla_General_07-12-2012_8_3'!C1446,"AAAAAGf///g=")</f>
        <v>#VALUE!</v>
      </c>
      <c r="IP96" t="e">
        <f>AND('Planilla_General_07-12-2012_8_3'!D1446,"AAAAAGf///k=")</f>
        <v>#VALUE!</v>
      </c>
      <c r="IQ96" t="e">
        <f>AND('Planilla_General_07-12-2012_8_3'!E1446,"AAAAAGf///o=")</f>
        <v>#VALUE!</v>
      </c>
      <c r="IR96" t="e">
        <f>AND('Planilla_General_07-12-2012_8_3'!F1446,"AAAAAGf///s=")</f>
        <v>#VALUE!</v>
      </c>
      <c r="IS96" t="e">
        <f>AND('Planilla_General_07-12-2012_8_3'!G1446,"AAAAAGf///w=")</f>
        <v>#VALUE!</v>
      </c>
      <c r="IT96" t="e">
        <f>AND('Planilla_General_07-12-2012_8_3'!H1446,"AAAAAGf///0=")</f>
        <v>#VALUE!</v>
      </c>
      <c r="IU96" t="e">
        <f>AND('Planilla_General_07-12-2012_8_3'!I1446,"AAAAAGf///4=")</f>
        <v>#VALUE!</v>
      </c>
      <c r="IV96" t="e">
        <f>AND('Planilla_General_07-12-2012_8_3'!J1446,"AAAAAGf///8=")</f>
        <v>#VALUE!</v>
      </c>
    </row>
    <row r="97" spans="1:256" x14ac:dyDescent="0.25">
      <c r="A97" t="e">
        <f>AND('Planilla_General_07-12-2012_8_3'!K1446,"AAAAAG2v7QA=")</f>
        <v>#VALUE!</v>
      </c>
      <c r="B97" t="e">
        <f>AND('Planilla_General_07-12-2012_8_3'!L1446,"AAAAAG2v7QE=")</f>
        <v>#VALUE!</v>
      </c>
      <c r="C97" t="e">
        <f>AND('Planilla_General_07-12-2012_8_3'!M1446,"AAAAAG2v7QI=")</f>
        <v>#VALUE!</v>
      </c>
      <c r="D97" t="e">
        <f>AND('Planilla_General_07-12-2012_8_3'!N1446,"AAAAAG2v7QM=")</f>
        <v>#VALUE!</v>
      </c>
      <c r="E97" t="e">
        <f>AND('Planilla_General_07-12-2012_8_3'!O1446,"AAAAAG2v7QQ=")</f>
        <v>#VALUE!</v>
      </c>
      <c r="F97" t="e">
        <f>AND('Planilla_General_07-12-2012_8_3'!P1446,"AAAAAG2v7QU=")</f>
        <v>#VALUE!</v>
      </c>
      <c r="G97" t="e">
        <f>IF('Planilla_General_07-12-2012_8_3'!1447:1447,"AAAAAG2v7QY=",0)</f>
        <v>#VALUE!</v>
      </c>
      <c r="H97" t="e">
        <f>AND('Planilla_General_07-12-2012_8_3'!A1447,"AAAAAG2v7Qc=")</f>
        <v>#VALUE!</v>
      </c>
      <c r="I97" t="e">
        <f>AND('Planilla_General_07-12-2012_8_3'!B1447,"AAAAAG2v7Qg=")</f>
        <v>#VALUE!</v>
      </c>
      <c r="J97" t="e">
        <f>AND('Planilla_General_07-12-2012_8_3'!C1447,"AAAAAG2v7Qk=")</f>
        <v>#VALUE!</v>
      </c>
      <c r="K97" t="e">
        <f>AND('Planilla_General_07-12-2012_8_3'!D1447,"AAAAAG2v7Qo=")</f>
        <v>#VALUE!</v>
      </c>
      <c r="L97" t="e">
        <f>AND('Planilla_General_07-12-2012_8_3'!E1447,"AAAAAG2v7Qs=")</f>
        <v>#VALUE!</v>
      </c>
      <c r="M97" t="e">
        <f>AND('Planilla_General_07-12-2012_8_3'!F1447,"AAAAAG2v7Qw=")</f>
        <v>#VALUE!</v>
      </c>
      <c r="N97" t="e">
        <f>AND('Planilla_General_07-12-2012_8_3'!G1447,"AAAAAG2v7Q0=")</f>
        <v>#VALUE!</v>
      </c>
      <c r="O97" t="e">
        <f>AND('Planilla_General_07-12-2012_8_3'!H1447,"AAAAAG2v7Q4=")</f>
        <v>#VALUE!</v>
      </c>
      <c r="P97" t="e">
        <f>AND('Planilla_General_07-12-2012_8_3'!I1447,"AAAAAG2v7Q8=")</f>
        <v>#VALUE!</v>
      </c>
      <c r="Q97" t="e">
        <f>AND('Planilla_General_07-12-2012_8_3'!J1447,"AAAAAG2v7RA=")</f>
        <v>#VALUE!</v>
      </c>
      <c r="R97" t="e">
        <f>AND('Planilla_General_07-12-2012_8_3'!K1447,"AAAAAG2v7RE=")</f>
        <v>#VALUE!</v>
      </c>
      <c r="S97" t="e">
        <f>AND('Planilla_General_07-12-2012_8_3'!L1447,"AAAAAG2v7RI=")</f>
        <v>#VALUE!</v>
      </c>
      <c r="T97" t="e">
        <f>AND('Planilla_General_07-12-2012_8_3'!M1447,"AAAAAG2v7RM=")</f>
        <v>#VALUE!</v>
      </c>
      <c r="U97" t="e">
        <f>AND('Planilla_General_07-12-2012_8_3'!N1447,"AAAAAG2v7RQ=")</f>
        <v>#VALUE!</v>
      </c>
      <c r="V97" t="e">
        <f>AND('Planilla_General_07-12-2012_8_3'!O1447,"AAAAAG2v7RU=")</f>
        <v>#VALUE!</v>
      </c>
      <c r="W97" t="e">
        <f>AND('Planilla_General_07-12-2012_8_3'!P1447,"AAAAAG2v7RY=")</f>
        <v>#VALUE!</v>
      </c>
      <c r="X97">
        <f>IF('Planilla_General_07-12-2012_8_3'!1448:1448,"AAAAAG2v7Rc=",0)</f>
        <v>0</v>
      </c>
      <c r="Y97" t="e">
        <f>AND('Planilla_General_07-12-2012_8_3'!A1448,"AAAAAG2v7Rg=")</f>
        <v>#VALUE!</v>
      </c>
      <c r="Z97" t="e">
        <f>AND('Planilla_General_07-12-2012_8_3'!B1448,"AAAAAG2v7Rk=")</f>
        <v>#VALUE!</v>
      </c>
      <c r="AA97" t="e">
        <f>AND('Planilla_General_07-12-2012_8_3'!C1448,"AAAAAG2v7Ro=")</f>
        <v>#VALUE!</v>
      </c>
      <c r="AB97" t="e">
        <f>AND('Planilla_General_07-12-2012_8_3'!D1448,"AAAAAG2v7Rs=")</f>
        <v>#VALUE!</v>
      </c>
      <c r="AC97" t="e">
        <f>AND('Planilla_General_07-12-2012_8_3'!E1448,"AAAAAG2v7Rw=")</f>
        <v>#VALUE!</v>
      </c>
      <c r="AD97" t="e">
        <f>AND('Planilla_General_07-12-2012_8_3'!F1448,"AAAAAG2v7R0=")</f>
        <v>#VALUE!</v>
      </c>
      <c r="AE97" t="e">
        <f>AND('Planilla_General_07-12-2012_8_3'!G1448,"AAAAAG2v7R4=")</f>
        <v>#VALUE!</v>
      </c>
      <c r="AF97" t="e">
        <f>AND('Planilla_General_07-12-2012_8_3'!H1448,"AAAAAG2v7R8=")</f>
        <v>#VALUE!</v>
      </c>
      <c r="AG97" t="e">
        <f>AND('Planilla_General_07-12-2012_8_3'!I1448,"AAAAAG2v7SA=")</f>
        <v>#VALUE!</v>
      </c>
      <c r="AH97" t="e">
        <f>AND('Planilla_General_07-12-2012_8_3'!J1448,"AAAAAG2v7SE=")</f>
        <v>#VALUE!</v>
      </c>
      <c r="AI97" t="e">
        <f>AND('Planilla_General_07-12-2012_8_3'!K1448,"AAAAAG2v7SI=")</f>
        <v>#VALUE!</v>
      </c>
      <c r="AJ97" t="e">
        <f>AND('Planilla_General_07-12-2012_8_3'!L1448,"AAAAAG2v7SM=")</f>
        <v>#VALUE!</v>
      </c>
      <c r="AK97" t="e">
        <f>AND('Planilla_General_07-12-2012_8_3'!M1448,"AAAAAG2v7SQ=")</f>
        <v>#VALUE!</v>
      </c>
      <c r="AL97" t="e">
        <f>AND('Planilla_General_07-12-2012_8_3'!N1448,"AAAAAG2v7SU=")</f>
        <v>#VALUE!</v>
      </c>
      <c r="AM97" t="e">
        <f>AND('Planilla_General_07-12-2012_8_3'!O1448,"AAAAAG2v7SY=")</f>
        <v>#VALUE!</v>
      </c>
      <c r="AN97" t="e">
        <f>AND('Planilla_General_07-12-2012_8_3'!P1448,"AAAAAG2v7Sc=")</f>
        <v>#VALUE!</v>
      </c>
      <c r="AO97">
        <f>IF('Planilla_General_07-12-2012_8_3'!1449:1449,"AAAAAG2v7Sg=",0)</f>
        <v>0</v>
      </c>
      <c r="AP97" t="e">
        <f>AND('Planilla_General_07-12-2012_8_3'!A1449,"AAAAAG2v7Sk=")</f>
        <v>#VALUE!</v>
      </c>
      <c r="AQ97" t="e">
        <f>AND('Planilla_General_07-12-2012_8_3'!B1449,"AAAAAG2v7So=")</f>
        <v>#VALUE!</v>
      </c>
      <c r="AR97" t="e">
        <f>AND('Planilla_General_07-12-2012_8_3'!C1449,"AAAAAG2v7Ss=")</f>
        <v>#VALUE!</v>
      </c>
      <c r="AS97" t="e">
        <f>AND('Planilla_General_07-12-2012_8_3'!D1449,"AAAAAG2v7Sw=")</f>
        <v>#VALUE!</v>
      </c>
      <c r="AT97" t="e">
        <f>AND('Planilla_General_07-12-2012_8_3'!E1449,"AAAAAG2v7S0=")</f>
        <v>#VALUE!</v>
      </c>
      <c r="AU97" t="e">
        <f>AND('Planilla_General_07-12-2012_8_3'!F1449,"AAAAAG2v7S4=")</f>
        <v>#VALUE!</v>
      </c>
      <c r="AV97" t="e">
        <f>AND('Planilla_General_07-12-2012_8_3'!G1449,"AAAAAG2v7S8=")</f>
        <v>#VALUE!</v>
      </c>
      <c r="AW97" t="e">
        <f>AND('Planilla_General_07-12-2012_8_3'!H1449,"AAAAAG2v7TA=")</f>
        <v>#VALUE!</v>
      </c>
      <c r="AX97" t="e">
        <f>AND('Planilla_General_07-12-2012_8_3'!I1449,"AAAAAG2v7TE=")</f>
        <v>#VALUE!</v>
      </c>
      <c r="AY97" t="e">
        <f>AND('Planilla_General_07-12-2012_8_3'!J1449,"AAAAAG2v7TI=")</f>
        <v>#VALUE!</v>
      </c>
      <c r="AZ97" t="e">
        <f>AND('Planilla_General_07-12-2012_8_3'!K1449,"AAAAAG2v7TM=")</f>
        <v>#VALUE!</v>
      </c>
      <c r="BA97" t="e">
        <f>AND('Planilla_General_07-12-2012_8_3'!L1449,"AAAAAG2v7TQ=")</f>
        <v>#VALUE!</v>
      </c>
      <c r="BB97" t="e">
        <f>AND('Planilla_General_07-12-2012_8_3'!M1449,"AAAAAG2v7TU=")</f>
        <v>#VALUE!</v>
      </c>
      <c r="BC97" t="e">
        <f>AND('Planilla_General_07-12-2012_8_3'!N1449,"AAAAAG2v7TY=")</f>
        <v>#VALUE!</v>
      </c>
      <c r="BD97" t="e">
        <f>AND('Planilla_General_07-12-2012_8_3'!O1449,"AAAAAG2v7Tc=")</f>
        <v>#VALUE!</v>
      </c>
      <c r="BE97" t="e">
        <f>AND('Planilla_General_07-12-2012_8_3'!P1449,"AAAAAG2v7Tg=")</f>
        <v>#VALUE!</v>
      </c>
      <c r="BF97">
        <f>IF('Planilla_General_07-12-2012_8_3'!1450:1450,"AAAAAG2v7Tk=",0)</f>
        <v>0</v>
      </c>
      <c r="BG97" t="e">
        <f>AND('Planilla_General_07-12-2012_8_3'!A1450,"AAAAAG2v7To=")</f>
        <v>#VALUE!</v>
      </c>
      <c r="BH97" t="e">
        <f>AND('Planilla_General_07-12-2012_8_3'!B1450,"AAAAAG2v7Ts=")</f>
        <v>#VALUE!</v>
      </c>
      <c r="BI97" t="e">
        <f>AND('Planilla_General_07-12-2012_8_3'!C1450,"AAAAAG2v7Tw=")</f>
        <v>#VALUE!</v>
      </c>
      <c r="BJ97" t="e">
        <f>AND('Planilla_General_07-12-2012_8_3'!D1450,"AAAAAG2v7T0=")</f>
        <v>#VALUE!</v>
      </c>
      <c r="BK97" t="e">
        <f>AND('Planilla_General_07-12-2012_8_3'!E1450,"AAAAAG2v7T4=")</f>
        <v>#VALUE!</v>
      </c>
      <c r="BL97" t="e">
        <f>AND('Planilla_General_07-12-2012_8_3'!F1450,"AAAAAG2v7T8=")</f>
        <v>#VALUE!</v>
      </c>
      <c r="BM97" t="e">
        <f>AND('Planilla_General_07-12-2012_8_3'!G1450,"AAAAAG2v7UA=")</f>
        <v>#VALUE!</v>
      </c>
      <c r="BN97" t="e">
        <f>AND('Planilla_General_07-12-2012_8_3'!H1450,"AAAAAG2v7UE=")</f>
        <v>#VALUE!</v>
      </c>
      <c r="BO97" t="e">
        <f>AND('Planilla_General_07-12-2012_8_3'!I1450,"AAAAAG2v7UI=")</f>
        <v>#VALUE!</v>
      </c>
      <c r="BP97" t="e">
        <f>AND('Planilla_General_07-12-2012_8_3'!J1450,"AAAAAG2v7UM=")</f>
        <v>#VALUE!</v>
      </c>
      <c r="BQ97" t="e">
        <f>AND('Planilla_General_07-12-2012_8_3'!K1450,"AAAAAG2v7UQ=")</f>
        <v>#VALUE!</v>
      </c>
      <c r="BR97" t="e">
        <f>AND('Planilla_General_07-12-2012_8_3'!L1450,"AAAAAG2v7UU=")</f>
        <v>#VALUE!</v>
      </c>
      <c r="BS97" t="e">
        <f>AND('Planilla_General_07-12-2012_8_3'!M1450,"AAAAAG2v7UY=")</f>
        <v>#VALUE!</v>
      </c>
      <c r="BT97" t="e">
        <f>AND('Planilla_General_07-12-2012_8_3'!N1450,"AAAAAG2v7Uc=")</f>
        <v>#VALUE!</v>
      </c>
      <c r="BU97" t="e">
        <f>AND('Planilla_General_07-12-2012_8_3'!O1450,"AAAAAG2v7Ug=")</f>
        <v>#VALUE!</v>
      </c>
      <c r="BV97" t="e">
        <f>AND('Planilla_General_07-12-2012_8_3'!P1450,"AAAAAG2v7Uk=")</f>
        <v>#VALUE!</v>
      </c>
      <c r="BW97">
        <f>IF('Planilla_General_07-12-2012_8_3'!1451:1451,"AAAAAG2v7Uo=",0)</f>
        <v>0</v>
      </c>
      <c r="BX97" t="e">
        <f>AND('Planilla_General_07-12-2012_8_3'!A1451,"AAAAAG2v7Us=")</f>
        <v>#VALUE!</v>
      </c>
      <c r="BY97" t="e">
        <f>AND('Planilla_General_07-12-2012_8_3'!B1451,"AAAAAG2v7Uw=")</f>
        <v>#VALUE!</v>
      </c>
      <c r="BZ97" t="e">
        <f>AND('Planilla_General_07-12-2012_8_3'!C1451,"AAAAAG2v7U0=")</f>
        <v>#VALUE!</v>
      </c>
      <c r="CA97" t="e">
        <f>AND('Planilla_General_07-12-2012_8_3'!D1451,"AAAAAG2v7U4=")</f>
        <v>#VALUE!</v>
      </c>
      <c r="CB97" t="e">
        <f>AND('Planilla_General_07-12-2012_8_3'!E1451,"AAAAAG2v7U8=")</f>
        <v>#VALUE!</v>
      </c>
      <c r="CC97" t="e">
        <f>AND('Planilla_General_07-12-2012_8_3'!F1451,"AAAAAG2v7VA=")</f>
        <v>#VALUE!</v>
      </c>
      <c r="CD97" t="e">
        <f>AND('Planilla_General_07-12-2012_8_3'!G1451,"AAAAAG2v7VE=")</f>
        <v>#VALUE!</v>
      </c>
      <c r="CE97" t="e">
        <f>AND('Planilla_General_07-12-2012_8_3'!H1451,"AAAAAG2v7VI=")</f>
        <v>#VALUE!</v>
      </c>
      <c r="CF97" t="e">
        <f>AND('Planilla_General_07-12-2012_8_3'!I1451,"AAAAAG2v7VM=")</f>
        <v>#VALUE!</v>
      </c>
      <c r="CG97" t="e">
        <f>AND('Planilla_General_07-12-2012_8_3'!J1451,"AAAAAG2v7VQ=")</f>
        <v>#VALUE!</v>
      </c>
      <c r="CH97" t="e">
        <f>AND('Planilla_General_07-12-2012_8_3'!K1451,"AAAAAG2v7VU=")</f>
        <v>#VALUE!</v>
      </c>
      <c r="CI97" t="e">
        <f>AND('Planilla_General_07-12-2012_8_3'!L1451,"AAAAAG2v7VY=")</f>
        <v>#VALUE!</v>
      </c>
      <c r="CJ97" t="e">
        <f>AND('Planilla_General_07-12-2012_8_3'!M1451,"AAAAAG2v7Vc=")</f>
        <v>#VALUE!</v>
      </c>
      <c r="CK97" t="e">
        <f>AND('Planilla_General_07-12-2012_8_3'!N1451,"AAAAAG2v7Vg=")</f>
        <v>#VALUE!</v>
      </c>
      <c r="CL97" t="e">
        <f>AND('Planilla_General_07-12-2012_8_3'!O1451,"AAAAAG2v7Vk=")</f>
        <v>#VALUE!</v>
      </c>
      <c r="CM97" t="e">
        <f>AND('Planilla_General_07-12-2012_8_3'!P1451,"AAAAAG2v7Vo=")</f>
        <v>#VALUE!</v>
      </c>
      <c r="CN97">
        <f>IF('Planilla_General_07-12-2012_8_3'!1452:1452,"AAAAAG2v7Vs=",0)</f>
        <v>0</v>
      </c>
      <c r="CO97" t="e">
        <f>AND('Planilla_General_07-12-2012_8_3'!A1452,"AAAAAG2v7Vw=")</f>
        <v>#VALUE!</v>
      </c>
      <c r="CP97" t="e">
        <f>AND('Planilla_General_07-12-2012_8_3'!B1452,"AAAAAG2v7V0=")</f>
        <v>#VALUE!</v>
      </c>
      <c r="CQ97" t="e">
        <f>AND('Planilla_General_07-12-2012_8_3'!C1452,"AAAAAG2v7V4=")</f>
        <v>#VALUE!</v>
      </c>
      <c r="CR97" t="e">
        <f>AND('Planilla_General_07-12-2012_8_3'!D1452,"AAAAAG2v7V8=")</f>
        <v>#VALUE!</v>
      </c>
      <c r="CS97" t="e">
        <f>AND('Planilla_General_07-12-2012_8_3'!E1452,"AAAAAG2v7WA=")</f>
        <v>#VALUE!</v>
      </c>
      <c r="CT97" t="e">
        <f>AND('Planilla_General_07-12-2012_8_3'!F1452,"AAAAAG2v7WE=")</f>
        <v>#VALUE!</v>
      </c>
      <c r="CU97" t="e">
        <f>AND('Planilla_General_07-12-2012_8_3'!G1452,"AAAAAG2v7WI=")</f>
        <v>#VALUE!</v>
      </c>
      <c r="CV97" t="e">
        <f>AND('Planilla_General_07-12-2012_8_3'!H1452,"AAAAAG2v7WM=")</f>
        <v>#VALUE!</v>
      </c>
      <c r="CW97" t="e">
        <f>AND('Planilla_General_07-12-2012_8_3'!I1452,"AAAAAG2v7WQ=")</f>
        <v>#VALUE!</v>
      </c>
      <c r="CX97" t="e">
        <f>AND('Planilla_General_07-12-2012_8_3'!J1452,"AAAAAG2v7WU=")</f>
        <v>#VALUE!</v>
      </c>
      <c r="CY97" t="e">
        <f>AND('Planilla_General_07-12-2012_8_3'!K1452,"AAAAAG2v7WY=")</f>
        <v>#VALUE!</v>
      </c>
      <c r="CZ97" t="e">
        <f>AND('Planilla_General_07-12-2012_8_3'!L1452,"AAAAAG2v7Wc=")</f>
        <v>#VALUE!</v>
      </c>
      <c r="DA97" t="e">
        <f>AND('Planilla_General_07-12-2012_8_3'!M1452,"AAAAAG2v7Wg=")</f>
        <v>#VALUE!</v>
      </c>
      <c r="DB97" t="e">
        <f>AND('Planilla_General_07-12-2012_8_3'!N1452,"AAAAAG2v7Wk=")</f>
        <v>#VALUE!</v>
      </c>
      <c r="DC97" t="e">
        <f>AND('Planilla_General_07-12-2012_8_3'!O1452,"AAAAAG2v7Wo=")</f>
        <v>#VALUE!</v>
      </c>
      <c r="DD97" t="e">
        <f>AND('Planilla_General_07-12-2012_8_3'!P1452,"AAAAAG2v7Ws=")</f>
        <v>#VALUE!</v>
      </c>
      <c r="DE97">
        <f>IF('Planilla_General_07-12-2012_8_3'!1453:1453,"AAAAAG2v7Ww=",0)</f>
        <v>0</v>
      </c>
      <c r="DF97" t="e">
        <f>AND('Planilla_General_07-12-2012_8_3'!A1453,"AAAAAG2v7W0=")</f>
        <v>#VALUE!</v>
      </c>
      <c r="DG97" t="e">
        <f>AND('Planilla_General_07-12-2012_8_3'!B1453,"AAAAAG2v7W4=")</f>
        <v>#VALUE!</v>
      </c>
      <c r="DH97" t="e">
        <f>AND('Planilla_General_07-12-2012_8_3'!C1453,"AAAAAG2v7W8=")</f>
        <v>#VALUE!</v>
      </c>
      <c r="DI97" t="e">
        <f>AND('Planilla_General_07-12-2012_8_3'!D1453,"AAAAAG2v7XA=")</f>
        <v>#VALUE!</v>
      </c>
      <c r="DJ97" t="e">
        <f>AND('Planilla_General_07-12-2012_8_3'!E1453,"AAAAAG2v7XE=")</f>
        <v>#VALUE!</v>
      </c>
      <c r="DK97" t="e">
        <f>AND('Planilla_General_07-12-2012_8_3'!F1453,"AAAAAG2v7XI=")</f>
        <v>#VALUE!</v>
      </c>
      <c r="DL97" t="e">
        <f>AND('Planilla_General_07-12-2012_8_3'!G1453,"AAAAAG2v7XM=")</f>
        <v>#VALUE!</v>
      </c>
      <c r="DM97" t="e">
        <f>AND('Planilla_General_07-12-2012_8_3'!H1453,"AAAAAG2v7XQ=")</f>
        <v>#VALUE!</v>
      </c>
      <c r="DN97" t="e">
        <f>AND('Planilla_General_07-12-2012_8_3'!I1453,"AAAAAG2v7XU=")</f>
        <v>#VALUE!</v>
      </c>
      <c r="DO97" t="e">
        <f>AND('Planilla_General_07-12-2012_8_3'!J1453,"AAAAAG2v7XY=")</f>
        <v>#VALUE!</v>
      </c>
      <c r="DP97" t="e">
        <f>AND('Planilla_General_07-12-2012_8_3'!K1453,"AAAAAG2v7Xc=")</f>
        <v>#VALUE!</v>
      </c>
      <c r="DQ97" t="e">
        <f>AND('Planilla_General_07-12-2012_8_3'!L1453,"AAAAAG2v7Xg=")</f>
        <v>#VALUE!</v>
      </c>
      <c r="DR97" t="e">
        <f>AND('Planilla_General_07-12-2012_8_3'!M1453,"AAAAAG2v7Xk=")</f>
        <v>#VALUE!</v>
      </c>
      <c r="DS97" t="e">
        <f>AND('Planilla_General_07-12-2012_8_3'!N1453,"AAAAAG2v7Xo=")</f>
        <v>#VALUE!</v>
      </c>
      <c r="DT97" t="e">
        <f>AND('Planilla_General_07-12-2012_8_3'!O1453,"AAAAAG2v7Xs=")</f>
        <v>#VALUE!</v>
      </c>
      <c r="DU97" t="e">
        <f>AND('Planilla_General_07-12-2012_8_3'!P1453,"AAAAAG2v7Xw=")</f>
        <v>#VALUE!</v>
      </c>
      <c r="DV97">
        <f>IF('Planilla_General_07-12-2012_8_3'!1454:1454,"AAAAAG2v7X0=",0)</f>
        <v>0</v>
      </c>
      <c r="DW97" t="e">
        <f>AND('Planilla_General_07-12-2012_8_3'!A1454,"AAAAAG2v7X4=")</f>
        <v>#VALUE!</v>
      </c>
      <c r="DX97" t="e">
        <f>AND('Planilla_General_07-12-2012_8_3'!B1454,"AAAAAG2v7X8=")</f>
        <v>#VALUE!</v>
      </c>
      <c r="DY97" t="e">
        <f>AND('Planilla_General_07-12-2012_8_3'!C1454,"AAAAAG2v7YA=")</f>
        <v>#VALUE!</v>
      </c>
      <c r="DZ97" t="e">
        <f>AND('Planilla_General_07-12-2012_8_3'!D1454,"AAAAAG2v7YE=")</f>
        <v>#VALUE!</v>
      </c>
      <c r="EA97" t="e">
        <f>AND('Planilla_General_07-12-2012_8_3'!E1454,"AAAAAG2v7YI=")</f>
        <v>#VALUE!</v>
      </c>
      <c r="EB97" t="e">
        <f>AND('Planilla_General_07-12-2012_8_3'!F1454,"AAAAAG2v7YM=")</f>
        <v>#VALUE!</v>
      </c>
      <c r="EC97" t="e">
        <f>AND('Planilla_General_07-12-2012_8_3'!G1454,"AAAAAG2v7YQ=")</f>
        <v>#VALUE!</v>
      </c>
      <c r="ED97" t="e">
        <f>AND('Planilla_General_07-12-2012_8_3'!H1454,"AAAAAG2v7YU=")</f>
        <v>#VALUE!</v>
      </c>
      <c r="EE97" t="e">
        <f>AND('Planilla_General_07-12-2012_8_3'!I1454,"AAAAAG2v7YY=")</f>
        <v>#VALUE!</v>
      </c>
      <c r="EF97" t="e">
        <f>AND('Planilla_General_07-12-2012_8_3'!J1454,"AAAAAG2v7Yc=")</f>
        <v>#VALUE!</v>
      </c>
      <c r="EG97" t="e">
        <f>AND('Planilla_General_07-12-2012_8_3'!K1454,"AAAAAG2v7Yg=")</f>
        <v>#VALUE!</v>
      </c>
      <c r="EH97" t="e">
        <f>AND('Planilla_General_07-12-2012_8_3'!L1454,"AAAAAG2v7Yk=")</f>
        <v>#VALUE!</v>
      </c>
      <c r="EI97" t="e">
        <f>AND('Planilla_General_07-12-2012_8_3'!M1454,"AAAAAG2v7Yo=")</f>
        <v>#VALUE!</v>
      </c>
      <c r="EJ97" t="e">
        <f>AND('Planilla_General_07-12-2012_8_3'!N1454,"AAAAAG2v7Ys=")</f>
        <v>#VALUE!</v>
      </c>
      <c r="EK97" t="e">
        <f>AND('Planilla_General_07-12-2012_8_3'!O1454,"AAAAAG2v7Yw=")</f>
        <v>#VALUE!</v>
      </c>
      <c r="EL97" t="e">
        <f>AND('Planilla_General_07-12-2012_8_3'!P1454,"AAAAAG2v7Y0=")</f>
        <v>#VALUE!</v>
      </c>
      <c r="EM97">
        <f>IF('Planilla_General_07-12-2012_8_3'!1455:1455,"AAAAAG2v7Y4=",0)</f>
        <v>0</v>
      </c>
      <c r="EN97" t="e">
        <f>AND('Planilla_General_07-12-2012_8_3'!A1455,"AAAAAG2v7Y8=")</f>
        <v>#VALUE!</v>
      </c>
      <c r="EO97" t="e">
        <f>AND('Planilla_General_07-12-2012_8_3'!B1455,"AAAAAG2v7ZA=")</f>
        <v>#VALUE!</v>
      </c>
      <c r="EP97" t="e">
        <f>AND('Planilla_General_07-12-2012_8_3'!C1455,"AAAAAG2v7ZE=")</f>
        <v>#VALUE!</v>
      </c>
      <c r="EQ97" t="e">
        <f>AND('Planilla_General_07-12-2012_8_3'!D1455,"AAAAAG2v7ZI=")</f>
        <v>#VALUE!</v>
      </c>
      <c r="ER97" t="e">
        <f>AND('Planilla_General_07-12-2012_8_3'!E1455,"AAAAAG2v7ZM=")</f>
        <v>#VALUE!</v>
      </c>
      <c r="ES97" t="e">
        <f>AND('Planilla_General_07-12-2012_8_3'!F1455,"AAAAAG2v7ZQ=")</f>
        <v>#VALUE!</v>
      </c>
      <c r="ET97" t="e">
        <f>AND('Planilla_General_07-12-2012_8_3'!G1455,"AAAAAG2v7ZU=")</f>
        <v>#VALUE!</v>
      </c>
      <c r="EU97" t="e">
        <f>AND('Planilla_General_07-12-2012_8_3'!H1455,"AAAAAG2v7ZY=")</f>
        <v>#VALUE!</v>
      </c>
      <c r="EV97" t="e">
        <f>AND('Planilla_General_07-12-2012_8_3'!I1455,"AAAAAG2v7Zc=")</f>
        <v>#VALUE!</v>
      </c>
      <c r="EW97" t="e">
        <f>AND('Planilla_General_07-12-2012_8_3'!J1455,"AAAAAG2v7Zg=")</f>
        <v>#VALUE!</v>
      </c>
      <c r="EX97" t="e">
        <f>AND('Planilla_General_07-12-2012_8_3'!K1455,"AAAAAG2v7Zk=")</f>
        <v>#VALUE!</v>
      </c>
      <c r="EY97" t="e">
        <f>AND('Planilla_General_07-12-2012_8_3'!L1455,"AAAAAG2v7Zo=")</f>
        <v>#VALUE!</v>
      </c>
      <c r="EZ97" t="e">
        <f>AND('Planilla_General_07-12-2012_8_3'!M1455,"AAAAAG2v7Zs=")</f>
        <v>#VALUE!</v>
      </c>
      <c r="FA97" t="e">
        <f>AND('Planilla_General_07-12-2012_8_3'!N1455,"AAAAAG2v7Zw=")</f>
        <v>#VALUE!</v>
      </c>
      <c r="FB97" t="e">
        <f>AND('Planilla_General_07-12-2012_8_3'!O1455,"AAAAAG2v7Z0=")</f>
        <v>#VALUE!</v>
      </c>
      <c r="FC97" t="e">
        <f>AND('Planilla_General_07-12-2012_8_3'!P1455,"AAAAAG2v7Z4=")</f>
        <v>#VALUE!</v>
      </c>
      <c r="FD97">
        <f>IF('Planilla_General_07-12-2012_8_3'!1456:1456,"AAAAAG2v7Z8=",0)</f>
        <v>0</v>
      </c>
      <c r="FE97" t="e">
        <f>AND('Planilla_General_07-12-2012_8_3'!A1456,"AAAAAG2v7aA=")</f>
        <v>#VALUE!</v>
      </c>
      <c r="FF97" t="e">
        <f>AND('Planilla_General_07-12-2012_8_3'!B1456,"AAAAAG2v7aE=")</f>
        <v>#VALUE!</v>
      </c>
      <c r="FG97" t="e">
        <f>AND('Planilla_General_07-12-2012_8_3'!C1456,"AAAAAG2v7aI=")</f>
        <v>#VALUE!</v>
      </c>
      <c r="FH97" t="e">
        <f>AND('Planilla_General_07-12-2012_8_3'!D1456,"AAAAAG2v7aM=")</f>
        <v>#VALUE!</v>
      </c>
      <c r="FI97" t="e">
        <f>AND('Planilla_General_07-12-2012_8_3'!E1456,"AAAAAG2v7aQ=")</f>
        <v>#VALUE!</v>
      </c>
      <c r="FJ97" t="e">
        <f>AND('Planilla_General_07-12-2012_8_3'!F1456,"AAAAAG2v7aU=")</f>
        <v>#VALUE!</v>
      </c>
      <c r="FK97" t="e">
        <f>AND('Planilla_General_07-12-2012_8_3'!G1456,"AAAAAG2v7aY=")</f>
        <v>#VALUE!</v>
      </c>
      <c r="FL97" t="e">
        <f>AND('Planilla_General_07-12-2012_8_3'!H1456,"AAAAAG2v7ac=")</f>
        <v>#VALUE!</v>
      </c>
      <c r="FM97" t="e">
        <f>AND('Planilla_General_07-12-2012_8_3'!I1456,"AAAAAG2v7ag=")</f>
        <v>#VALUE!</v>
      </c>
      <c r="FN97" t="e">
        <f>AND('Planilla_General_07-12-2012_8_3'!J1456,"AAAAAG2v7ak=")</f>
        <v>#VALUE!</v>
      </c>
      <c r="FO97" t="e">
        <f>AND('Planilla_General_07-12-2012_8_3'!K1456,"AAAAAG2v7ao=")</f>
        <v>#VALUE!</v>
      </c>
      <c r="FP97" t="e">
        <f>AND('Planilla_General_07-12-2012_8_3'!L1456,"AAAAAG2v7as=")</f>
        <v>#VALUE!</v>
      </c>
      <c r="FQ97" t="e">
        <f>AND('Planilla_General_07-12-2012_8_3'!M1456,"AAAAAG2v7aw=")</f>
        <v>#VALUE!</v>
      </c>
      <c r="FR97" t="e">
        <f>AND('Planilla_General_07-12-2012_8_3'!N1456,"AAAAAG2v7a0=")</f>
        <v>#VALUE!</v>
      </c>
      <c r="FS97" t="e">
        <f>AND('Planilla_General_07-12-2012_8_3'!O1456,"AAAAAG2v7a4=")</f>
        <v>#VALUE!</v>
      </c>
      <c r="FT97" t="e">
        <f>AND('Planilla_General_07-12-2012_8_3'!P1456,"AAAAAG2v7a8=")</f>
        <v>#VALUE!</v>
      </c>
      <c r="FU97">
        <f>IF('Planilla_General_07-12-2012_8_3'!1457:1457,"AAAAAG2v7bA=",0)</f>
        <v>0</v>
      </c>
      <c r="FV97" t="e">
        <f>AND('Planilla_General_07-12-2012_8_3'!A1457,"AAAAAG2v7bE=")</f>
        <v>#VALUE!</v>
      </c>
      <c r="FW97" t="e">
        <f>AND('Planilla_General_07-12-2012_8_3'!B1457,"AAAAAG2v7bI=")</f>
        <v>#VALUE!</v>
      </c>
      <c r="FX97" t="e">
        <f>AND('Planilla_General_07-12-2012_8_3'!C1457,"AAAAAG2v7bM=")</f>
        <v>#VALUE!</v>
      </c>
      <c r="FY97" t="e">
        <f>AND('Planilla_General_07-12-2012_8_3'!D1457,"AAAAAG2v7bQ=")</f>
        <v>#VALUE!</v>
      </c>
      <c r="FZ97" t="e">
        <f>AND('Planilla_General_07-12-2012_8_3'!E1457,"AAAAAG2v7bU=")</f>
        <v>#VALUE!</v>
      </c>
      <c r="GA97" t="e">
        <f>AND('Planilla_General_07-12-2012_8_3'!F1457,"AAAAAG2v7bY=")</f>
        <v>#VALUE!</v>
      </c>
      <c r="GB97" t="e">
        <f>AND('Planilla_General_07-12-2012_8_3'!G1457,"AAAAAG2v7bc=")</f>
        <v>#VALUE!</v>
      </c>
      <c r="GC97" t="e">
        <f>AND('Planilla_General_07-12-2012_8_3'!H1457,"AAAAAG2v7bg=")</f>
        <v>#VALUE!</v>
      </c>
      <c r="GD97" t="e">
        <f>AND('Planilla_General_07-12-2012_8_3'!I1457,"AAAAAG2v7bk=")</f>
        <v>#VALUE!</v>
      </c>
      <c r="GE97" t="e">
        <f>AND('Planilla_General_07-12-2012_8_3'!J1457,"AAAAAG2v7bo=")</f>
        <v>#VALUE!</v>
      </c>
      <c r="GF97" t="e">
        <f>AND('Planilla_General_07-12-2012_8_3'!K1457,"AAAAAG2v7bs=")</f>
        <v>#VALUE!</v>
      </c>
      <c r="GG97" t="e">
        <f>AND('Planilla_General_07-12-2012_8_3'!L1457,"AAAAAG2v7bw=")</f>
        <v>#VALUE!</v>
      </c>
      <c r="GH97" t="e">
        <f>AND('Planilla_General_07-12-2012_8_3'!M1457,"AAAAAG2v7b0=")</f>
        <v>#VALUE!</v>
      </c>
      <c r="GI97" t="e">
        <f>AND('Planilla_General_07-12-2012_8_3'!N1457,"AAAAAG2v7b4=")</f>
        <v>#VALUE!</v>
      </c>
      <c r="GJ97" t="e">
        <f>AND('Planilla_General_07-12-2012_8_3'!O1457,"AAAAAG2v7b8=")</f>
        <v>#VALUE!</v>
      </c>
      <c r="GK97" t="e">
        <f>AND('Planilla_General_07-12-2012_8_3'!P1457,"AAAAAG2v7cA=")</f>
        <v>#VALUE!</v>
      </c>
      <c r="GL97">
        <f>IF('Planilla_General_07-12-2012_8_3'!1458:1458,"AAAAAG2v7cE=",0)</f>
        <v>0</v>
      </c>
      <c r="GM97" t="e">
        <f>AND('Planilla_General_07-12-2012_8_3'!A1458,"AAAAAG2v7cI=")</f>
        <v>#VALUE!</v>
      </c>
      <c r="GN97" t="e">
        <f>AND('Planilla_General_07-12-2012_8_3'!B1458,"AAAAAG2v7cM=")</f>
        <v>#VALUE!</v>
      </c>
      <c r="GO97" t="e">
        <f>AND('Planilla_General_07-12-2012_8_3'!C1458,"AAAAAG2v7cQ=")</f>
        <v>#VALUE!</v>
      </c>
      <c r="GP97" t="e">
        <f>AND('Planilla_General_07-12-2012_8_3'!D1458,"AAAAAG2v7cU=")</f>
        <v>#VALUE!</v>
      </c>
      <c r="GQ97" t="e">
        <f>AND('Planilla_General_07-12-2012_8_3'!E1458,"AAAAAG2v7cY=")</f>
        <v>#VALUE!</v>
      </c>
      <c r="GR97" t="e">
        <f>AND('Planilla_General_07-12-2012_8_3'!F1458,"AAAAAG2v7cc=")</f>
        <v>#VALUE!</v>
      </c>
      <c r="GS97" t="e">
        <f>AND('Planilla_General_07-12-2012_8_3'!G1458,"AAAAAG2v7cg=")</f>
        <v>#VALUE!</v>
      </c>
      <c r="GT97" t="e">
        <f>AND('Planilla_General_07-12-2012_8_3'!H1458,"AAAAAG2v7ck=")</f>
        <v>#VALUE!</v>
      </c>
      <c r="GU97" t="e">
        <f>AND('Planilla_General_07-12-2012_8_3'!I1458,"AAAAAG2v7co=")</f>
        <v>#VALUE!</v>
      </c>
      <c r="GV97" t="e">
        <f>AND('Planilla_General_07-12-2012_8_3'!J1458,"AAAAAG2v7cs=")</f>
        <v>#VALUE!</v>
      </c>
      <c r="GW97" t="e">
        <f>AND('Planilla_General_07-12-2012_8_3'!K1458,"AAAAAG2v7cw=")</f>
        <v>#VALUE!</v>
      </c>
      <c r="GX97" t="e">
        <f>AND('Planilla_General_07-12-2012_8_3'!L1458,"AAAAAG2v7c0=")</f>
        <v>#VALUE!</v>
      </c>
      <c r="GY97" t="e">
        <f>AND('Planilla_General_07-12-2012_8_3'!M1458,"AAAAAG2v7c4=")</f>
        <v>#VALUE!</v>
      </c>
      <c r="GZ97" t="e">
        <f>AND('Planilla_General_07-12-2012_8_3'!N1458,"AAAAAG2v7c8=")</f>
        <v>#VALUE!</v>
      </c>
      <c r="HA97" t="e">
        <f>AND('Planilla_General_07-12-2012_8_3'!O1458,"AAAAAG2v7dA=")</f>
        <v>#VALUE!</v>
      </c>
      <c r="HB97" t="e">
        <f>AND('Planilla_General_07-12-2012_8_3'!P1458,"AAAAAG2v7dE=")</f>
        <v>#VALUE!</v>
      </c>
      <c r="HC97">
        <f>IF('Planilla_General_07-12-2012_8_3'!1459:1459,"AAAAAG2v7dI=",0)</f>
        <v>0</v>
      </c>
      <c r="HD97" t="e">
        <f>AND('Planilla_General_07-12-2012_8_3'!A1459,"AAAAAG2v7dM=")</f>
        <v>#VALUE!</v>
      </c>
      <c r="HE97" t="e">
        <f>AND('Planilla_General_07-12-2012_8_3'!B1459,"AAAAAG2v7dQ=")</f>
        <v>#VALUE!</v>
      </c>
      <c r="HF97" t="e">
        <f>AND('Planilla_General_07-12-2012_8_3'!C1459,"AAAAAG2v7dU=")</f>
        <v>#VALUE!</v>
      </c>
      <c r="HG97" t="e">
        <f>AND('Planilla_General_07-12-2012_8_3'!D1459,"AAAAAG2v7dY=")</f>
        <v>#VALUE!</v>
      </c>
      <c r="HH97" t="e">
        <f>AND('Planilla_General_07-12-2012_8_3'!E1459,"AAAAAG2v7dc=")</f>
        <v>#VALUE!</v>
      </c>
      <c r="HI97" t="e">
        <f>AND('Planilla_General_07-12-2012_8_3'!F1459,"AAAAAG2v7dg=")</f>
        <v>#VALUE!</v>
      </c>
      <c r="HJ97" t="e">
        <f>AND('Planilla_General_07-12-2012_8_3'!G1459,"AAAAAG2v7dk=")</f>
        <v>#VALUE!</v>
      </c>
      <c r="HK97" t="e">
        <f>AND('Planilla_General_07-12-2012_8_3'!H1459,"AAAAAG2v7do=")</f>
        <v>#VALUE!</v>
      </c>
      <c r="HL97" t="e">
        <f>AND('Planilla_General_07-12-2012_8_3'!I1459,"AAAAAG2v7ds=")</f>
        <v>#VALUE!</v>
      </c>
      <c r="HM97" t="e">
        <f>AND('Planilla_General_07-12-2012_8_3'!J1459,"AAAAAG2v7dw=")</f>
        <v>#VALUE!</v>
      </c>
      <c r="HN97" t="e">
        <f>AND('Planilla_General_07-12-2012_8_3'!K1459,"AAAAAG2v7d0=")</f>
        <v>#VALUE!</v>
      </c>
      <c r="HO97" t="e">
        <f>AND('Planilla_General_07-12-2012_8_3'!L1459,"AAAAAG2v7d4=")</f>
        <v>#VALUE!</v>
      </c>
      <c r="HP97" t="e">
        <f>AND('Planilla_General_07-12-2012_8_3'!M1459,"AAAAAG2v7d8=")</f>
        <v>#VALUE!</v>
      </c>
      <c r="HQ97" t="e">
        <f>AND('Planilla_General_07-12-2012_8_3'!N1459,"AAAAAG2v7eA=")</f>
        <v>#VALUE!</v>
      </c>
      <c r="HR97" t="e">
        <f>AND('Planilla_General_07-12-2012_8_3'!O1459,"AAAAAG2v7eE=")</f>
        <v>#VALUE!</v>
      </c>
      <c r="HS97" t="e">
        <f>AND('Planilla_General_07-12-2012_8_3'!P1459,"AAAAAG2v7eI=")</f>
        <v>#VALUE!</v>
      </c>
      <c r="HT97">
        <f>IF('Planilla_General_07-12-2012_8_3'!1460:1460,"AAAAAG2v7eM=",0)</f>
        <v>0</v>
      </c>
      <c r="HU97" t="e">
        <f>AND('Planilla_General_07-12-2012_8_3'!A1460,"AAAAAG2v7eQ=")</f>
        <v>#VALUE!</v>
      </c>
      <c r="HV97" t="e">
        <f>AND('Planilla_General_07-12-2012_8_3'!B1460,"AAAAAG2v7eU=")</f>
        <v>#VALUE!</v>
      </c>
      <c r="HW97" t="e">
        <f>AND('Planilla_General_07-12-2012_8_3'!C1460,"AAAAAG2v7eY=")</f>
        <v>#VALUE!</v>
      </c>
      <c r="HX97" t="e">
        <f>AND('Planilla_General_07-12-2012_8_3'!D1460,"AAAAAG2v7ec=")</f>
        <v>#VALUE!</v>
      </c>
      <c r="HY97" t="e">
        <f>AND('Planilla_General_07-12-2012_8_3'!E1460,"AAAAAG2v7eg=")</f>
        <v>#VALUE!</v>
      </c>
      <c r="HZ97" t="e">
        <f>AND('Planilla_General_07-12-2012_8_3'!F1460,"AAAAAG2v7ek=")</f>
        <v>#VALUE!</v>
      </c>
      <c r="IA97" t="e">
        <f>AND('Planilla_General_07-12-2012_8_3'!G1460,"AAAAAG2v7eo=")</f>
        <v>#VALUE!</v>
      </c>
      <c r="IB97" t="e">
        <f>AND('Planilla_General_07-12-2012_8_3'!H1460,"AAAAAG2v7es=")</f>
        <v>#VALUE!</v>
      </c>
      <c r="IC97" t="e">
        <f>AND('Planilla_General_07-12-2012_8_3'!I1460,"AAAAAG2v7ew=")</f>
        <v>#VALUE!</v>
      </c>
      <c r="ID97" t="e">
        <f>AND('Planilla_General_07-12-2012_8_3'!J1460,"AAAAAG2v7e0=")</f>
        <v>#VALUE!</v>
      </c>
      <c r="IE97" t="e">
        <f>AND('Planilla_General_07-12-2012_8_3'!K1460,"AAAAAG2v7e4=")</f>
        <v>#VALUE!</v>
      </c>
      <c r="IF97" t="e">
        <f>AND('Planilla_General_07-12-2012_8_3'!L1460,"AAAAAG2v7e8=")</f>
        <v>#VALUE!</v>
      </c>
      <c r="IG97" t="e">
        <f>AND('Planilla_General_07-12-2012_8_3'!M1460,"AAAAAG2v7fA=")</f>
        <v>#VALUE!</v>
      </c>
      <c r="IH97" t="e">
        <f>AND('Planilla_General_07-12-2012_8_3'!N1460,"AAAAAG2v7fE=")</f>
        <v>#VALUE!</v>
      </c>
      <c r="II97" t="e">
        <f>AND('Planilla_General_07-12-2012_8_3'!O1460,"AAAAAG2v7fI=")</f>
        <v>#VALUE!</v>
      </c>
      <c r="IJ97" t="e">
        <f>AND('Planilla_General_07-12-2012_8_3'!P1460,"AAAAAG2v7fM=")</f>
        <v>#VALUE!</v>
      </c>
      <c r="IK97">
        <f>IF('Planilla_General_07-12-2012_8_3'!1461:1461,"AAAAAG2v7fQ=",0)</f>
        <v>0</v>
      </c>
      <c r="IL97" t="e">
        <f>AND('Planilla_General_07-12-2012_8_3'!A1461,"AAAAAG2v7fU=")</f>
        <v>#VALUE!</v>
      </c>
      <c r="IM97" t="e">
        <f>AND('Planilla_General_07-12-2012_8_3'!B1461,"AAAAAG2v7fY=")</f>
        <v>#VALUE!</v>
      </c>
      <c r="IN97" t="e">
        <f>AND('Planilla_General_07-12-2012_8_3'!C1461,"AAAAAG2v7fc=")</f>
        <v>#VALUE!</v>
      </c>
      <c r="IO97" t="e">
        <f>AND('Planilla_General_07-12-2012_8_3'!D1461,"AAAAAG2v7fg=")</f>
        <v>#VALUE!</v>
      </c>
      <c r="IP97" t="e">
        <f>AND('Planilla_General_07-12-2012_8_3'!E1461,"AAAAAG2v7fk=")</f>
        <v>#VALUE!</v>
      </c>
      <c r="IQ97" t="e">
        <f>AND('Planilla_General_07-12-2012_8_3'!F1461,"AAAAAG2v7fo=")</f>
        <v>#VALUE!</v>
      </c>
      <c r="IR97" t="e">
        <f>AND('Planilla_General_07-12-2012_8_3'!G1461,"AAAAAG2v7fs=")</f>
        <v>#VALUE!</v>
      </c>
      <c r="IS97" t="e">
        <f>AND('Planilla_General_07-12-2012_8_3'!H1461,"AAAAAG2v7fw=")</f>
        <v>#VALUE!</v>
      </c>
      <c r="IT97" t="e">
        <f>AND('Planilla_General_07-12-2012_8_3'!I1461,"AAAAAG2v7f0=")</f>
        <v>#VALUE!</v>
      </c>
      <c r="IU97" t="e">
        <f>AND('Planilla_General_07-12-2012_8_3'!J1461,"AAAAAG2v7f4=")</f>
        <v>#VALUE!</v>
      </c>
      <c r="IV97" t="e">
        <f>AND('Planilla_General_07-12-2012_8_3'!K1461,"AAAAAG2v7f8=")</f>
        <v>#VALUE!</v>
      </c>
    </row>
    <row r="98" spans="1:256" x14ac:dyDescent="0.25">
      <c r="A98" t="e">
        <f>AND('Planilla_General_07-12-2012_8_3'!L1461,"AAAAAFf69AA=")</f>
        <v>#VALUE!</v>
      </c>
      <c r="B98" t="e">
        <f>AND('Planilla_General_07-12-2012_8_3'!M1461,"AAAAAFf69AE=")</f>
        <v>#VALUE!</v>
      </c>
      <c r="C98" t="e">
        <f>AND('Planilla_General_07-12-2012_8_3'!N1461,"AAAAAFf69AI=")</f>
        <v>#VALUE!</v>
      </c>
      <c r="D98" t="e">
        <f>AND('Planilla_General_07-12-2012_8_3'!O1461,"AAAAAFf69AM=")</f>
        <v>#VALUE!</v>
      </c>
      <c r="E98" t="e">
        <f>AND('Planilla_General_07-12-2012_8_3'!P1461,"AAAAAFf69AQ=")</f>
        <v>#VALUE!</v>
      </c>
      <c r="F98" t="e">
        <f>IF('Planilla_General_07-12-2012_8_3'!1462:1462,"AAAAAFf69AU=",0)</f>
        <v>#VALUE!</v>
      </c>
      <c r="G98" t="e">
        <f>AND('Planilla_General_07-12-2012_8_3'!A1462,"AAAAAFf69AY=")</f>
        <v>#VALUE!</v>
      </c>
      <c r="H98" t="e">
        <f>AND('Planilla_General_07-12-2012_8_3'!B1462,"AAAAAFf69Ac=")</f>
        <v>#VALUE!</v>
      </c>
      <c r="I98" t="e">
        <f>AND('Planilla_General_07-12-2012_8_3'!C1462,"AAAAAFf69Ag=")</f>
        <v>#VALUE!</v>
      </c>
      <c r="J98" t="e">
        <f>AND('Planilla_General_07-12-2012_8_3'!D1462,"AAAAAFf69Ak=")</f>
        <v>#VALUE!</v>
      </c>
      <c r="K98" t="e">
        <f>AND('Planilla_General_07-12-2012_8_3'!E1462,"AAAAAFf69Ao=")</f>
        <v>#VALUE!</v>
      </c>
      <c r="L98" t="e">
        <f>AND('Planilla_General_07-12-2012_8_3'!F1462,"AAAAAFf69As=")</f>
        <v>#VALUE!</v>
      </c>
      <c r="M98" t="e">
        <f>AND('Planilla_General_07-12-2012_8_3'!G1462,"AAAAAFf69Aw=")</f>
        <v>#VALUE!</v>
      </c>
      <c r="N98" t="e">
        <f>AND('Planilla_General_07-12-2012_8_3'!H1462,"AAAAAFf69A0=")</f>
        <v>#VALUE!</v>
      </c>
      <c r="O98" t="e">
        <f>AND('Planilla_General_07-12-2012_8_3'!I1462,"AAAAAFf69A4=")</f>
        <v>#VALUE!</v>
      </c>
      <c r="P98" t="e">
        <f>AND('Planilla_General_07-12-2012_8_3'!J1462,"AAAAAFf69A8=")</f>
        <v>#VALUE!</v>
      </c>
      <c r="Q98" t="e">
        <f>AND('Planilla_General_07-12-2012_8_3'!K1462,"AAAAAFf69BA=")</f>
        <v>#VALUE!</v>
      </c>
      <c r="R98" t="e">
        <f>AND('Planilla_General_07-12-2012_8_3'!L1462,"AAAAAFf69BE=")</f>
        <v>#VALUE!</v>
      </c>
      <c r="S98" t="e">
        <f>AND('Planilla_General_07-12-2012_8_3'!M1462,"AAAAAFf69BI=")</f>
        <v>#VALUE!</v>
      </c>
      <c r="T98" t="e">
        <f>AND('Planilla_General_07-12-2012_8_3'!N1462,"AAAAAFf69BM=")</f>
        <v>#VALUE!</v>
      </c>
      <c r="U98" t="e">
        <f>AND('Planilla_General_07-12-2012_8_3'!O1462,"AAAAAFf69BQ=")</f>
        <v>#VALUE!</v>
      </c>
      <c r="V98" t="e">
        <f>AND('Planilla_General_07-12-2012_8_3'!P1462,"AAAAAFf69BU=")</f>
        <v>#VALUE!</v>
      </c>
      <c r="W98">
        <f>IF('Planilla_General_07-12-2012_8_3'!1463:1463,"AAAAAFf69BY=",0)</f>
        <v>0</v>
      </c>
      <c r="X98" t="e">
        <f>AND('Planilla_General_07-12-2012_8_3'!A1463,"AAAAAFf69Bc=")</f>
        <v>#VALUE!</v>
      </c>
      <c r="Y98" t="e">
        <f>AND('Planilla_General_07-12-2012_8_3'!B1463,"AAAAAFf69Bg=")</f>
        <v>#VALUE!</v>
      </c>
      <c r="Z98" t="e">
        <f>AND('Planilla_General_07-12-2012_8_3'!C1463,"AAAAAFf69Bk=")</f>
        <v>#VALUE!</v>
      </c>
      <c r="AA98" t="e">
        <f>AND('Planilla_General_07-12-2012_8_3'!D1463,"AAAAAFf69Bo=")</f>
        <v>#VALUE!</v>
      </c>
      <c r="AB98" t="e">
        <f>AND('Planilla_General_07-12-2012_8_3'!E1463,"AAAAAFf69Bs=")</f>
        <v>#VALUE!</v>
      </c>
      <c r="AC98" t="e">
        <f>AND('Planilla_General_07-12-2012_8_3'!F1463,"AAAAAFf69Bw=")</f>
        <v>#VALUE!</v>
      </c>
      <c r="AD98" t="e">
        <f>AND('Planilla_General_07-12-2012_8_3'!G1463,"AAAAAFf69B0=")</f>
        <v>#VALUE!</v>
      </c>
      <c r="AE98" t="e">
        <f>AND('Planilla_General_07-12-2012_8_3'!H1463,"AAAAAFf69B4=")</f>
        <v>#VALUE!</v>
      </c>
      <c r="AF98" t="e">
        <f>AND('Planilla_General_07-12-2012_8_3'!I1463,"AAAAAFf69B8=")</f>
        <v>#VALUE!</v>
      </c>
      <c r="AG98" t="e">
        <f>AND('Planilla_General_07-12-2012_8_3'!J1463,"AAAAAFf69CA=")</f>
        <v>#VALUE!</v>
      </c>
      <c r="AH98" t="e">
        <f>AND('Planilla_General_07-12-2012_8_3'!K1463,"AAAAAFf69CE=")</f>
        <v>#VALUE!</v>
      </c>
      <c r="AI98" t="e">
        <f>AND('Planilla_General_07-12-2012_8_3'!L1463,"AAAAAFf69CI=")</f>
        <v>#VALUE!</v>
      </c>
      <c r="AJ98" t="e">
        <f>AND('Planilla_General_07-12-2012_8_3'!M1463,"AAAAAFf69CM=")</f>
        <v>#VALUE!</v>
      </c>
      <c r="AK98" t="e">
        <f>AND('Planilla_General_07-12-2012_8_3'!N1463,"AAAAAFf69CQ=")</f>
        <v>#VALUE!</v>
      </c>
      <c r="AL98" t="e">
        <f>AND('Planilla_General_07-12-2012_8_3'!O1463,"AAAAAFf69CU=")</f>
        <v>#VALUE!</v>
      </c>
      <c r="AM98" t="e">
        <f>AND('Planilla_General_07-12-2012_8_3'!P1463,"AAAAAFf69CY=")</f>
        <v>#VALUE!</v>
      </c>
      <c r="AN98">
        <f>IF('Planilla_General_07-12-2012_8_3'!1464:1464,"AAAAAFf69Cc=",0)</f>
        <v>0</v>
      </c>
      <c r="AO98" t="e">
        <f>AND('Planilla_General_07-12-2012_8_3'!A1464,"AAAAAFf69Cg=")</f>
        <v>#VALUE!</v>
      </c>
      <c r="AP98" t="e">
        <f>AND('Planilla_General_07-12-2012_8_3'!B1464,"AAAAAFf69Ck=")</f>
        <v>#VALUE!</v>
      </c>
      <c r="AQ98" t="e">
        <f>AND('Planilla_General_07-12-2012_8_3'!C1464,"AAAAAFf69Co=")</f>
        <v>#VALUE!</v>
      </c>
      <c r="AR98" t="e">
        <f>AND('Planilla_General_07-12-2012_8_3'!D1464,"AAAAAFf69Cs=")</f>
        <v>#VALUE!</v>
      </c>
      <c r="AS98" t="e">
        <f>AND('Planilla_General_07-12-2012_8_3'!E1464,"AAAAAFf69Cw=")</f>
        <v>#VALUE!</v>
      </c>
      <c r="AT98" t="e">
        <f>AND('Planilla_General_07-12-2012_8_3'!F1464,"AAAAAFf69C0=")</f>
        <v>#VALUE!</v>
      </c>
      <c r="AU98" t="e">
        <f>AND('Planilla_General_07-12-2012_8_3'!G1464,"AAAAAFf69C4=")</f>
        <v>#VALUE!</v>
      </c>
      <c r="AV98" t="e">
        <f>AND('Planilla_General_07-12-2012_8_3'!H1464,"AAAAAFf69C8=")</f>
        <v>#VALUE!</v>
      </c>
      <c r="AW98" t="e">
        <f>AND('Planilla_General_07-12-2012_8_3'!I1464,"AAAAAFf69DA=")</f>
        <v>#VALUE!</v>
      </c>
      <c r="AX98" t="e">
        <f>AND('Planilla_General_07-12-2012_8_3'!J1464,"AAAAAFf69DE=")</f>
        <v>#VALUE!</v>
      </c>
      <c r="AY98" t="e">
        <f>AND('Planilla_General_07-12-2012_8_3'!K1464,"AAAAAFf69DI=")</f>
        <v>#VALUE!</v>
      </c>
      <c r="AZ98" t="e">
        <f>AND('Planilla_General_07-12-2012_8_3'!L1464,"AAAAAFf69DM=")</f>
        <v>#VALUE!</v>
      </c>
      <c r="BA98" t="e">
        <f>AND('Planilla_General_07-12-2012_8_3'!M1464,"AAAAAFf69DQ=")</f>
        <v>#VALUE!</v>
      </c>
      <c r="BB98" t="e">
        <f>AND('Planilla_General_07-12-2012_8_3'!N1464,"AAAAAFf69DU=")</f>
        <v>#VALUE!</v>
      </c>
      <c r="BC98" t="e">
        <f>AND('Planilla_General_07-12-2012_8_3'!O1464,"AAAAAFf69DY=")</f>
        <v>#VALUE!</v>
      </c>
      <c r="BD98" t="e">
        <f>AND('Planilla_General_07-12-2012_8_3'!P1464,"AAAAAFf69Dc=")</f>
        <v>#VALUE!</v>
      </c>
      <c r="BE98">
        <f>IF('Planilla_General_07-12-2012_8_3'!1465:1465,"AAAAAFf69Dg=",0)</f>
        <v>0</v>
      </c>
      <c r="BF98" t="e">
        <f>AND('Planilla_General_07-12-2012_8_3'!A1465,"AAAAAFf69Dk=")</f>
        <v>#VALUE!</v>
      </c>
      <c r="BG98" t="e">
        <f>AND('Planilla_General_07-12-2012_8_3'!B1465,"AAAAAFf69Do=")</f>
        <v>#VALUE!</v>
      </c>
      <c r="BH98" t="e">
        <f>AND('Planilla_General_07-12-2012_8_3'!C1465,"AAAAAFf69Ds=")</f>
        <v>#VALUE!</v>
      </c>
      <c r="BI98" t="e">
        <f>AND('Planilla_General_07-12-2012_8_3'!D1465,"AAAAAFf69Dw=")</f>
        <v>#VALUE!</v>
      </c>
      <c r="BJ98" t="e">
        <f>AND('Planilla_General_07-12-2012_8_3'!E1465,"AAAAAFf69D0=")</f>
        <v>#VALUE!</v>
      </c>
      <c r="BK98" t="e">
        <f>AND('Planilla_General_07-12-2012_8_3'!F1465,"AAAAAFf69D4=")</f>
        <v>#VALUE!</v>
      </c>
      <c r="BL98" t="e">
        <f>AND('Planilla_General_07-12-2012_8_3'!G1465,"AAAAAFf69D8=")</f>
        <v>#VALUE!</v>
      </c>
      <c r="BM98" t="e">
        <f>AND('Planilla_General_07-12-2012_8_3'!H1465,"AAAAAFf69EA=")</f>
        <v>#VALUE!</v>
      </c>
      <c r="BN98" t="e">
        <f>AND('Planilla_General_07-12-2012_8_3'!I1465,"AAAAAFf69EE=")</f>
        <v>#VALUE!</v>
      </c>
      <c r="BO98" t="e">
        <f>AND('Planilla_General_07-12-2012_8_3'!J1465,"AAAAAFf69EI=")</f>
        <v>#VALUE!</v>
      </c>
      <c r="BP98" t="e">
        <f>AND('Planilla_General_07-12-2012_8_3'!K1465,"AAAAAFf69EM=")</f>
        <v>#VALUE!</v>
      </c>
      <c r="BQ98" t="e">
        <f>AND('Planilla_General_07-12-2012_8_3'!L1465,"AAAAAFf69EQ=")</f>
        <v>#VALUE!</v>
      </c>
      <c r="BR98" t="e">
        <f>AND('Planilla_General_07-12-2012_8_3'!M1465,"AAAAAFf69EU=")</f>
        <v>#VALUE!</v>
      </c>
      <c r="BS98" t="e">
        <f>AND('Planilla_General_07-12-2012_8_3'!N1465,"AAAAAFf69EY=")</f>
        <v>#VALUE!</v>
      </c>
      <c r="BT98" t="e">
        <f>AND('Planilla_General_07-12-2012_8_3'!O1465,"AAAAAFf69Ec=")</f>
        <v>#VALUE!</v>
      </c>
      <c r="BU98" t="e">
        <f>AND('Planilla_General_07-12-2012_8_3'!P1465,"AAAAAFf69Eg=")</f>
        <v>#VALUE!</v>
      </c>
      <c r="BV98">
        <f>IF('Planilla_General_07-12-2012_8_3'!1466:1466,"AAAAAFf69Ek=",0)</f>
        <v>0</v>
      </c>
      <c r="BW98" t="e">
        <f>AND('Planilla_General_07-12-2012_8_3'!A1466,"AAAAAFf69Eo=")</f>
        <v>#VALUE!</v>
      </c>
      <c r="BX98" t="e">
        <f>AND('Planilla_General_07-12-2012_8_3'!B1466,"AAAAAFf69Es=")</f>
        <v>#VALUE!</v>
      </c>
      <c r="BY98" t="e">
        <f>AND('Planilla_General_07-12-2012_8_3'!C1466,"AAAAAFf69Ew=")</f>
        <v>#VALUE!</v>
      </c>
      <c r="BZ98" t="e">
        <f>AND('Planilla_General_07-12-2012_8_3'!D1466,"AAAAAFf69E0=")</f>
        <v>#VALUE!</v>
      </c>
      <c r="CA98" t="e">
        <f>AND('Planilla_General_07-12-2012_8_3'!E1466,"AAAAAFf69E4=")</f>
        <v>#VALUE!</v>
      </c>
      <c r="CB98" t="e">
        <f>AND('Planilla_General_07-12-2012_8_3'!F1466,"AAAAAFf69E8=")</f>
        <v>#VALUE!</v>
      </c>
      <c r="CC98" t="e">
        <f>AND('Planilla_General_07-12-2012_8_3'!G1466,"AAAAAFf69FA=")</f>
        <v>#VALUE!</v>
      </c>
      <c r="CD98" t="e">
        <f>AND('Planilla_General_07-12-2012_8_3'!H1466,"AAAAAFf69FE=")</f>
        <v>#VALUE!</v>
      </c>
      <c r="CE98" t="e">
        <f>AND('Planilla_General_07-12-2012_8_3'!I1466,"AAAAAFf69FI=")</f>
        <v>#VALUE!</v>
      </c>
      <c r="CF98" t="e">
        <f>AND('Planilla_General_07-12-2012_8_3'!J1466,"AAAAAFf69FM=")</f>
        <v>#VALUE!</v>
      </c>
      <c r="CG98" t="e">
        <f>AND('Planilla_General_07-12-2012_8_3'!K1466,"AAAAAFf69FQ=")</f>
        <v>#VALUE!</v>
      </c>
      <c r="CH98" t="e">
        <f>AND('Planilla_General_07-12-2012_8_3'!L1466,"AAAAAFf69FU=")</f>
        <v>#VALUE!</v>
      </c>
      <c r="CI98" t="e">
        <f>AND('Planilla_General_07-12-2012_8_3'!M1466,"AAAAAFf69FY=")</f>
        <v>#VALUE!</v>
      </c>
      <c r="CJ98" t="e">
        <f>AND('Planilla_General_07-12-2012_8_3'!N1466,"AAAAAFf69Fc=")</f>
        <v>#VALUE!</v>
      </c>
      <c r="CK98" t="e">
        <f>AND('Planilla_General_07-12-2012_8_3'!O1466,"AAAAAFf69Fg=")</f>
        <v>#VALUE!</v>
      </c>
      <c r="CL98" t="e">
        <f>AND('Planilla_General_07-12-2012_8_3'!P1466,"AAAAAFf69Fk=")</f>
        <v>#VALUE!</v>
      </c>
      <c r="CM98">
        <f>IF('Planilla_General_07-12-2012_8_3'!1467:1467,"AAAAAFf69Fo=",0)</f>
        <v>0</v>
      </c>
      <c r="CN98" t="e">
        <f>AND('Planilla_General_07-12-2012_8_3'!A1467,"AAAAAFf69Fs=")</f>
        <v>#VALUE!</v>
      </c>
      <c r="CO98" t="e">
        <f>AND('Planilla_General_07-12-2012_8_3'!B1467,"AAAAAFf69Fw=")</f>
        <v>#VALUE!</v>
      </c>
      <c r="CP98" t="e">
        <f>AND('Planilla_General_07-12-2012_8_3'!C1467,"AAAAAFf69F0=")</f>
        <v>#VALUE!</v>
      </c>
      <c r="CQ98" t="e">
        <f>AND('Planilla_General_07-12-2012_8_3'!D1467,"AAAAAFf69F4=")</f>
        <v>#VALUE!</v>
      </c>
      <c r="CR98" t="e">
        <f>AND('Planilla_General_07-12-2012_8_3'!E1467,"AAAAAFf69F8=")</f>
        <v>#VALUE!</v>
      </c>
      <c r="CS98" t="e">
        <f>AND('Planilla_General_07-12-2012_8_3'!F1467,"AAAAAFf69GA=")</f>
        <v>#VALUE!</v>
      </c>
      <c r="CT98" t="e">
        <f>AND('Planilla_General_07-12-2012_8_3'!G1467,"AAAAAFf69GE=")</f>
        <v>#VALUE!</v>
      </c>
      <c r="CU98" t="e">
        <f>AND('Planilla_General_07-12-2012_8_3'!H1467,"AAAAAFf69GI=")</f>
        <v>#VALUE!</v>
      </c>
      <c r="CV98" t="e">
        <f>AND('Planilla_General_07-12-2012_8_3'!I1467,"AAAAAFf69GM=")</f>
        <v>#VALUE!</v>
      </c>
      <c r="CW98" t="e">
        <f>AND('Planilla_General_07-12-2012_8_3'!J1467,"AAAAAFf69GQ=")</f>
        <v>#VALUE!</v>
      </c>
      <c r="CX98" t="e">
        <f>AND('Planilla_General_07-12-2012_8_3'!K1467,"AAAAAFf69GU=")</f>
        <v>#VALUE!</v>
      </c>
      <c r="CY98" t="e">
        <f>AND('Planilla_General_07-12-2012_8_3'!L1467,"AAAAAFf69GY=")</f>
        <v>#VALUE!</v>
      </c>
      <c r="CZ98" t="e">
        <f>AND('Planilla_General_07-12-2012_8_3'!M1467,"AAAAAFf69Gc=")</f>
        <v>#VALUE!</v>
      </c>
      <c r="DA98" t="e">
        <f>AND('Planilla_General_07-12-2012_8_3'!N1467,"AAAAAFf69Gg=")</f>
        <v>#VALUE!</v>
      </c>
      <c r="DB98" t="e">
        <f>AND('Planilla_General_07-12-2012_8_3'!O1467,"AAAAAFf69Gk=")</f>
        <v>#VALUE!</v>
      </c>
      <c r="DC98" t="e">
        <f>AND('Planilla_General_07-12-2012_8_3'!P1467,"AAAAAFf69Go=")</f>
        <v>#VALUE!</v>
      </c>
      <c r="DD98">
        <f>IF('Planilla_General_07-12-2012_8_3'!1468:1468,"AAAAAFf69Gs=",0)</f>
        <v>0</v>
      </c>
      <c r="DE98" t="e">
        <f>AND('Planilla_General_07-12-2012_8_3'!A1468,"AAAAAFf69Gw=")</f>
        <v>#VALUE!</v>
      </c>
      <c r="DF98" t="e">
        <f>AND('Planilla_General_07-12-2012_8_3'!B1468,"AAAAAFf69G0=")</f>
        <v>#VALUE!</v>
      </c>
      <c r="DG98" t="e">
        <f>AND('Planilla_General_07-12-2012_8_3'!C1468,"AAAAAFf69G4=")</f>
        <v>#VALUE!</v>
      </c>
      <c r="DH98" t="e">
        <f>AND('Planilla_General_07-12-2012_8_3'!D1468,"AAAAAFf69G8=")</f>
        <v>#VALUE!</v>
      </c>
      <c r="DI98" t="e">
        <f>AND('Planilla_General_07-12-2012_8_3'!E1468,"AAAAAFf69HA=")</f>
        <v>#VALUE!</v>
      </c>
      <c r="DJ98" t="e">
        <f>AND('Planilla_General_07-12-2012_8_3'!F1468,"AAAAAFf69HE=")</f>
        <v>#VALUE!</v>
      </c>
      <c r="DK98" t="e">
        <f>AND('Planilla_General_07-12-2012_8_3'!G1468,"AAAAAFf69HI=")</f>
        <v>#VALUE!</v>
      </c>
      <c r="DL98" t="e">
        <f>AND('Planilla_General_07-12-2012_8_3'!H1468,"AAAAAFf69HM=")</f>
        <v>#VALUE!</v>
      </c>
      <c r="DM98" t="e">
        <f>AND('Planilla_General_07-12-2012_8_3'!I1468,"AAAAAFf69HQ=")</f>
        <v>#VALUE!</v>
      </c>
      <c r="DN98" t="e">
        <f>AND('Planilla_General_07-12-2012_8_3'!J1468,"AAAAAFf69HU=")</f>
        <v>#VALUE!</v>
      </c>
      <c r="DO98" t="e">
        <f>AND('Planilla_General_07-12-2012_8_3'!K1468,"AAAAAFf69HY=")</f>
        <v>#VALUE!</v>
      </c>
      <c r="DP98" t="e">
        <f>AND('Planilla_General_07-12-2012_8_3'!L1468,"AAAAAFf69Hc=")</f>
        <v>#VALUE!</v>
      </c>
      <c r="DQ98" t="e">
        <f>AND('Planilla_General_07-12-2012_8_3'!M1468,"AAAAAFf69Hg=")</f>
        <v>#VALUE!</v>
      </c>
      <c r="DR98" t="e">
        <f>AND('Planilla_General_07-12-2012_8_3'!N1468,"AAAAAFf69Hk=")</f>
        <v>#VALUE!</v>
      </c>
      <c r="DS98" t="e">
        <f>AND('Planilla_General_07-12-2012_8_3'!O1468,"AAAAAFf69Ho=")</f>
        <v>#VALUE!</v>
      </c>
      <c r="DT98" t="e">
        <f>AND('Planilla_General_07-12-2012_8_3'!P1468,"AAAAAFf69Hs=")</f>
        <v>#VALUE!</v>
      </c>
      <c r="DU98">
        <f>IF('Planilla_General_07-12-2012_8_3'!1469:1469,"AAAAAFf69Hw=",0)</f>
        <v>0</v>
      </c>
      <c r="DV98" t="e">
        <f>AND('Planilla_General_07-12-2012_8_3'!A1469,"AAAAAFf69H0=")</f>
        <v>#VALUE!</v>
      </c>
      <c r="DW98" t="e">
        <f>AND('Planilla_General_07-12-2012_8_3'!B1469,"AAAAAFf69H4=")</f>
        <v>#VALUE!</v>
      </c>
      <c r="DX98" t="e">
        <f>AND('Planilla_General_07-12-2012_8_3'!C1469,"AAAAAFf69H8=")</f>
        <v>#VALUE!</v>
      </c>
      <c r="DY98" t="e">
        <f>AND('Planilla_General_07-12-2012_8_3'!D1469,"AAAAAFf69IA=")</f>
        <v>#VALUE!</v>
      </c>
      <c r="DZ98" t="e">
        <f>AND('Planilla_General_07-12-2012_8_3'!E1469,"AAAAAFf69IE=")</f>
        <v>#VALUE!</v>
      </c>
      <c r="EA98" t="e">
        <f>AND('Planilla_General_07-12-2012_8_3'!F1469,"AAAAAFf69II=")</f>
        <v>#VALUE!</v>
      </c>
      <c r="EB98" t="e">
        <f>AND('Planilla_General_07-12-2012_8_3'!G1469,"AAAAAFf69IM=")</f>
        <v>#VALUE!</v>
      </c>
      <c r="EC98" t="e">
        <f>AND('Planilla_General_07-12-2012_8_3'!H1469,"AAAAAFf69IQ=")</f>
        <v>#VALUE!</v>
      </c>
      <c r="ED98" t="e">
        <f>AND('Planilla_General_07-12-2012_8_3'!I1469,"AAAAAFf69IU=")</f>
        <v>#VALUE!</v>
      </c>
      <c r="EE98" t="e">
        <f>AND('Planilla_General_07-12-2012_8_3'!J1469,"AAAAAFf69IY=")</f>
        <v>#VALUE!</v>
      </c>
      <c r="EF98" t="e">
        <f>AND('Planilla_General_07-12-2012_8_3'!K1469,"AAAAAFf69Ic=")</f>
        <v>#VALUE!</v>
      </c>
      <c r="EG98" t="e">
        <f>AND('Planilla_General_07-12-2012_8_3'!L1469,"AAAAAFf69Ig=")</f>
        <v>#VALUE!</v>
      </c>
      <c r="EH98" t="e">
        <f>AND('Planilla_General_07-12-2012_8_3'!M1469,"AAAAAFf69Ik=")</f>
        <v>#VALUE!</v>
      </c>
      <c r="EI98" t="e">
        <f>AND('Planilla_General_07-12-2012_8_3'!N1469,"AAAAAFf69Io=")</f>
        <v>#VALUE!</v>
      </c>
      <c r="EJ98" t="e">
        <f>AND('Planilla_General_07-12-2012_8_3'!O1469,"AAAAAFf69Is=")</f>
        <v>#VALUE!</v>
      </c>
      <c r="EK98" t="e">
        <f>AND('Planilla_General_07-12-2012_8_3'!P1469,"AAAAAFf69Iw=")</f>
        <v>#VALUE!</v>
      </c>
      <c r="EL98">
        <f>IF('Planilla_General_07-12-2012_8_3'!1470:1470,"AAAAAFf69I0=",0)</f>
        <v>0</v>
      </c>
      <c r="EM98" t="e">
        <f>AND('Planilla_General_07-12-2012_8_3'!A1470,"AAAAAFf69I4=")</f>
        <v>#VALUE!</v>
      </c>
      <c r="EN98" t="e">
        <f>AND('Planilla_General_07-12-2012_8_3'!B1470,"AAAAAFf69I8=")</f>
        <v>#VALUE!</v>
      </c>
      <c r="EO98" t="e">
        <f>AND('Planilla_General_07-12-2012_8_3'!C1470,"AAAAAFf69JA=")</f>
        <v>#VALUE!</v>
      </c>
      <c r="EP98" t="e">
        <f>AND('Planilla_General_07-12-2012_8_3'!D1470,"AAAAAFf69JE=")</f>
        <v>#VALUE!</v>
      </c>
      <c r="EQ98" t="e">
        <f>AND('Planilla_General_07-12-2012_8_3'!E1470,"AAAAAFf69JI=")</f>
        <v>#VALUE!</v>
      </c>
      <c r="ER98" t="e">
        <f>AND('Planilla_General_07-12-2012_8_3'!F1470,"AAAAAFf69JM=")</f>
        <v>#VALUE!</v>
      </c>
      <c r="ES98" t="e">
        <f>AND('Planilla_General_07-12-2012_8_3'!G1470,"AAAAAFf69JQ=")</f>
        <v>#VALUE!</v>
      </c>
      <c r="ET98" t="e">
        <f>AND('Planilla_General_07-12-2012_8_3'!H1470,"AAAAAFf69JU=")</f>
        <v>#VALUE!</v>
      </c>
      <c r="EU98" t="e">
        <f>AND('Planilla_General_07-12-2012_8_3'!I1470,"AAAAAFf69JY=")</f>
        <v>#VALUE!</v>
      </c>
      <c r="EV98" t="e">
        <f>AND('Planilla_General_07-12-2012_8_3'!J1470,"AAAAAFf69Jc=")</f>
        <v>#VALUE!</v>
      </c>
      <c r="EW98" t="e">
        <f>AND('Planilla_General_07-12-2012_8_3'!K1470,"AAAAAFf69Jg=")</f>
        <v>#VALUE!</v>
      </c>
      <c r="EX98" t="e">
        <f>AND('Planilla_General_07-12-2012_8_3'!L1470,"AAAAAFf69Jk=")</f>
        <v>#VALUE!</v>
      </c>
      <c r="EY98" t="e">
        <f>AND('Planilla_General_07-12-2012_8_3'!M1470,"AAAAAFf69Jo=")</f>
        <v>#VALUE!</v>
      </c>
      <c r="EZ98" t="e">
        <f>AND('Planilla_General_07-12-2012_8_3'!N1470,"AAAAAFf69Js=")</f>
        <v>#VALUE!</v>
      </c>
      <c r="FA98" t="e">
        <f>AND('Planilla_General_07-12-2012_8_3'!O1470,"AAAAAFf69Jw=")</f>
        <v>#VALUE!</v>
      </c>
      <c r="FB98" t="e">
        <f>AND('Planilla_General_07-12-2012_8_3'!P1470,"AAAAAFf69J0=")</f>
        <v>#VALUE!</v>
      </c>
      <c r="FC98">
        <f>IF('Planilla_General_07-12-2012_8_3'!1471:1471,"AAAAAFf69J4=",0)</f>
        <v>0</v>
      </c>
      <c r="FD98" t="e">
        <f>AND('Planilla_General_07-12-2012_8_3'!A1471,"AAAAAFf69J8=")</f>
        <v>#VALUE!</v>
      </c>
      <c r="FE98" t="e">
        <f>AND('Planilla_General_07-12-2012_8_3'!B1471,"AAAAAFf69KA=")</f>
        <v>#VALUE!</v>
      </c>
      <c r="FF98" t="e">
        <f>AND('Planilla_General_07-12-2012_8_3'!C1471,"AAAAAFf69KE=")</f>
        <v>#VALUE!</v>
      </c>
      <c r="FG98" t="e">
        <f>AND('Planilla_General_07-12-2012_8_3'!D1471,"AAAAAFf69KI=")</f>
        <v>#VALUE!</v>
      </c>
      <c r="FH98" t="e">
        <f>AND('Planilla_General_07-12-2012_8_3'!E1471,"AAAAAFf69KM=")</f>
        <v>#VALUE!</v>
      </c>
      <c r="FI98" t="e">
        <f>AND('Planilla_General_07-12-2012_8_3'!F1471,"AAAAAFf69KQ=")</f>
        <v>#VALUE!</v>
      </c>
      <c r="FJ98" t="e">
        <f>AND('Planilla_General_07-12-2012_8_3'!G1471,"AAAAAFf69KU=")</f>
        <v>#VALUE!</v>
      </c>
      <c r="FK98" t="e">
        <f>AND('Planilla_General_07-12-2012_8_3'!H1471,"AAAAAFf69KY=")</f>
        <v>#VALUE!</v>
      </c>
      <c r="FL98" t="e">
        <f>AND('Planilla_General_07-12-2012_8_3'!I1471,"AAAAAFf69Kc=")</f>
        <v>#VALUE!</v>
      </c>
      <c r="FM98" t="e">
        <f>AND('Planilla_General_07-12-2012_8_3'!J1471,"AAAAAFf69Kg=")</f>
        <v>#VALUE!</v>
      </c>
      <c r="FN98" t="e">
        <f>AND('Planilla_General_07-12-2012_8_3'!K1471,"AAAAAFf69Kk=")</f>
        <v>#VALUE!</v>
      </c>
      <c r="FO98" t="e">
        <f>AND('Planilla_General_07-12-2012_8_3'!L1471,"AAAAAFf69Ko=")</f>
        <v>#VALUE!</v>
      </c>
      <c r="FP98" t="e">
        <f>AND('Planilla_General_07-12-2012_8_3'!M1471,"AAAAAFf69Ks=")</f>
        <v>#VALUE!</v>
      </c>
      <c r="FQ98" t="e">
        <f>AND('Planilla_General_07-12-2012_8_3'!N1471,"AAAAAFf69Kw=")</f>
        <v>#VALUE!</v>
      </c>
      <c r="FR98" t="e">
        <f>AND('Planilla_General_07-12-2012_8_3'!O1471,"AAAAAFf69K0=")</f>
        <v>#VALUE!</v>
      </c>
      <c r="FS98" t="e">
        <f>AND('Planilla_General_07-12-2012_8_3'!P1471,"AAAAAFf69K4=")</f>
        <v>#VALUE!</v>
      </c>
      <c r="FT98">
        <f>IF('Planilla_General_07-12-2012_8_3'!1472:1472,"AAAAAFf69K8=",0)</f>
        <v>0</v>
      </c>
      <c r="FU98" t="e">
        <f>AND('Planilla_General_07-12-2012_8_3'!A1472,"AAAAAFf69LA=")</f>
        <v>#VALUE!</v>
      </c>
      <c r="FV98" t="e">
        <f>AND('Planilla_General_07-12-2012_8_3'!B1472,"AAAAAFf69LE=")</f>
        <v>#VALUE!</v>
      </c>
      <c r="FW98" t="e">
        <f>AND('Planilla_General_07-12-2012_8_3'!C1472,"AAAAAFf69LI=")</f>
        <v>#VALUE!</v>
      </c>
      <c r="FX98" t="e">
        <f>AND('Planilla_General_07-12-2012_8_3'!D1472,"AAAAAFf69LM=")</f>
        <v>#VALUE!</v>
      </c>
      <c r="FY98" t="e">
        <f>AND('Planilla_General_07-12-2012_8_3'!E1472,"AAAAAFf69LQ=")</f>
        <v>#VALUE!</v>
      </c>
      <c r="FZ98" t="e">
        <f>AND('Planilla_General_07-12-2012_8_3'!F1472,"AAAAAFf69LU=")</f>
        <v>#VALUE!</v>
      </c>
      <c r="GA98" t="e">
        <f>AND('Planilla_General_07-12-2012_8_3'!G1472,"AAAAAFf69LY=")</f>
        <v>#VALUE!</v>
      </c>
      <c r="GB98" t="e">
        <f>AND('Planilla_General_07-12-2012_8_3'!H1472,"AAAAAFf69Lc=")</f>
        <v>#VALUE!</v>
      </c>
      <c r="GC98" t="e">
        <f>AND('Planilla_General_07-12-2012_8_3'!I1472,"AAAAAFf69Lg=")</f>
        <v>#VALUE!</v>
      </c>
      <c r="GD98" t="e">
        <f>AND('Planilla_General_07-12-2012_8_3'!J1472,"AAAAAFf69Lk=")</f>
        <v>#VALUE!</v>
      </c>
      <c r="GE98" t="e">
        <f>AND('Planilla_General_07-12-2012_8_3'!K1472,"AAAAAFf69Lo=")</f>
        <v>#VALUE!</v>
      </c>
      <c r="GF98" t="e">
        <f>AND('Planilla_General_07-12-2012_8_3'!L1472,"AAAAAFf69Ls=")</f>
        <v>#VALUE!</v>
      </c>
      <c r="GG98" t="e">
        <f>AND('Planilla_General_07-12-2012_8_3'!M1472,"AAAAAFf69Lw=")</f>
        <v>#VALUE!</v>
      </c>
      <c r="GH98" t="e">
        <f>AND('Planilla_General_07-12-2012_8_3'!N1472,"AAAAAFf69L0=")</f>
        <v>#VALUE!</v>
      </c>
      <c r="GI98" t="e">
        <f>AND('Planilla_General_07-12-2012_8_3'!O1472,"AAAAAFf69L4=")</f>
        <v>#VALUE!</v>
      </c>
      <c r="GJ98" t="e">
        <f>AND('Planilla_General_07-12-2012_8_3'!P1472,"AAAAAFf69L8=")</f>
        <v>#VALUE!</v>
      </c>
      <c r="GK98">
        <f>IF('Planilla_General_07-12-2012_8_3'!1473:1473,"AAAAAFf69MA=",0)</f>
        <v>0</v>
      </c>
      <c r="GL98" t="e">
        <f>AND('Planilla_General_07-12-2012_8_3'!A1473,"AAAAAFf69ME=")</f>
        <v>#VALUE!</v>
      </c>
      <c r="GM98" t="e">
        <f>AND('Planilla_General_07-12-2012_8_3'!B1473,"AAAAAFf69MI=")</f>
        <v>#VALUE!</v>
      </c>
      <c r="GN98" t="e">
        <f>AND('Planilla_General_07-12-2012_8_3'!C1473,"AAAAAFf69MM=")</f>
        <v>#VALUE!</v>
      </c>
      <c r="GO98" t="e">
        <f>AND('Planilla_General_07-12-2012_8_3'!D1473,"AAAAAFf69MQ=")</f>
        <v>#VALUE!</v>
      </c>
      <c r="GP98" t="e">
        <f>AND('Planilla_General_07-12-2012_8_3'!E1473,"AAAAAFf69MU=")</f>
        <v>#VALUE!</v>
      </c>
      <c r="GQ98" t="e">
        <f>AND('Planilla_General_07-12-2012_8_3'!F1473,"AAAAAFf69MY=")</f>
        <v>#VALUE!</v>
      </c>
      <c r="GR98" t="e">
        <f>AND('Planilla_General_07-12-2012_8_3'!G1473,"AAAAAFf69Mc=")</f>
        <v>#VALUE!</v>
      </c>
      <c r="GS98" t="e">
        <f>AND('Planilla_General_07-12-2012_8_3'!H1473,"AAAAAFf69Mg=")</f>
        <v>#VALUE!</v>
      </c>
      <c r="GT98" t="e">
        <f>AND('Planilla_General_07-12-2012_8_3'!I1473,"AAAAAFf69Mk=")</f>
        <v>#VALUE!</v>
      </c>
      <c r="GU98" t="e">
        <f>AND('Planilla_General_07-12-2012_8_3'!J1473,"AAAAAFf69Mo=")</f>
        <v>#VALUE!</v>
      </c>
      <c r="GV98" t="e">
        <f>AND('Planilla_General_07-12-2012_8_3'!K1473,"AAAAAFf69Ms=")</f>
        <v>#VALUE!</v>
      </c>
      <c r="GW98" t="e">
        <f>AND('Planilla_General_07-12-2012_8_3'!L1473,"AAAAAFf69Mw=")</f>
        <v>#VALUE!</v>
      </c>
      <c r="GX98" t="e">
        <f>AND('Planilla_General_07-12-2012_8_3'!M1473,"AAAAAFf69M0=")</f>
        <v>#VALUE!</v>
      </c>
      <c r="GY98" t="e">
        <f>AND('Planilla_General_07-12-2012_8_3'!N1473,"AAAAAFf69M4=")</f>
        <v>#VALUE!</v>
      </c>
      <c r="GZ98" t="e">
        <f>AND('Planilla_General_07-12-2012_8_3'!O1473,"AAAAAFf69M8=")</f>
        <v>#VALUE!</v>
      </c>
      <c r="HA98" t="e">
        <f>AND('Planilla_General_07-12-2012_8_3'!P1473,"AAAAAFf69NA=")</f>
        <v>#VALUE!</v>
      </c>
      <c r="HB98">
        <f>IF('Planilla_General_07-12-2012_8_3'!1474:1474,"AAAAAFf69NE=",0)</f>
        <v>0</v>
      </c>
      <c r="HC98" t="e">
        <f>AND('Planilla_General_07-12-2012_8_3'!A1474,"AAAAAFf69NI=")</f>
        <v>#VALUE!</v>
      </c>
      <c r="HD98" t="e">
        <f>AND('Planilla_General_07-12-2012_8_3'!B1474,"AAAAAFf69NM=")</f>
        <v>#VALUE!</v>
      </c>
      <c r="HE98" t="e">
        <f>AND('Planilla_General_07-12-2012_8_3'!C1474,"AAAAAFf69NQ=")</f>
        <v>#VALUE!</v>
      </c>
      <c r="HF98" t="e">
        <f>AND('Planilla_General_07-12-2012_8_3'!D1474,"AAAAAFf69NU=")</f>
        <v>#VALUE!</v>
      </c>
      <c r="HG98" t="e">
        <f>AND('Planilla_General_07-12-2012_8_3'!E1474,"AAAAAFf69NY=")</f>
        <v>#VALUE!</v>
      </c>
      <c r="HH98" t="e">
        <f>AND('Planilla_General_07-12-2012_8_3'!F1474,"AAAAAFf69Nc=")</f>
        <v>#VALUE!</v>
      </c>
      <c r="HI98" t="e">
        <f>AND('Planilla_General_07-12-2012_8_3'!G1474,"AAAAAFf69Ng=")</f>
        <v>#VALUE!</v>
      </c>
      <c r="HJ98" t="e">
        <f>AND('Planilla_General_07-12-2012_8_3'!H1474,"AAAAAFf69Nk=")</f>
        <v>#VALUE!</v>
      </c>
      <c r="HK98" t="e">
        <f>AND('Planilla_General_07-12-2012_8_3'!I1474,"AAAAAFf69No=")</f>
        <v>#VALUE!</v>
      </c>
      <c r="HL98" t="e">
        <f>AND('Planilla_General_07-12-2012_8_3'!J1474,"AAAAAFf69Ns=")</f>
        <v>#VALUE!</v>
      </c>
      <c r="HM98" t="e">
        <f>AND('Planilla_General_07-12-2012_8_3'!K1474,"AAAAAFf69Nw=")</f>
        <v>#VALUE!</v>
      </c>
      <c r="HN98" t="e">
        <f>AND('Planilla_General_07-12-2012_8_3'!L1474,"AAAAAFf69N0=")</f>
        <v>#VALUE!</v>
      </c>
      <c r="HO98" t="e">
        <f>AND('Planilla_General_07-12-2012_8_3'!M1474,"AAAAAFf69N4=")</f>
        <v>#VALUE!</v>
      </c>
      <c r="HP98" t="e">
        <f>AND('Planilla_General_07-12-2012_8_3'!N1474,"AAAAAFf69N8=")</f>
        <v>#VALUE!</v>
      </c>
      <c r="HQ98" t="e">
        <f>AND('Planilla_General_07-12-2012_8_3'!O1474,"AAAAAFf69OA=")</f>
        <v>#VALUE!</v>
      </c>
      <c r="HR98" t="e">
        <f>AND('Planilla_General_07-12-2012_8_3'!P1474,"AAAAAFf69OE=")</f>
        <v>#VALUE!</v>
      </c>
      <c r="HS98">
        <f>IF('Planilla_General_07-12-2012_8_3'!1475:1475,"AAAAAFf69OI=",0)</f>
        <v>0</v>
      </c>
      <c r="HT98" t="e">
        <f>AND('Planilla_General_07-12-2012_8_3'!A1475,"AAAAAFf69OM=")</f>
        <v>#VALUE!</v>
      </c>
      <c r="HU98" t="e">
        <f>AND('Planilla_General_07-12-2012_8_3'!B1475,"AAAAAFf69OQ=")</f>
        <v>#VALUE!</v>
      </c>
      <c r="HV98" t="e">
        <f>AND('Planilla_General_07-12-2012_8_3'!C1475,"AAAAAFf69OU=")</f>
        <v>#VALUE!</v>
      </c>
      <c r="HW98" t="e">
        <f>AND('Planilla_General_07-12-2012_8_3'!D1475,"AAAAAFf69OY=")</f>
        <v>#VALUE!</v>
      </c>
      <c r="HX98" t="e">
        <f>AND('Planilla_General_07-12-2012_8_3'!E1475,"AAAAAFf69Oc=")</f>
        <v>#VALUE!</v>
      </c>
      <c r="HY98" t="e">
        <f>AND('Planilla_General_07-12-2012_8_3'!F1475,"AAAAAFf69Og=")</f>
        <v>#VALUE!</v>
      </c>
      <c r="HZ98" t="e">
        <f>AND('Planilla_General_07-12-2012_8_3'!G1475,"AAAAAFf69Ok=")</f>
        <v>#VALUE!</v>
      </c>
      <c r="IA98" t="e">
        <f>AND('Planilla_General_07-12-2012_8_3'!H1475,"AAAAAFf69Oo=")</f>
        <v>#VALUE!</v>
      </c>
      <c r="IB98" t="e">
        <f>AND('Planilla_General_07-12-2012_8_3'!I1475,"AAAAAFf69Os=")</f>
        <v>#VALUE!</v>
      </c>
      <c r="IC98" t="e">
        <f>AND('Planilla_General_07-12-2012_8_3'!J1475,"AAAAAFf69Ow=")</f>
        <v>#VALUE!</v>
      </c>
      <c r="ID98" t="e">
        <f>AND('Planilla_General_07-12-2012_8_3'!K1475,"AAAAAFf69O0=")</f>
        <v>#VALUE!</v>
      </c>
      <c r="IE98" t="e">
        <f>AND('Planilla_General_07-12-2012_8_3'!L1475,"AAAAAFf69O4=")</f>
        <v>#VALUE!</v>
      </c>
      <c r="IF98" t="e">
        <f>AND('Planilla_General_07-12-2012_8_3'!M1475,"AAAAAFf69O8=")</f>
        <v>#VALUE!</v>
      </c>
      <c r="IG98" t="e">
        <f>AND('Planilla_General_07-12-2012_8_3'!N1475,"AAAAAFf69PA=")</f>
        <v>#VALUE!</v>
      </c>
      <c r="IH98" t="e">
        <f>AND('Planilla_General_07-12-2012_8_3'!O1475,"AAAAAFf69PE=")</f>
        <v>#VALUE!</v>
      </c>
      <c r="II98" t="e">
        <f>AND('Planilla_General_07-12-2012_8_3'!P1475,"AAAAAFf69PI=")</f>
        <v>#VALUE!</v>
      </c>
      <c r="IJ98">
        <f>IF('Planilla_General_07-12-2012_8_3'!1476:1476,"AAAAAFf69PM=",0)</f>
        <v>0</v>
      </c>
      <c r="IK98" t="e">
        <f>AND('Planilla_General_07-12-2012_8_3'!A1476,"AAAAAFf69PQ=")</f>
        <v>#VALUE!</v>
      </c>
      <c r="IL98" t="e">
        <f>AND('Planilla_General_07-12-2012_8_3'!B1476,"AAAAAFf69PU=")</f>
        <v>#VALUE!</v>
      </c>
      <c r="IM98" t="e">
        <f>AND('Planilla_General_07-12-2012_8_3'!C1476,"AAAAAFf69PY=")</f>
        <v>#VALUE!</v>
      </c>
      <c r="IN98" t="e">
        <f>AND('Planilla_General_07-12-2012_8_3'!D1476,"AAAAAFf69Pc=")</f>
        <v>#VALUE!</v>
      </c>
      <c r="IO98" t="e">
        <f>AND('Planilla_General_07-12-2012_8_3'!E1476,"AAAAAFf69Pg=")</f>
        <v>#VALUE!</v>
      </c>
      <c r="IP98" t="e">
        <f>AND('Planilla_General_07-12-2012_8_3'!F1476,"AAAAAFf69Pk=")</f>
        <v>#VALUE!</v>
      </c>
      <c r="IQ98" t="e">
        <f>AND('Planilla_General_07-12-2012_8_3'!G1476,"AAAAAFf69Po=")</f>
        <v>#VALUE!</v>
      </c>
      <c r="IR98" t="e">
        <f>AND('Planilla_General_07-12-2012_8_3'!H1476,"AAAAAFf69Ps=")</f>
        <v>#VALUE!</v>
      </c>
      <c r="IS98" t="e">
        <f>AND('Planilla_General_07-12-2012_8_3'!I1476,"AAAAAFf69Pw=")</f>
        <v>#VALUE!</v>
      </c>
      <c r="IT98" t="e">
        <f>AND('Planilla_General_07-12-2012_8_3'!J1476,"AAAAAFf69P0=")</f>
        <v>#VALUE!</v>
      </c>
      <c r="IU98" t="e">
        <f>AND('Planilla_General_07-12-2012_8_3'!K1476,"AAAAAFf69P4=")</f>
        <v>#VALUE!</v>
      </c>
      <c r="IV98" t="e">
        <f>AND('Planilla_General_07-12-2012_8_3'!L1476,"AAAAAFf69P8=")</f>
        <v>#VALUE!</v>
      </c>
    </row>
    <row r="99" spans="1:256" x14ac:dyDescent="0.25">
      <c r="A99" t="e">
        <f>AND('Planilla_General_07-12-2012_8_3'!M1476,"AAAAAFvWvwA=")</f>
        <v>#VALUE!</v>
      </c>
      <c r="B99" t="e">
        <f>AND('Planilla_General_07-12-2012_8_3'!N1476,"AAAAAFvWvwE=")</f>
        <v>#VALUE!</v>
      </c>
      <c r="C99" t="e">
        <f>AND('Planilla_General_07-12-2012_8_3'!O1476,"AAAAAFvWvwI=")</f>
        <v>#VALUE!</v>
      </c>
      <c r="D99" t="e">
        <f>AND('Planilla_General_07-12-2012_8_3'!P1476,"AAAAAFvWvwM=")</f>
        <v>#VALUE!</v>
      </c>
      <c r="E99" t="e">
        <f>IF('Planilla_General_07-12-2012_8_3'!1477:1477,"AAAAAFvWvwQ=",0)</f>
        <v>#VALUE!</v>
      </c>
      <c r="F99" t="e">
        <f>AND('Planilla_General_07-12-2012_8_3'!A1477,"AAAAAFvWvwU=")</f>
        <v>#VALUE!</v>
      </c>
      <c r="G99" t="e">
        <f>AND('Planilla_General_07-12-2012_8_3'!B1477,"AAAAAFvWvwY=")</f>
        <v>#VALUE!</v>
      </c>
      <c r="H99" t="e">
        <f>AND('Planilla_General_07-12-2012_8_3'!C1477,"AAAAAFvWvwc=")</f>
        <v>#VALUE!</v>
      </c>
      <c r="I99" t="e">
        <f>AND('Planilla_General_07-12-2012_8_3'!D1477,"AAAAAFvWvwg=")</f>
        <v>#VALUE!</v>
      </c>
      <c r="J99" t="e">
        <f>AND('Planilla_General_07-12-2012_8_3'!E1477,"AAAAAFvWvwk=")</f>
        <v>#VALUE!</v>
      </c>
      <c r="K99" t="e">
        <f>AND('Planilla_General_07-12-2012_8_3'!F1477,"AAAAAFvWvwo=")</f>
        <v>#VALUE!</v>
      </c>
      <c r="L99" t="e">
        <f>AND('Planilla_General_07-12-2012_8_3'!G1477,"AAAAAFvWvws=")</f>
        <v>#VALUE!</v>
      </c>
      <c r="M99" t="e">
        <f>AND('Planilla_General_07-12-2012_8_3'!H1477,"AAAAAFvWvww=")</f>
        <v>#VALUE!</v>
      </c>
      <c r="N99" t="e">
        <f>AND('Planilla_General_07-12-2012_8_3'!I1477,"AAAAAFvWvw0=")</f>
        <v>#VALUE!</v>
      </c>
      <c r="O99" t="e">
        <f>AND('Planilla_General_07-12-2012_8_3'!J1477,"AAAAAFvWvw4=")</f>
        <v>#VALUE!</v>
      </c>
      <c r="P99" t="e">
        <f>AND('Planilla_General_07-12-2012_8_3'!K1477,"AAAAAFvWvw8=")</f>
        <v>#VALUE!</v>
      </c>
      <c r="Q99" t="e">
        <f>AND('Planilla_General_07-12-2012_8_3'!L1477,"AAAAAFvWvxA=")</f>
        <v>#VALUE!</v>
      </c>
      <c r="R99" t="e">
        <f>AND('Planilla_General_07-12-2012_8_3'!M1477,"AAAAAFvWvxE=")</f>
        <v>#VALUE!</v>
      </c>
      <c r="S99" t="e">
        <f>AND('Planilla_General_07-12-2012_8_3'!N1477,"AAAAAFvWvxI=")</f>
        <v>#VALUE!</v>
      </c>
      <c r="T99" t="e">
        <f>AND('Planilla_General_07-12-2012_8_3'!O1477,"AAAAAFvWvxM=")</f>
        <v>#VALUE!</v>
      </c>
      <c r="U99" t="e">
        <f>AND('Planilla_General_07-12-2012_8_3'!P1477,"AAAAAFvWvxQ=")</f>
        <v>#VALUE!</v>
      </c>
      <c r="V99">
        <f>IF('Planilla_General_07-12-2012_8_3'!1478:1478,"AAAAAFvWvxU=",0)</f>
        <v>0</v>
      </c>
      <c r="W99" t="e">
        <f>AND('Planilla_General_07-12-2012_8_3'!A1478,"AAAAAFvWvxY=")</f>
        <v>#VALUE!</v>
      </c>
      <c r="X99" t="e">
        <f>AND('Planilla_General_07-12-2012_8_3'!B1478,"AAAAAFvWvxc=")</f>
        <v>#VALUE!</v>
      </c>
      <c r="Y99" t="e">
        <f>AND('Planilla_General_07-12-2012_8_3'!C1478,"AAAAAFvWvxg=")</f>
        <v>#VALUE!</v>
      </c>
      <c r="Z99" t="e">
        <f>AND('Planilla_General_07-12-2012_8_3'!D1478,"AAAAAFvWvxk=")</f>
        <v>#VALUE!</v>
      </c>
      <c r="AA99" t="e">
        <f>AND('Planilla_General_07-12-2012_8_3'!E1478,"AAAAAFvWvxo=")</f>
        <v>#VALUE!</v>
      </c>
      <c r="AB99" t="e">
        <f>AND('Planilla_General_07-12-2012_8_3'!F1478,"AAAAAFvWvxs=")</f>
        <v>#VALUE!</v>
      </c>
      <c r="AC99" t="e">
        <f>AND('Planilla_General_07-12-2012_8_3'!G1478,"AAAAAFvWvxw=")</f>
        <v>#VALUE!</v>
      </c>
      <c r="AD99" t="e">
        <f>AND('Planilla_General_07-12-2012_8_3'!H1478,"AAAAAFvWvx0=")</f>
        <v>#VALUE!</v>
      </c>
      <c r="AE99" t="e">
        <f>AND('Planilla_General_07-12-2012_8_3'!I1478,"AAAAAFvWvx4=")</f>
        <v>#VALUE!</v>
      </c>
      <c r="AF99" t="e">
        <f>AND('Planilla_General_07-12-2012_8_3'!J1478,"AAAAAFvWvx8=")</f>
        <v>#VALUE!</v>
      </c>
      <c r="AG99" t="e">
        <f>AND('Planilla_General_07-12-2012_8_3'!K1478,"AAAAAFvWvyA=")</f>
        <v>#VALUE!</v>
      </c>
      <c r="AH99" t="e">
        <f>AND('Planilla_General_07-12-2012_8_3'!L1478,"AAAAAFvWvyE=")</f>
        <v>#VALUE!</v>
      </c>
      <c r="AI99" t="e">
        <f>AND('Planilla_General_07-12-2012_8_3'!M1478,"AAAAAFvWvyI=")</f>
        <v>#VALUE!</v>
      </c>
      <c r="AJ99" t="e">
        <f>AND('Planilla_General_07-12-2012_8_3'!N1478,"AAAAAFvWvyM=")</f>
        <v>#VALUE!</v>
      </c>
      <c r="AK99" t="e">
        <f>AND('Planilla_General_07-12-2012_8_3'!O1478,"AAAAAFvWvyQ=")</f>
        <v>#VALUE!</v>
      </c>
      <c r="AL99" t="e">
        <f>AND('Planilla_General_07-12-2012_8_3'!P1478,"AAAAAFvWvyU=")</f>
        <v>#VALUE!</v>
      </c>
      <c r="AM99">
        <f>IF('Planilla_General_07-12-2012_8_3'!1479:1479,"AAAAAFvWvyY=",0)</f>
        <v>0</v>
      </c>
      <c r="AN99" t="e">
        <f>AND('Planilla_General_07-12-2012_8_3'!A1479,"AAAAAFvWvyc=")</f>
        <v>#VALUE!</v>
      </c>
      <c r="AO99" t="e">
        <f>AND('Planilla_General_07-12-2012_8_3'!B1479,"AAAAAFvWvyg=")</f>
        <v>#VALUE!</v>
      </c>
      <c r="AP99" t="e">
        <f>AND('Planilla_General_07-12-2012_8_3'!C1479,"AAAAAFvWvyk=")</f>
        <v>#VALUE!</v>
      </c>
      <c r="AQ99" t="e">
        <f>AND('Planilla_General_07-12-2012_8_3'!D1479,"AAAAAFvWvyo=")</f>
        <v>#VALUE!</v>
      </c>
      <c r="AR99" t="e">
        <f>AND('Planilla_General_07-12-2012_8_3'!E1479,"AAAAAFvWvys=")</f>
        <v>#VALUE!</v>
      </c>
      <c r="AS99" t="e">
        <f>AND('Planilla_General_07-12-2012_8_3'!F1479,"AAAAAFvWvyw=")</f>
        <v>#VALUE!</v>
      </c>
      <c r="AT99" t="e">
        <f>AND('Planilla_General_07-12-2012_8_3'!G1479,"AAAAAFvWvy0=")</f>
        <v>#VALUE!</v>
      </c>
      <c r="AU99" t="e">
        <f>AND('Planilla_General_07-12-2012_8_3'!H1479,"AAAAAFvWvy4=")</f>
        <v>#VALUE!</v>
      </c>
      <c r="AV99" t="e">
        <f>AND('Planilla_General_07-12-2012_8_3'!I1479,"AAAAAFvWvy8=")</f>
        <v>#VALUE!</v>
      </c>
      <c r="AW99" t="e">
        <f>AND('Planilla_General_07-12-2012_8_3'!J1479,"AAAAAFvWvzA=")</f>
        <v>#VALUE!</v>
      </c>
      <c r="AX99" t="e">
        <f>AND('Planilla_General_07-12-2012_8_3'!K1479,"AAAAAFvWvzE=")</f>
        <v>#VALUE!</v>
      </c>
      <c r="AY99" t="e">
        <f>AND('Planilla_General_07-12-2012_8_3'!L1479,"AAAAAFvWvzI=")</f>
        <v>#VALUE!</v>
      </c>
      <c r="AZ99" t="e">
        <f>AND('Planilla_General_07-12-2012_8_3'!M1479,"AAAAAFvWvzM=")</f>
        <v>#VALUE!</v>
      </c>
      <c r="BA99" t="e">
        <f>AND('Planilla_General_07-12-2012_8_3'!N1479,"AAAAAFvWvzQ=")</f>
        <v>#VALUE!</v>
      </c>
      <c r="BB99" t="e">
        <f>AND('Planilla_General_07-12-2012_8_3'!O1479,"AAAAAFvWvzU=")</f>
        <v>#VALUE!</v>
      </c>
      <c r="BC99" t="e">
        <f>AND('Planilla_General_07-12-2012_8_3'!P1479,"AAAAAFvWvzY=")</f>
        <v>#VALUE!</v>
      </c>
      <c r="BD99">
        <f>IF('Planilla_General_07-12-2012_8_3'!1480:1480,"AAAAAFvWvzc=",0)</f>
        <v>0</v>
      </c>
      <c r="BE99" t="e">
        <f>AND('Planilla_General_07-12-2012_8_3'!A1480,"AAAAAFvWvzg=")</f>
        <v>#VALUE!</v>
      </c>
      <c r="BF99" t="e">
        <f>AND('Planilla_General_07-12-2012_8_3'!B1480,"AAAAAFvWvzk=")</f>
        <v>#VALUE!</v>
      </c>
      <c r="BG99" t="e">
        <f>AND('Planilla_General_07-12-2012_8_3'!C1480,"AAAAAFvWvzo=")</f>
        <v>#VALUE!</v>
      </c>
      <c r="BH99" t="e">
        <f>AND('Planilla_General_07-12-2012_8_3'!D1480,"AAAAAFvWvzs=")</f>
        <v>#VALUE!</v>
      </c>
      <c r="BI99" t="e">
        <f>AND('Planilla_General_07-12-2012_8_3'!E1480,"AAAAAFvWvzw=")</f>
        <v>#VALUE!</v>
      </c>
      <c r="BJ99" t="e">
        <f>AND('Planilla_General_07-12-2012_8_3'!F1480,"AAAAAFvWvz0=")</f>
        <v>#VALUE!</v>
      </c>
      <c r="BK99" t="e">
        <f>AND('Planilla_General_07-12-2012_8_3'!G1480,"AAAAAFvWvz4=")</f>
        <v>#VALUE!</v>
      </c>
      <c r="BL99" t="e">
        <f>AND('Planilla_General_07-12-2012_8_3'!H1480,"AAAAAFvWvz8=")</f>
        <v>#VALUE!</v>
      </c>
      <c r="BM99" t="e">
        <f>AND('Planilla_General_07-12-2012_8_3'!I1480,"AAAAAFvWv0A=")</f>
        <v>#VALUE!</v>
      </c>
      <c r="BN99" t="e">
        <f>AND('Planilla_General_07-12-2012_8_3'!J1480,"AAAAAFvWv0E=")</f>
        <v>#VALUE!</v>
      </c>
      <c r="BO99" t="e">
        <f>AND('Planilla_General_07-12-2012_8_3'!K1480,"AAAAAFvWv0I=")</f>
        <v>#VALUE!</v>
      </c>
      <c r="BP99" t="e">
        <f>AND('Planilla_General_07-12-2012_8_3'!L1480,"AAAAAFvWv0M=")</f>
        <v>#VALUE!</v>
      </c>
      <c r="BQ99" t="e">
        <f>AND('Planilla_General_07-12-2012_8_3'!M1480,"AAAAAFvWv0Q=")</f>
        <v>#VALUE!</v>
      </c>
      <c r="BR99" t="e">
        <f>AND('Planilla_General_07-12-2012_8_3'!N1480,"AAAAAFvWv0U=")</f>
        <v>#VALUE!</v>
      </c>
      <c r="BS99" t="e">
        <f>AND('Planilla_General_07-12-2012_8_3'!O1480,"AAAAAFvWv0Y=")</f>
        <v>#VALUE!</v>
      </c>
      <c r="BT99" t="e">
        <f>AND('Planilla_General_07-12-2012_8_3'!P1480,"AAAAAFvWv0c=")</f>
        <v>#VALUE!</v>
      </c>
      <c r="BU99">
        <f>IF('Planilla_General_07-12-2012_8_3'!1481:1481,"AAAAAFvWv0g=",0)</f>
        <v>0</v>
      </c>
      <c r="BV99" t="e">
        <f>AND('Planilla_General_07-12-2012_8_3'!A1481,"AAAAAFvWv0k=")</f>
        <v>#VALUE!</v>
      </c>
      <c r="BW99" t="e">
        <f>AND('Planilla_General_07-12-2012_8_3'!B1481,"AAAAAFvWv0o=")</f>
        <v>#VALUE!</v>
      </c>
      <c r="BX99" t="e">
        <f>AND('Planilla_General_07-12-2012_8_3'!C1481,"AAAAAFvWv0s=")</f>
        <v>#VALUE!</v>
      </c>
      <c r="BY99" t="e">
        <f>AND('Planilla_General_07-12-2012_8_3'!D1481,"AAAAAFvWv0w=")</f>
        <v>#VALUE!</v>
      </c>
      <c r="BZ99" t="e">
        <f>AND('Planilla_General_07-12-2012_8_3'!E1481,"AAAAAFvWv00=")</f>
        <v>#VALUE!</v>
      </c>
      <c r="CA99" t="e">
        <f>AND('Planilla_General_07-12-2012_8_3'!F1481,"AAAAAFvWv04=")</f>
        <v>#VALUE!</v>
      </c>
      <c r="CB99" t="e">
        <f>AND('Planilla_General_07-12-2012_8_3'!G1481,"AAAAAFvWv08=")</f>
        <v>#VALUE!</v>
      </c>
      <c r="CC99" t="e">
        <f>AND('Planilla_General_07-12-2012_8_3'!H1481,"AAAAAFvWv1A=")</f>
        <v>#VALUE!</v>
      </c>
      <c r="CD99" t="e">
        <f>AND('Planilla_General_07-12-2012_8_3'!I1481,"AAAAAFvWv1E=")</f>
        <v>#VALUE!</v>
      </c>
      <c r="CE99" t="e">
        <f>AND('Planilla_General_07-12-2012_8_3'!J1481,"AAAAAFvWv1I=")</f>
        <v>#VALUE!</v>
      </c>
      <c r="CF99" t="e">
        <f>AND('Planilla_General_07-12-2012_8_3'!K1481,"AAAAAFvWv1M=")</f>
        <v>#VALUE!</v>
      </c>
      <c r="CG99" t="e">
        <f>AND('Planilla_General_07-12-2012_8_3'!L1481,"AAAAAFvWv1Q=")</f>
        <v>#VALUE!</v>
      </c>
      <c r="CH99" t="e">
        <f>AND('Planilla_General_07-12-2012_8_3'!M1481,"AAAAAFvWv1U=")</f>
        <v>#VALUE!</v>
      </c>
      <c r="CI99" t="e">
        <f>AND('Planilla_General_07-12-2012_8_3'!N1481,"AAAAAFvWv1Y=")</f>
        <v>#VALUE!</v>
      </c>
      <c r="CJ99" t="e">
        <f>AND('Planilla_General_07-12-2012_8_3'!O1481,"AAAAAFvWv1c=")</f>
        <v>#VALUE!</v>
      </c>
      <c r="CK99" t="e">
        <f>AND('Planilla_General_07-12-2012_8_3'!P1481,"AAAAAFvWv1g=")</f>
        <v>#VALUE!</v>
      </c>
      <c r="CL99">
        <f>IF('Planilla_General_07-12-2012_8_3'!1482:1482,"AAAAAFvWv1k=",0)</f>
        <v>0</v>
      </c>
      <c r="CM99" t="e">
        <f>AND('Planilla_General_07-12-2012_8_3'!A1482,"AAAAAFvWv1o=")</f>
        <v>#VALUE!</v>
      </c>
      <c r="CN99" t="e">
        <f>AND('Planilla_General_07-12-2012_8_3'!B1482,"AAAAAFvWv1s=")</f>
        <v>#VALUE!</v>
      </c>
      <c r="CO99" t="e">
        <f>AND('Planilla_General_07-12-2012_8_3'!C1482,"AAAAAFvWv1w=")</f>
        <v>#VALUE!</v>
      </c>
      <c r="CP99" t="e">
        <f>AND('Planilla_General_07-12-2012_8_3'!D1482,"AAAAAFvWv10=")</f>
        <v>#VALUE!</v>
      </c>
      <c r="CQ99" t="e">
        <f>AND('Planilla_General_07-12-2012_8_3'!E1482,"AAAAAFvWv14=")</f>
        <v>#VALUE!</v>
      </c>
      <c r="CR99" t="e">
        <f>AND('Planilla_General_07-12-2012_8_3'!F1482,"AAAAAFvWv18=")</f>
        <v>#VALUE!</v>
      </c>
      <c r="CS99" t="e">
        <f>AND('Planilla_General_07-12-2012_8_3'!G1482,"AAAAAFvWv2A=")</f>
        <v>#VALUE!</v>
      </c>
      <c r="CT99" t="e">
        <f>AND('Planilla_General_07-12-2012_8_3'!H1482,"AAAAAFvWv2E=")</f>
        <v>#VALUE!</v>
      </c>
      <c r="CU99" t="e">
        <f>AND('Planilla_General_07-12-2012_8_3'!I1482,"AAAAAFvWv2I=")</f>
        <v>#VALUE!</v>
      </c>
      <c r="CV99" t="e">
        <f>AND('Planilla_General_07-12-2012_8_3'!J1482,"AAAAAFvWv2M=")</f>
        <v>#VALUE!</v>
      </c>
      <c r="CW99" t="e">
        <f>AND('Planilla_General_07-12-2012_8_3'!K1482,"AAAAAFvWv2Q=")</f>
        <v>#VALUE!</v>
      </c>
      <c r="CX99" t="e">
        <f>AND('Planilla_General_07-12-2012_8_3'!L1482,"AAAAAFvWv2U=")</f>
        <v>#VALUE!</v>
      </c>
      <c r="CY99" t="e">
        <f>AND('Planilla_General_07-12-2012_8_3'!M1482,"AAAAAFvWv2Y=")</f>
        <v>#VALUE!</v>
      </c>
      <c r="CZ99" t="e">
        <f>AND('Planilla_General_07-12-2012_8_3'!N1482,"AAAAAFvWv2c=")</f>
        <v>#VALUE!</v>
      </c>
      <c r="DA99" t="e">
        <f>AND('Planilla_General_07-12-2012_8_3'!O1482,"AAAAAFvWv2g=")</f>
        <v>#VALUE!</v>
      </c>
      <c r="DB99" t="e">
        <f>AND('Planilla_General_07-12-2012_8_3'!P1482,"AAAAAFvWv2k=")</f>
        <v>#VALUE!</v>
      </c>
      <c r="DC99">
        <f>IF('Planilla_General_07-12-2012_8_3'!1483:1483,"AAAAAFvWv2o=",0)</f>
        <v>0</v>
      </c>
      <c r="DD99" t="e">
        <f>AND('Planilla_General_07-12-2012_8_3'!A1483,"AAAAAFvWv2s=")</f>
        <v>#VALUE!</v>
      </c>
      <c r="DE99" t="e">
        <f>AND('Planilla_General_07-12-2012_8_3'!B1483,"AAAAAFvWv2w=")</f>
        <v>#VALUE!</v>
      </c>
      <c r="DF99" t="e">
        <f>AND('Planilla_General_07-12-2012_8_3'!C1483,"AAAAAFvWv20=")</f>
        <v>#VALUE!</v>
      </c>
      <c r="DG99" t="e">
        <f>AND('Planilla_General_07-12-2012_8_3'!D1483,"AAAAAFvWv24=")</f>
        <v>#VALUE!</v>
      </c>
      <c r="DH99" t="e">
        <f>AND('Planilla_General_07-12-2012_8_3'!E1483,"AAAAAFvWv28=")</f>
        <v>#VALUE!</v>
      </c>
      <c r="DI99" t="e">
        <f>AND('Planilla_General_07-12-2012_8_3'!F1483,"AAAAAFvWv3A=")</f>
        <v>#VALUE!</v>
      </c>
      <c r="DJ99" t="e">
        <f>AND('Planilla_General_07-12-2012_8_3'!G1483,"AAAAAFvWv3E=")</f>
        <v>#VALUE!</v>
      </c>
      <c r="DK99" t="e">
        <f>AND('Planilla_General_07-12-2012_8_3'!H1483,"AAAAAFvWv3I=")</f>
        <v>#VALUE!</v>
      </c>
      <c r="DL99" t="e">
        <f>AND('Planilla_General_07-12-2012_8_3'!I1483,"AAAAAFvWv3M=")</f>
        <v>#VALUE!</v>
      </c>
      <c r="DM99" t="e">
        <f>AND('Planilla_General_07-12-2012_8_3'!J1483,"AAAAAFvWv3Q=")</f>
        <v>#VALUE!</v>
      </c>
      <c r="DN99" t="e">
        <f>AND('Planilla_General_07-12-2012_8_3'!K1483,"AAAAAFvWv3U=")</f>
        <v>#VALUE!</v>
      </c>
      <c r="DO99" t="e">
        <f>AND('Planilla_General_07-12-2012_8_3'!L1483,"AAAAAFvWv3Y=")</f>
        <v>#VALUE!</v>
      </c>
      <c r="DP99" t="e">
        <f>AND('Planilla_General_07-12-2012_8_3'!M1483,"AAAAAFvWv3c=")</f>
        <v>#VALUE!</v>
      </c>
      <c r="DQ99" t="e">
        <f>AND('Planilla_General_07-12-2012_8_3'!N1483,"AAAAAFvWv3g=")</f>
        <v>#VALUE!</v>
      </c>
      <c r="DR99" t="e">
        <f>AND('Planilla_General_07-12-2012_8_3'!O1483,"AAAAAFvWv3k=")</f>
        <v>#VALUE!</v>
      </c>
      <c r="DS99" t="e">
        <f>AND('Planilla_General_07-12-2012_8_3'!P1483,"AAAAAFvWv3o=")</f>
        <v>#VALUE!</v>
      </c>
      <c r="DT99">
        <f>IF('Planilla_General_07-12-2012_8_3'!1484:1484,"AAAAAFvWv3s=",0)</f>
        <v>0</v>
      </c>
      <c r="DU99" t="e">
        <f>AND('Planilla_General_07-12-2012_8_3'!A1484,"AAAAAFvWv3w=")</f>
        <v>#VALUE!</v>
      </c>
      <c r="DV99" t="e">
        <f>AND('Planilla_General_07-12-2012_8_3'!B1484,"AAAAAFvWv30=")</f>
        <v>#VALUE!</v>
      </c>
      <c r="DW99" t="e">
        <f>AND('Planilla_General_07-12-2012_8_3'!C1484,"AAAAAFvWv34=")</f>
        <v>#VALUE!</v>
      </c>
      <c r="DX99" t="e">
        <f>AND('Planilla_General_07-12-2012_8_3'!D1484,"AAAAAFvWv38=")</f>
        <v>#VALUE!</v>
      </c>
      <c r="DY99" t="e">
        <f>AND('Planilla_General_07-12-2012_8_3'!E1484,"AAAAAFvWv4A=")</f>
        <v>#VALUE!</v>
      </c>
      <c r="DZ99" t="e">
        <f>AND('Planilla_General_07-12-2012_8_3'!F1484,"AAAAAFvWv4E=")</f>
        <v>#VALUE!</v>
      </c>
      <c r="EA99" t="e">
        <f>AND('Planilla_General_07-12-2012_8_3'!G1484,"AAAAAFvWv4I=")</f>
        <v>#VALUE!</v>
      </c>
      <c r="EB99" t="e">
        <f>AND('Planilla_General_07-12-2012_8_3'!H1484,"AAAAAFvWv4M=")</f>
        <v>#VALUE!</v>
      </c>
      <c r="EC99" t="e">
        <f>AND('Planilla_General_07-12-2012_8_3'!I1484,"AAAAAFvWv4Q=")</f>
        <v>#VALUE!</v>
      </c>
      <c r="ED99" t="e">
        <f>AND('Planilla_General_07-12-2012_8_3'!J1484,"AAAAAFvWv4U=")</f>
        <v>#VALUE!</v>
      </c>
      <c r="EE99" t="e">
        <f>AND('Planilla_General_07-12-2012_8_3'!K1484,"AAAAAFvWv4Y=")</f>
        <v>#VALUE!</v>
      </c>
      <c r="EF99" t="e">
        <f>AND('Planilla_General_07-12-2012_8_3'!L1484,"AAAAAFvWv4c=")</f>
        <v>#VALUE!</v>
      </c>
      <c r="EG99" t="e">
        <f>AND('Planilla_General_07-12-2012_8_3'!M1484,"AAAAAFvWv4g=")</f>
        <v>#VALUE!</v>
      </c>
      <c r="EH99" t="e">
        <f>AND('Planilla_General_07-12-2012_8_3'!N1484,"AAAAAFvWv4k=")</f>
        <v>#VALUE!</v>
      </c>
      <c r="EI99" t="e">
        <f>AND('Planilla_General_07-12-2012_8_3'!O1484,"AAAAAFvWv4o=")</f>
        <v>#VALUE!</v>
      </c>
      <c r="EJ99" t="e">
        <f>AND('Planilla_General_07-12-2012_8_3'!P1484,"AAAAAFvWv4s=")</f>
        <v>#VALUE!</v>
      </c>
      <c r="EK99">
        <f>IF('Planilla_General_07-12-2012_8_3'!1485:1485,"AAAAAFvWv4w=",0)</f>
        <v>0</v>
      </c>
      <c r="EL99" t="e">
        <f>AND('Planilla_General_07-12-2012_8_3'!A1485,"AAAAAFvWv40=")</f>
        <v>#VALUE!</v>
      </c>
      <c r="EM99" t="e">
        <f>AND('Planilla_General_07-12-2012_8_3'!B1485,"AAAAAFvWv44=")</f>
        <v>#VALUE!</v>
      </c>
      <c r="EN99" t="e">
        <f>AND('Planilla_General_07-12-2012_8_3'!C1485,"AAAAAFvWv48=")</f>
        <v>#VALUE!</v>
      </c>
      <c r="EO99" t="e">
        <f>AND('Planilla_General_07-12-2012_8_3'!D1485,"AAAAAFvWv5A=")</f>
        <v>#VALUE!</v>
      </c>
      <c r="EP99" t="e">
        <f>AND('Planilla_General_07-12-2012_8_3'!E1485,"AAAAAFvWv5E=")</f>
        <v>#VALUE!</v>
      </c>
      <c r="EQ99" t="e">
        <f>AND('Planilla_General_07-12-2012_8_3'!F1485,"AAAAAFvWv5I=")</f>
        <v>#VALUE!</v>
      </c>
      <c r="ER99" t="e">
        <f>AND('Planilla_General_07-12-2012_8_3'!G1485,"AAAAAFvWv5M=")</f>
        <v>#VALUE!</v>
      </c>
      <c r="ES99" t="e">
        <f>AND('Planilla_General_07-12-2012_8_3'!H1485,"AAAAAFvWv5Q=")</f>
        <v>#VALUE!</v>
      </c>
      <c r="ET99" t="e">
        <f>AND('Planilla_General_07-12-2012_8_3'!I1485,"AAAAAFvWv5U=")</f>
        <v>#VALUE!</v>
      </c>
      <c r="EU99" t="e">
        <f>AND('Planilla_General_07-12-2012_8_3'!J1485,"AAAAAFvWv5Y=")</f>
        <v>#VALUE!</v>
      </c>
      <c r="EV99" t="e">
        <f>AND('Planilla_General_07-12-2012_8_3'!K1485,"AAAAAFvWv5c=")</f>
        <v>#VALUE!</v>
      </c>
      <c r="EW99" t="e">
        <f>AND('Planilla_General_07-12-2012_8_3'!L1485,"AAAAAFvWv5g=")</f>
        <v>#VALUE!</v>
      </c>
      <c r="EX99" t="e">
        <f>AND('Planilla_General_07-12-2012_8_3'!M1485,"AAAAAFvWv5k=")</f>
        <v>#VALUE!</v>
      </c>
      <c r="EY99" t="e">
        <f>AND('Planilla_General_07-12-2012_8_3'!N1485,"AAAAAFvWv5o=")</f>
        <v>#VALUE!</v>
      </c>
      <c r="EZ99" t="e">
        <f>AND('Planilla_General_07-12-2012_8_3'!O1485,"AAAAAFvWv5s=")</f>
        <v>#VALUE!</v>
      </c>
      <c r="FA99" t="e">
        <f>AND('Planilla_General_07-12-2012_8_3'!P1485,"AAAAAFvWv5w=")</f>
        <v>#VALUE!</v>
      </c>
      <c r="FB99">
        <f>IF('Planilla_General_07-12-2012_8_3'!1486:1486,"AAAAAFvWv50=",0)</f>
        <v>0</v>
      </c>
      <c r="FC99" t="e">
        <f>AND('Planilla_General_07-12-2012_8_3'!A1486,"AAAAAFvWv54=")</f>
        <v>#VALUE!</v>
      </c>
      <c r="FD99" t="e">
        <f>AND('Planilla_General_07-12-2012_8_3'!B1486,"AAAAAFvWv58=")</f>
        <v>#VALUE!</v>
      </c>
      <c r="FE99" t="e">
        <f>AND('Planilla_General_07-12-2012_8_3'!C1486,"AAAAAFvWv6A=")</f>
        <v>#VALUE!</v>
      </c>
      <c r="FF99" t="e">
        <f>AND('Planilla_General_07-12-2012_8_3'!D1486,"AAAAAFvWv6E=")</f>
        <v>#VALUE!</v>
      </c>
      <c r="FG99" t="e">
        <f>AND('Planilla_General_07-12-2012_8_3'!E1486,"AAAAAFvWv6I=")</f>
        <v>#VALUE!</v>
      </c>
      <c r="FH99" t="e">
        <f>AND('Planilla_General_07-12-2012_8_3'!F1486,"AAAAAFvWv6M=")</f>
        <v>#VALUE!</v>
      </c>
      <c r="FI99" t="e">
        <f>AND('Planilla_General_07-12-2012_8_3'!G1486,"AAAAAFvWv6Q=")</f>
        <v>#VALUE!</v>
      </c>
      <c r="FJ99" t="e">
        <f>AND('Planilla_General_07-12-2012_8_3'!H1486,"AAAAAFvWv6U=")</f>
        <v>#VALUE!</v>
      </c>
      <c r="FK99" t="e">
        <f>AND('Planilla_General_07-12-2012_8_3'!I1486,"AAAAAFvWv6Y=")</f>
        <v>#VALUE!</v>
      </c>
      <c r="FL99" t="e">
        <f>AND('Planilla_General_07-12-2012_8_3'!J1486,"AAAAAFvWv6c=")</f>
        <v>#VALUE!</v>
      </c>
      <c r="FM99" t="e">
        <f>AND('Planilla_General_07-12-2012_8_3'!K1486,"AAAAAFvWv6g=")</f>
        <v>#VALUE!</v>
      </c>
      <c r="FN99" t="e">
        <f>AND('Planilla_General_07-12-2012_8_3'!L1486,"AAAAAFvWv6k=")</f>
        <v>#VALUE!</v>
      </c>
      <c r="FO99" t="e">
        <f>AND('Planilla_General_07-12-2012_8_3'!M1486,"AAAAAFvWv6o=")</f>
        <v>#VALUE!</v>
      </c>
      <c r="FP99" t="e">
        <f>AND('Planilla_General_07-12-2012_8_3'!N1486,"AAAAAFvWv6s=")</f>
        <v>#VALUE!</v>
      </c>
      <c r="FQ99" t="e">
        <f>AND('Planilla_General_07-12-2012_8_3'!O1486,"AAAAAFvWv6w=")</f>
        <v>#VALUE!</v>
      </c>
      <c r="FR99" t="e">
        <f>AND('Planilla_General_07-12-2012_8_3'!P1486,"AAAAAFvWv60=")</f>
        <v>#VALUE!</v>
      </c>
      <c r="FS99">
        <f>IF('Planilla_General_07-12-2012_8_3'!1487:1487,"AAAAAFvWv64=",0)</f>
        <v>0</v>
      </c>
      <c r="FT99" t="e">
        <f>AND('Planilla_General_07-12-2012_8_3'!A1487,"AAAAAFvWv68=")</f>
        <v>#VALUE!</v>
      </c>
      <c r="FU99" t="e">
        <f>AND('Planilla_General_07-12-2012_8_3'!B1487,"AAAAAFvWv7A=")</f>
        <v>#VALUE!</v>
      </c>
      <c r="FV99" t="e">
        <f>AND('Planilla_General_07-12-2012_8_3'!C1487,"AAAAAFvWv7E=")</f>
        <v>#VALUE!</v>
      </c>
      <c r="FW99" t="e">
        <f>AND('Planilla_General_07-12-2012_8_3'!D1487,"AAAAAFvWv7I=")</f>
        <v>#VALUE!</v>
      </c>
      <c r="FX99" t="e">
        <f>AND('Planilla_General_07-12-2012_8_3'!E1487,"AAAAAFvWv7M=")</f>
        <v>#VALUE!</v>
      </c>
      <c r="FY99" t="e">
        <f>AND('Planilla_General_07-12-2012_8_3'!F1487,"AAAAAFvWv7Q=")</f>
        <v>#VALUE!</v>
      </c>
      <c r="FZ99" t="e">
        <f>AND('Planilla_General_07-12-2012_8_3'!G1487,"AAAAAFvWv7U=")</f>
        <v>#VALUE!</v>
      </c>
      <c r="GA99" t="e">
        <f>AND('Planilla_General_07-12-2012_8_3'!H1487,"AAAAAFvWv7Y=")</f>
        <v>#VALUE!</v>
      </c>
      <c r="GB99" t="e">
        <f>AND('Planilla_General_07-12-2012_8_3'!I1487,"AAAAAFvWv7c=")</f>
        <v>#VALUE!</v>
      </c>
      <c r="GC99" t="e">
        <f>AND('Planilla_General_07-12-2012_8_3'!J1487,"AAAAAFvWv7g=")</f>
        <v>#VALUE!</v>
      </c>
      <c r="GD99" t="e">
        <f>AND('Planilla_General_07-12-2012_8_3'!K1487,"AAAAAFvWv7k=")</f>
        <v>#VALUE!</v>
      </c>
      <c r="GE99" t="e">
        <f>AND('Planilla_General_07-12-2012_8_3'!L1487,"AAAAAFvWv7o=")</f>
        <v>#VALUE!</v>
      </c>
      <c r="GF99" t="e">
        <f>AND('Planilla_General_07-12-2012_8_3'!M1487,"AAAAAFvWv7s=")</f>
        <v>#VALUE!</v>
      </c>
      <c r="GG99" t="e">
        <f>AND('Planilla_General_07-12-2012_8_3'!N1487,"AAAAAFvWv7w=")</f>
        <v>#VALUE!</v>
      </c>
      <c r="GH99" t="e">
        <f>AND('Planilla_General_07-12-2012_8_3'!O1487,"AAAAAFvWv70=")</f>
        <v>#VALUE!</v>
      </c>
      <c r="GI99" t="e">
        <f>AND('Planilla_General_07-12-2012_8_3'!P1487,"AAAAAFvWv74=")</f>
        <v>#VALUE!</v>
      </c>
      <c r="GJ99">
        <f>IF('Planilla_General_07-12-2012_8_3'!1488:1488,"AAAAAFvWv78=",0)</f>
        <v>0</v>
      </c>
      <c r="GK99" t="e">
        <f>AND('Planilla_General_07-12-2012_8_3'!A1488,"AAAAAFvWv8A=")</f>
        <v>#VALUE!</v>
      </c>
      <c r="GL99" t="e">
        <f>AND('Planilla_General_07-12-2012_8_3'!B1488,"AAAAAFvWv8E=")</f>
        <v>#VALUE!</v>
      </c>
      <c r="GM99" t="e">
        <f>AND('Planilla_General_07-12-2012_8_3'!C1488,"AAAAAFvWv8I=")</f>
        <v>#VALUE!</v>
      </c>
      <c r="GN99" t="e">
        <f>AND('Planilla_General_07-12-2012_8_3'!D1488,"AAAAAFvWv8M=")</f>
        <v>#VALUE!</v>
      </c>
      <c r="GO99" t="e">
        <f>AND('Planilla_General_07-12-2012_8_3'!E1488,"AAAAAFvWv8Q=")</f>
        <v>#VALUE!</v>
      </c>
      <c r="GP99" t="e">
        <f>AND('Planilla_General_07-12-2012_8_3'!F1488,"AAAAAFvWv8U=")</f>
        <v>#VALUE!</v>
      </c>
      <c r="GQ99" t="e">
        <f>AND('Planilla_General_07-12-2012_8_3'!G1488,"AAAAAFvWv8Y=")</f>
        <v>#VALUE!</v>
      </c>
      <c r="GR99" t="e">
        <f>AND('Planilla_General_07-12-2012_8_3'!H1488,"AAAAAFvWv8c=")</f>
        <v>#VALUE!</v>
      </c>
      <c r="GS99" t="e">
        <f>AND('Planilla_General_07-12-2012_8_3'!I1488,"AAAAAFvWv8g=")</f>
        <v>#VALUE!</v>
      </c>
      <c r="GT99" t="e">
        <f>AND('Planilla_General_07-12-2012_8_3'!J1488,"AAAAAFvWv8k=")</f>
        <v>#VALUE!</v>
      </c>
      <c r="GU99" t="e">
        <f>AND('Planilla_General_07-12-2012_8_3'!K1488,"AAAAAFvWv8o=")</f>
        <v>#VALUE!</v>
      </c>
      <c r="GV99" t="e">
        <f>AND('Planilla_General_07-12-2012_8_3'!L1488,"AAAAAFvWv8s=")</f>
        <v>#VALUE!</v>
      </c>
      <c r="GW99" t="e">
        <f>AND('Planilla_General_07-12-2012_8_3'!M1488,"AAAAAFvWv8w=")</f>
        <v>#VALUE!</v>
      </c>
      <c r="GX99" t="e">
        <f>AND('Planilla_General_07-12-2012_8_3'!N1488,"AAAAAFvWv80=")</f>
        <v>#VALUE!</v>
      </c>
      <c r="GY99" t="e">
        <f>AND('Planilla_General_07-12-2012_8_3'!O1488,"AAAAAFvWv84=")</f>
        <v>#VALUE!</v>
      </c>
      <c r="GZ99" t="e">
        <f>AND('Planilla_General_07-12-2012_8_3'!P1488,"AAAAAFvWv88=")</f>
        <v>#VALUE!</v>
      </c>
      <c r="HA99">
        <f>IF('Planilla_General_07-12-2012_8_3'!1489:1489,"AAAAAFvWv9A=",0)</f>
        <v>0</v>
      </c>
      <c r="HB99" t="e">
        <f>AND('Planilla_General_07-12-2012_8_3'!A1489,"AAAAAFvWv9E=")</f>
        <v>#VALUE!</v>
      </c>
      <c r="HC99" t="e">
        <f>AND('Planilla_General_07-12-2012_8_3'!B1489,"AAAAAFvWv9I=")</f>
        <v>#VALUE!</v>
      </c>
      <c r="HD99" t="e">
        <f>AND('Planilla_General_07-12-2012_8_3'!C1489,"AAAAAFvWv9M=")</f>
        <v>#VALUE!</v>
      </c>
      <c r="HE99" t="e">
        <f>AND('Planilla_General_07-12-2012_8_3'!D1489,"AAAAAFvWv9Q=")</f>
        <v>#VALUE!</v>
      </c>
      <c r="HF99" t="e">
        <f>AND('Planilla_General_07-12-2012_8_3'!E1489,"AAAAAFvWv9U=")</f>
        <v>#VALUE!</v>
      </c>
      <c r="HG99" t="e">
        <f>AND('Planilla_General_07-12-2012_8_3'!F1489,"AAAAAFvWv9Y=")</f>
        <v>#VALUE!</v>
      </c>
      <c r="HH99" t="e">
        <f>AND('Planilla_General_07-12-2012_8_3'!G1489,"AAAAAFvWv9c=")</f>
        <v>#VALUE!</v>
      </c>
      <c r="HI99" t="e">
        <f>AND('Planilla_General_07-12-2012_8_3'!H1489,"AAAAAFvWv9g=")</f>
        <v>#VALUE!</v>
      </c>
      <c r="HJ99" t="e">
        <f>AND('Planilla_General_07-12-2012_8_3'!I1489,"AAAAAFvWv9k=")</f>
        <v>#VALUE!</v>
      </c>
      <c r="HK99" t="e">
        <f>AND('Planilla_General_07-12-2012_8_3'!J1489,"AAAAAFvWv9o=")</f>
        <v>#VALUE!</v>
      </c>
      <c r="HL99" t="e">
        <f>AND('Planilla_General_07-12-2012_8_3'!K1489,"AAAAAFvWv9s=")</f>
        <v>#VALUE!</v>
      </c>
      <c r="HM99" t="e">
        <f>AND('Planilla_General_07-12-2012_8_3'!L1489,"AAAAAFvWv9w=")</f>
        <v>#VALUE!</v>
      </c>
      <c r="HN99" t="e">
        <f>AND('Planilla_General_07-12-2012_8_3'!M1489,"AAAAAFvWv90=")</f>
        <v>#VALUE!</v>
      </c>
      <c r="HO99" t="e">
        <f>AND('Planilla_General_07-12-2012_8_3'!N1489,"AAAAAFvWv94=")</f>
        <v>#VALUE!</v>
      </c>
      <c r="HP99" t="e">
        <f>AND('Planilla_General_07-12-2012_8_3'!O1489,"AAAAAFvWv98=")</f>
        <v>#VALUE!</v>
      </c>
      <c r="HQ99" t="e">
        <f>AND('Planilla_General_07-12-2012_8_3'!P1489,"AAAAAFvWv+A=")</f>
        <v>#VALUE!</v>
      </c>
      <c r="HR99">
        <f>IF('Planilla_General_07-12-2012_8_3'!1490:1490,"AAAAAFvWv+E=",0)</f>
        <v>0</v>
      </c>
      <c r="HS99" t="e">
        <f>AND('Planilla_General_07-12-2012_8_3'!A1490,"AAAAAFvWv+I=")</f>
        <v>#VALUE!</v>
      </c>
      <c r="HT99" t="e">
        <f>AND('Planilla_General_07-12-2012_8_3'!B1490,"AAAAAFvWv+M=")</f>
        <v>#VALUE!</v>
      </c>
      <c r="HU99" t="e">
        <f>AND('Planilla_General_07-12-2012_8_3'!C1490,"AAAAAFvWv+Q=")</f>
        <v>#VALUE!</v>
      </c>
      <c r="HV99" t="e">
        <f>AND('Planilla_General_07-12-2012_8_3'!D1490,"AAAAAFvWv+U=")</f>
        <v>#VALUE!</v>
      </c>
      <c r="HW99" t="e">
        <f>AND('Planilla_General_07-12-2012_8_3'!E1490,"AAAAAFvWv+Y=")</f>
        <v>#VALUE!</v>
      </c>
      <c r="HX99" t="e">
        <f>AND('Planilla_General_07-12-2012_8_3'!F1490,"AAAAAFvWv+c=")</f>
        <v>#VALUE!</v>
      </c>
      <c r="HY99" t="e">
        <f>AND('Planilla_General_07-12-2012_8_3'!G1490,"AAAAAFvWv+g=")</f>
        <v>#VALUE!</v>
      </c>
      <c r="HZ99" t="e">
        <f>AND('Planilla_General_07-12-2012_8_3'!H1490,"AAAAAFvWv+k=")</f>
        <v>#VALUE!</v>
      </c>
      <c r="IA99" t="e">
        <f>AND('Planilla_General_07-12-2012_8_3'!I1490,"AAAAAFvWv+o=")</f>
        <v>#VALUE!</v>
      </c>
      <c r="IB99" t="e">
        <f>AND('Planilla_General_07-12-2012_8_3'!J1490,"AAAAAFvWv+s=")</f>
        <v>#VALUE!</v>
      </c>
      <c r="IC99" t="e">
        <f>AND('Planilla_General_07-12-2012_8_3'!K1490,"AAAAAFvWv+w=")</f>
        <v>#VALUE!</v>
      </c>
      <c r="ID99" t="e">
        <f>AND('Planilla_General_07-12-2012_8_3'!L1490,"AAAAAFvWv+0=")</f>
        <v>#VALUE!</v>
      </c>
      <c r="IE99" t="e">
        <f>AND('Planilla_General_07-12-2012_8_3'!M1490,"AAAAAFvWv+4=")</f>
        <v>#VALUE!</v>
      </c>
      <c r="IF99" t="e">
        <f>AND('Planilla_General_07-12-2012_8_3'!N1490,"AAAAAFvWv+8=")</f>
        <v>#VALUE!</v>
      </c>
      <c r="IG99" t="e">
        <f>AND('Planilla_General_07-12-2012_8_3'!O1490,"AAAAAFvWv/A=")</f>
        <v>#VALUE!</v>
      </c>
      <c r="IH99" t="e">
        <f>AND('Planilla_General_07-12-2012_8_3'!P1490,"AAAAAFvWv/E=")</f>
        <v>#VALUE!</v>
      </c>
      <c r="II99">
        <f>IF('Planilla_General_07-12-2012_8_3'!1491:1491,"AAAAAFvWv/I=",0)</f>
        <v>0</v>
      </c>
      <c r="IJ99" t="e">
        <f>AND('Planilla_General_07-12-2012_8_3'!A1491,"AAAAAFvWv/M=")</f>
        <v>#VALUE!</v>
      </c>
      <c r="IK99" t="e">
        <f>AND('Planilla_General_07-12-2012_8_3'!B1491,"AAAAAFvWv/Q=")</f>
        <v>#VALUE!</v>
      </c>
      <c r="IL99" t="e">
        <f>AND('Planilla_General_07-12-2012_8_3'!C1491,"AAAAAFvWv/U=")</f>
        <v>#VALUE!</v>
      </c>
      <c r="IM99" t="e">
        <f>AND('Planilla_General_07-12-2012_8_3'!D1491,"AAAAAFvWv/Y=")</f>
        <v>#VALUE!</v>
      </c>
      <c r="IN99" t="e">
        <f>AND('Planilla_General_07-12-2012_8_3'!E1491,"AAAAAFvWv/c=")</f>
        <v>#VALUE!</v>
      </c>
      <c r="IO99" t="e">
        <f>AND('Planilla_General_07-12-2012_8_3'!F1491,"AAAAAFvWv/g=")</f>
        <v>#VALUE!</v>
      </c>
      <c r="IP99" t="e">
        <f>AND('Planilla_General_07-12-2012_8_3'!G1491,"AAAAAFvWv/k=")</f>
        <v>#VALUE!</v>
      </c>
      <c r="IQ99" t="e">
        <f>AND('Planilla_General_07-12-2012_8_3'!H1491,"AAAAAFvWv/o=")</f>
        <v>#VALUE!</v>
      </c>
      <c r="IR99" t="e">
        <f>AND('Planilla_General_07-12-2012_8_3'!I1491,"AAAAAFvWv/s=")</f>
        <v>#VALUE!</v>
      </c>
      <c r="IS99" t="e">
        <f>AND('Planilla_General_07-12-2012_8_3'!J1491,"AAAAAFvWv/w=")</f>
        <v>#VALUE!</v>
      </c>
      <c r="IT99" t="e">
        <f>AND('Planilla_General_07-12-2012_8_3'!K1491,"AAAAAFvWv/0=")</f>
        <v>#VALUE!</v>
      </c>
      <c r="IU99" t="e">
        <f>AND('Planilla_General_07-12-2012_8_3'!L1491,"AAAAAFvWv/4=")</f>
        <v>#VALUE!</v>
      </c>
      <c r="IV99" t="e">
        <f>AND('Planilla_General_07-12-2012_8_3'!M1491,"AAAAAFvWv/8=")</f>
        <v>#VALUE!</v>
      </c>
    </row>
    <row r="100" spans="1:256" x14ac:dyDescent="0.25">
      <c r="A100" t="e">
        <f>AND('Planilla_General_07-12-2012_8_3'!N1491,"AAAAAHs2/wA=")</f>
        <v>#VALUE!</v>
      </c>
      <c r="B100" t="e">
        <f>AND('Planilla_General_07-12-2012_8_3'!O1491,"AAAAAHs2/wE=")</f>
        <v>#VALUE!</v>
      </c>
      <c r="C100" t="e">
        <f>AND('Planilla_General_07-12-2012_8_3'!P1491,"AAAAAHs2/wI=")</f>
        <v>#VALUE!</v>
      </c>
      <c r="D100" t="e">
        <f>IF('Planilla_General_07-12-2012_8_3'!1492:1492,"AAAAAHs2/wM=",0)</f>
        <v>#VALUE!</v>
      </c>
      <c r="E100" t="e">
        <f>AND('Planilla_General_07-12-2012_8_3'!A1492,"AAAAAHs2/wQ=")</f>
        <v>#VALUE!</v>
      </c>
      <c r="F100" t="e">
        <f>AND('Planilla_General_07-12-2012_8_3'!B1492,"AAAAAHs2/wU=")</f>
        <v>#VALUE!</v>
      </c>
      <c r="G100" t="e">
        <f>AND('Planilla_General_07-12-2012_8_3'!C1492,"AAAAAHs2/wY=")</f>
        <v>#VALUE!</v>
      </c>
      <c r="H100" t="e">
        <f>AND('Planilla_General_07-12-2012_8_3'!D1492,"AAAAAHs2/wc=")</f>
        <v>#VALUE!</v>
      </c>
      <c r="I100" t="e">
        <f>AND('Planilla_General_07-12-2012_8_3'!E1492,"AAAAAHs2/wg=")</f>
        <v>#VALUE!</v>
      </c>
      <c r="J100" t="e">
        <f>AND('Planilla_General_07-12-2012_8_3'!F1492,"AAAAAHs2/wk=")</f>
        <v>#VALUE!</v>
      </c>
      <c r="K100" t="e">
        <f>AND('Planilla_General_07-12-2012_8_3'!G1492,"AAAAAHs2/wo=")</f>
        <v>#VALUE!</v>
      </c>
      <c r="L100" t="e">
        <f>AND('Planilla_General_07-12-2012_8_3'!H1492,"AAAAAHs2/ws=")</f>
        <v>#VALUE!</v>
      </c>
      <c r="M100" t="e">
        <f>AND('Planilla_General_07-12-2012_8_3'!I1492,"AAAAAHs2/ww=")</f>
        <v>#VALUE!</v>
      </c>
      <c r="N100" t="e">
        <f>AND('Planilla_General_07-12-2012_8_3'!J1492,"AAAAAHs2/w0=")</f>
        <v>#VALUE!</v>
      </c>
      <c r="O100" t="e">
        <f>AND('Planilla_General_07-12-2012_8_3'!K1492,"AAAAAHs2/w4=")</f>
        <v>#VALUE!</v>
      </c>
      <c r="P100" t="e">
        <f>AND('Planilla_General_07-12-2012_8_3'!L1492,"AAAAAHs2/w8=")</f>
        <v>#VALUE!</v>
      </c>
      <c r="Q100" t="e">
        <f>AND('Planilla_General_07-12-2012_8_3'!M1492,"AAAAAHs2/xA=")</f>
        <v>#VALUE!</v>
      </c>
      <c r="R100" t="e">
        <f>AND('Planilla_General_07-12-2012_8_3'!N1492,"AAAAAHs2/xE=")</f>
        <v>#VALUE!</v>
      </c>
      <c r="S100" t="e">
        <f>AND('Planilla_General_07-12-2012_8_3'!O1492,"AAAAAHs2/xI=")</f>
        <v>#VALUE!</v>
      </c>
      <c r="T100" t="e">
        <f>AND('Planilla_General_07-12-2012_8_3'!P1492,"AAAAAHs2/xM=")</f>
        <v>#VALUE!</v>
      </c>
      <c r="U100">
        <f>IF('Planilla_General_07-12-2012_8_3'!1493:1493,"AAAAAHs2/xQ=",0)</f>
        <v>0</v>
      </c>
      <c r="V100" t="e">
        <f>AND('Planilla_General_07-12-2012_8_3'!A1493,"AAAAAHs2/xU=")</f>
        <v>#VALUE!</v>
      </c>
      <c r="W100" t="e">
        <f>AND('Planilla_General_07-12-2012_8_3'!B1493,"AAAAAHs2/xY=")</f>
        <v>#VALUE!</v>
      </c>
      <c r="X100" t="e">
        <f>AND('Planilla_General_07-12-2012_8_3'!C1493,"AAAAAHs2/xc=")</f>
        <v>#VALUE!</v>
      </c>
      <c r="Y100" t="e">
        <f>AND('Planilla_General_07-12-2012_8_3'!D1493,"AAAAAHs2/xg=")</f>
        <v>#VALUE!</v>
      </c>
      <c r="Z100" t="e">
        <f>AND('Planilla_General_07-12-2012_8_3'!E1493,"AAAAAHs2/xk=")</f>
        <v>#VALUE!</v>
      </c>
      <c r="AA100" t="e">
        <f>AND('Planilla_General_07-12-2012_8_3'!F1493,"AAAAAHs2/xo=")</f>
        <v>#VALUE!</v>
      </c>
      <c r="AB100" t="e">
        <f>AND('Planilla_General_07-12-2012_8_3'!G1493,"AAAAAHs2/xs=")</f>
        <v>#VALUE!</v>
      </c>
      <c r="AC100" t="e">
        <f>AND('Planilla_General_07-12-2012_8_3'!H1493,"AAAAAHs2/xw=")</f>
        <v>#VALUE!</v>
      </c>
      <c r="AD100" t="e">
        <f>AND('Planilla_General_07-12-2012_8_3'!I1493,"AAAAAHs2/x0=")</f>
        <v>#VALUE!</v>
      </c>
      <c r="AE100" t="e">
        <f>AND('Planilla_General_07-12-2012_8_3'!J1493,"AAAAAHs2/x4=")</f>
        <v>#VALUE!</v>
      </c>
      <c r="AF100" t="e">
        <f>AND('Planilla_General_07-12-2012_8_3'!K1493,"AAAAAHs2/x8=")</f>
        <v>#VALUE!</v>
      </c>
      <c r="AG100" t="e">
        <f>AND('Planilla_General_07-12-2012_8_3'!L1493,"AAAAAHs2/yA=")</f>
        <v>#VALUE!</v>
      </c>
      <c r="AH100" t="e">
        <f>AND('Planilla_General_07-12-2012_8_3'!M1493,"AAAAAHs2/yE=")</f>
        <v>#VALUE!</v>
      </c>
      <c r="AI100" t="e">
        <f>AND('Planilla_General_07-12-2012_8_3'!N1493,"AAAAAHs2/yI=")</f>
        <v>#VALUE!</v>
      </c>
      <c r="AJ100" t="e">
        <f>AND('Planilla_General_07-12-2012_8_3'!O1493,"AAAAAHs2/yM=")</f>
        <v>#VALUE!</v>
      </c>
      <c r="AK100" t="e">
        <f>AND('Planilla_General_07-12-2012_8_3'!P1493,"AAAAAHs2/yQ=")</f>
        <v>#VALUE!</v>
      </c>
      <c r="AL100">
        <f>IF('Planilla_General_07-12-2012_8_3'!1494:1494,"AAAAAHs2/yU=",0)</f>
        <v>0</v>
      </c>
      <c r="AM100" t="e">
        <f>AND('Planilla_General_07-12-2012_8_3'!A1494,"AAAAAHs2/yY=")</f>
        <v>#VALUE!</v>
      </c>
      <c r="AN100" t="e">
        <f>AND('Planilla_General_07-12-2012_8_3'!B1494,"AAAAAHs2/yc=")</f>
        <v>#VALUE!</v>
      </c>
      <c r="AO100" t="e">
        <f>AND('Planilla_General_07-12-2012_8_3'!C1494,"AAAAAHs2/yg=")</f>
        <v>#VALUE!</v>
      </c>
      <c r="AP100" t="e">
        <f>AND('Planilla_General_07-12-2012_8_3'!D1494,"AAAAAHs2/yk=")</f>
        <v>#VALUE!</v>
      </c>
      <c r="AQ100" t="e">
        <f>AND('Planilla_General_07-12-2012_8_3'!E1494,"AAAAAHs2/yo=")</f>
        <v>#VALUE!</v>
      </c>
      <c r="AR100" t="e">
        <f>AND('Planilla_General_07-12-2012_8_3'!F1494,"AAAAAHs2/ys=")</f>
        <v>#VALUE!</v>
      </c>
      <c r="AS100" t="e">
        <f>AND('Planilla_General_07-12-2012_8_3'!G1494,"AAAAAHs2/yw=")</f>
        <v>#VALUE!</v>
      </c>
      <c r="AT100" t="e">
        <f>AND('Planilla_General_07-12-2012_8_3'!H1494,"AAAAAHs2/y0=")</f>
        <v>#VALUE!</v>
      </c>
      <c r="AU100" t="e">
        <f>AND('Planilla_General_07-12-2012_8_3'!I1494,"AAAAAHs2/y4=")</f>
        <v>#VALUE!</v>
      </c>
      <c r="AV100" t="e">
        <f>AND('Planilla_General_07-12-2012_8_3'!J1494,"AAAAAHs2/y8=")</f>
        <v>#VALUE!</v>
      </c>
      <c r="AW100" t="e">
        <f>AND('Planilla_General_07-12-2012_8_3'!K1494,"AAAAAHs2/zA=")</f>
        <v>#VALUE!</v>
      </c>
      <c r="AX100" t="e">
        <f>AND('Planilla_General_07-12-2012_8_3'!L1494,"AAAAAHs2/zE=")</f>
        <v>#VALUE!</v>
      </c>
      <c r="AY100" t="e">
        <f>AND('Planilla_General_07-12-2012_8_3'!M1494,"AAAAAHs2/zI=")</f>
        <v>#VALUE!</v>
      </c>
      <c r="AZ100" t="e">
        <f>AND('Planilla_General_07-12-2012_8_3'!N1494,"AAAAAHs2/zM=")</f>
        <v>#VALUE!</v>
      </c>
      <c r="BA100" t="e">
        <f>AND('Planilla_General_07-12-2012_8_3'!O1494,"AAAAAHs2/zQ=")</f>
        <v>#VALUE!</v>
      </c>
      <c r="BB100" t="e">
        <f>AND('Planilla_General_07-12-2012_8_3'!P1494,"AAAAAHs2/zU=")</f>
        <v>#VALUE!</v>
      </c>
      <c r="BC100">
        <f>IF('Planilla_General_07-12-2012_8_3'!1495:1495,"AAAAAHs2/zY=",0)</f>
        <v>0</v>
      </c>
      <c r="BD100" t="e">
        <f>AND('Planilla_General_07-12-2012_8_3'!A1495,"AAAAAHs2/zc=")</f>
        <v>#VALUE!</v>
      </c>
      <c r="BE100" t="e">
        <f>AND('Planilla_General_07-12-2012_8_3'!B1495,"AAAAAHs2/zg=")</f>
        <v>#VALUE!</v>
      </c>
      <c r="BF100" t="e">
        <f>AND('Planilla_General_07-12-2012_8_3'!C1495,"AAAAAHs2/zk=")</f>
        <v>#VALUE!</v>
      </c>
      <c r="BG100" t="e">
        <f>AND('Planilla_General_07-12-2012_8_3'!D1495,"AAAAAHs2/zo=")</f>
        <v>#VALUE!</v>
      </c>
      <c r="BH100" t="e">
        <f>AND('Planilla_General_07-12-2012_8_3'!E1495,"AAAAAHs2/zs=")</f>
        <v>#VALUE!</v>
      </c>
      <c r="BI100" t="e">
        <f>AND('Planilla_General_07-12-2012_8_3'!F1495,"AAAAAHs2/zw=")</f>
        <v>#VALUE!</v>
      </c>
      <c r="BJ100" t="e">
        <f>AND('Planilla_General_07-12-2012_8_3'!G1495,"AAAAAHs2/z0=")</f>
        <v>#VALUE!</v>
      </c>
      <c r="BK100" t="e">
        <f>AND('Planilla_General_07-12-2012_8_3'!H1495,"AAAAAHs2/z4=")</f>
        <v>#VALUE!</v>
      </c>
      <c r="BL100" t="e">
        <f>AND('Planilla_General_07-12-2012_8_3'!I1495,"AAAAAHs2/z8=")</f>
        <v>#VALUE!</v>
      </c>
      <c r="BM100" t="e">
        <f>AND('Planilla_General_07-12-2012_8_3'!J1495,"AAAAAHs2/0A=")</f>
        <v>#VALUE!</v>
      </c>
      <c r="BN100" t="e">
        <f>AND('Planilla_General_07-12-2012_8_3'!K1495,"AAAAAHs2/0E=")</f>
        <v>#VALUE!</v>
      </c>
      <c r="BO100" t="e">
        <f>AND('Planilla_General_07-12-2012_8_3'!L1495,"AAAAAHs2/0I=")</f>
        <v>#VALUE!</v>
      </c>
      <c r="BP100" t="e">
        <f>AND('Planilla_General_07-12-2012_8_3'!M1495,"AAAAAHs2/0M=")</f>
        <v>#VALUE!</v>
      </c>
      <c r="BQ100" t="e">
        <f>AND('Planilla_General_07-12-2012_8_3'!N1495,"AAAAAHs2/0Q=")</f>
        <v>#VALUE!</v>
      </c>
      <c r="BR100" t="e">
        <f>AND('Planilla_General_07-12-2012_8_3'!O1495,"AAAAAHs2/0U=")</f>
        <v>#VALUE!</v>
      </c>
      <c r="BS100" t="e">
        <f>AND('Planilla_General_07-12-2012_8_3'!P1495,"AAAAAHs2/0Y=")</f>
        <v>#VALUE!</v>
      </c>
      <c r="BT100">
        <f>IF('Planilla_General_07-12-2012_8_3'!1496:1496,"AAAAAHs2/0c=",0)</f>
        <v>0</v>
      </c>
      <c r="BU100" t="e">
        <f>AND('Planilla_General_07-12-2012_8_3'!A1496,"AAAAAHs2/0g=")</f>
        <v>#VALUE!</v>
      </c>
      <c r="BV100" t="e">
        <f>AND('Planilla_General_07-12-2012_8_3'!B1496,"AAAAAHs2/0k=")</f>
        <v>#VALUE!</v>
      </c>
      <c r="BW100" t="e">
        <f>AND('Planilla_General_07-12-2012_8_3'!C1496,"AAAAAHs2/0o=")</f>
        <v>#VALUE!</v>
      </c>
      <c r="BX100" t="e">
        <f>AND('Planilla_General_07-12-2012_8_3'!D1496,"AAAAAHs2/0s=")</f>
        <v>#VALUE!</v>
      </c>
      <c r="BY100" t="e">
        <f>AND('Planilla_General_07-12-2012_8_3'!E1496,"AAAAAHs2/0w=")</f>
        <v>#VALUE!</v>
      </c>
      <c r="BZ100" t="e">
        <f>AND('Planilla_General_07-12-2012_8_3'!F1496,"AAAAAHs2/00=")</f>
        <v>#VALUE!</v>
      </c>
      <c r="CA100" t="e">
        <f>AND('Planilla_General_07-12-2012_8_3'!G1496,"AAAAAHs2/04=")</f>
        <v>#VALUE!</v>
      </c>
      <c r="CB100" t="e">
        <f>AND('Planilla_General_07-12-2012_8_3'!H1496,"AAAAAHs2/08=")</f>
        <v>#VALUE!</v>
      </c>
      <c r="CC100" t="e">
        <f>AND('Planilla_General_07-12-2012_8_3'!I1496,"AAAAAHs2/1A=")</f>
        <v>#VALUE!</v>
      </c>
      <c r="CD100" t="e">
        <f>AND('Planilla_General_07-12-2012_8_3'!J1496,"AAAAAHs2/1E=")</f>
        <v>#VALUE!</v>
      </c>
      <c r="CE100" t="e">
        <f>AND('Planilla_General_07-12-2012_8_3'!K1496,"AAAAAHs2/1I=")</f>
        <v>#VALUE!</v>
      </c>
      <c r="CF100" t="e">
        <f>AND('Planilla_General_07-12-2012_8_3'!L1496,"AAAAAHs2/1M=")</f>
        <v>#VALUE!</v>
      </c>
      <c r="CG100" t="e">
        <f>AND('Planilla_General_07-12-2012_8_3'!M1496,"AAAAAHs2/1Q=")</f>
        <v>#VALUE!</v>
      </c>
      <c r="CH100" t="e">
        <f>AND('Planilla_General_07-12-2012_8_3'!N1496,"AAAAAHs2/1U=")</f>
        <v>#VALUE!</v>
      </c>
      <c r="CI100" t="e">
        <f>AND('Planilla_General_07-12-2012_8_3'!O1496,"AAAAAHs2/1Y=")</f>
        <v>#VALUE!</v>
      </c>
      <c r="CJ100" t="e">
        <f>AND('Planilla_General_07-12-2012_8_3'!P1496,"AAAAAHs2/1c=")</f>
        <v>#VALUE!</v>
      </c>
      <c r="CK100">
        <f>IF('Planilla_General_07-12-2012_8_3'!1497:1497,"AAAAAHs2/1g=",0)</f>
        <v>0</v>
      </c>
      <c r="CL100" t="e">
        <f>AND('Planilla_General_07-12-2012_8_3'!A1497,"AAAAAHs2/1k=")</f>
        <v>#VALUE!</v>
      </c>
      <c r="CM100" t="e">
        <f>AND('Planilla_General_07-12-2012_8_3'!B1497,"AAAAAHs2/1o=")</f>
        <v>#VALUE!</v>
      </c>
      <c r="CN100" t="e">
        <f>AND('Planilla_General_07-12-2012_8_3'!C1497,"AAAAAHs2/1s=")</f>
        <v>#VALUE!</v>
      </c>
      <c r="CO100" t="e">
        <f>AND('Planilla_General_07-12-2012_8_3'!D1497,"AAAAAHs2/1w=")</f>
        <v>#VALUE!</v>
      </c>
      <c r="CP100" t="e">
        <f>AND('Planilla_General_07-12-2012_8_3'!E1497,"AAAAAHs2/10=")</f>
        <v>#VALUE!</v>
      </c>
      <c r="CQ100" t="e">
        <f>AND('Planilla_General_07-12-2012_8_3'!F1497,"AAAAAHs2/14=")</f>
        <v>#VALUE!</v>
      </c>
      <c r="CR100" t="e">
        <f>AND('Planilla_General_07-12-2012_8_3'!G1497,"AAAAAHs2/18=")</f>
        <v>#VALUE!</v>
      </c>
      <c r="CS100" t="e">
        <f>AND('Planilla_General_07-12-2012_8_3'!H1497,"AAAAAHs2/2A=")</f>
        <v>#VALUE!</v>
      </c>
      <c r="CT100" t="e">
        <f>AND('Planilla_General_07-12-2012_8_3'!I1497,"AAAAAHs2/2E=")</f>
        <v>#VALUE!</v>
      </c>
      <c r="CU100" t="e">
        <f>AND('Planilla_General_07-12-2012_8_3'!J1497,"AAAAAHs2/2I=")</f>
        <v>#VALUE!</v>
      </c>
      <c r="CV100" t="e">
        <f>AND('Planilla_General_07-12-2012_8_3'!K1497,"AAAAAHs2/2M=")</f>
        <v>#VALUE!</v>
      </c>
      <c r="CW100" t="e">
        <f>AND('Planilla_General_07-12-2012_8_3'!L1497,"AAAAAHs2/2Q=")</f>
        <v>#VALUE!</v>
      </c>
      <c r="CX100" t="e">
        <f>AND('Planilla_General_07-12-2012_8_3'!M1497,"AAAAAHs2/2U=")</f>
        <v>#VALUE!</v>
      </c>
      <c r="CY100" t="e">
        <f>AND('Planilla_General_07-12-2012_8_3'!N1497,"AAAAAHs2/2Y=")</f>
        <v>#VALUE!</v>
      </c>
      <c r="CZ100" t="e">
        <f>AND('Planilla_General_07-12-2012_8_3'!O1497,"AAAAAHs2/2c=")</f>
        <v>#VALUE!</v>
      </c>
      <c r="DA100" t="e">
        <f>AND('Planilla_General_07-12-2012_8_3'!P1497,"AAAAAHs2/2g=")</f>
        <v>#VALUE!</v>
      </c>
      <c r="DB100">
        <f>IF('Planilla_General_07-12-2012_8_3'!1498:1498,"AAAAAHs2/2k=",0)</f>
        <v>0</v>
      </c>
      <c r="DC100" t="e">
        <f>AND('Planilla_General_07-12-2012_8_3'!A1498,"AAAAAHs2/2o=")</f>
        <v>#VALUE!</v>
      </c>
      <c r="DD100" t="e">
        <f>AND('Planilla_General_07-12-2012_8_3'!B1498,"AAAAAHs2/2s=")</f>
        <v>#VALUE!</v>
      </c>
      <c r="DE100" t="e">
        <f>AND('Planilla_General_07-12-2012_8_3'!C1498,"AAAAAHs2/2w=")</f>
        <v>#VALUE!</v>
      </c>
      <c r="DF100" t="e">
        <f>AND('Planilla_General_07-12-2012_8_3'!D1498,"AAAAAHs2/20=")</f>
        <v>#VALUE!</v>
      </c>
      <c r="DG100" t="e">
        <f>AND('Planilla_General_07-12-2012_8_3'!E1498,"AAAAAHs2/24=")</f>
        <v>#VALUE!</v>
      </c>
      <c r="DH100" t="e">
        <f>AND('Planilla_General_07-12-2012_8_3'!F1498,"AAAAAHs2/28=")</f>
        <v>#VALUE!</v>
      </c>
      <c r="DI100" t="e">
        <f>AND('Planilla_General_07-12-2012_8_3'!G1498,"AAAAAHs2/3A=")</f>
        <v>#VALUE!</v>
      </c>
      <c r="DJ100" t="e">
        <f>AND('Planilla_General_07-12-2012_8_3'!H1498,"AAAAAHs2/3E=")</f>
        <v>#VALUE!</v>
      </c>
      <c r="DK100" t="e">
        <f>AND('Planilla_General_07-12-2012_8_3'!I1498,"AAAAAHs2/3I=")</f>
        <v>#VALUE!</v>
      </c>
      <c r="DL100" t="e">
        <f>AND('Planilla_General_07-12-2012_8_3'!J1498,"AAAAAHs2/3M=")</f>
        <v>#VALUE!</v>
      </c>
      <c r="DM100" t="e">
        <f>AND('Planilla_General_07-12-2012_8_3'!K1498,"AAAAAHs2/3Q=")</f>
        <v>#VALUE!</v>
      </c>
      <c r="DN100" t="e">
        <f>AND('Planilla_General_07-12-2012_8_3'!L1498,"AAAAAHs2/3U=")</f>
        <v>#VALUE!</v>
      </c>
      <c r="DO100" t="e">
        <f>AND('Planilla_General_07-12-2012_8_3'!M1498,"AAAAAHs2/3Y=")</f>
        <v>#VALUE!</v>
      </c>
      <c r="DP100" t="e">
        <f>AND('Planilla_General_07-12-2012_8_3'!N1498,"AAAAAHs2/3c=")</f>
        <v>#VALUE!</v>
      </c>
      <c r="DQ100" t="e">
        <f>AND('Planilla_General_07-12-2012_8_3'!O1498,"AAAAAHs2/3g=")</f>
        <v>#VALUE!</v>
      </c>
      <c r="DR100" t="e">
        <f>AND('Planilla_General_07-12-2012_8_3'!P1498,"AAAAAHs2/3k=")</f>
        <v>#VALUE!</v>
      </c>
      <c r="DS100">
        <f>IF('Planilla_General_07-12-2012_8_3'!1499:1499,"AAAAAHs2/3o=",0)</f>
        <v>0</v>
      </c>
      <c r="DT100" t="e">
        <f>AND('Planilla_General_07-12-2012_8_3'!A1499,"AAAAAHs2/3s=")</f>
        <v>#VALUE!</v>
      </c>
      <c r="DU100" t="e">
        <f>AND('Planilla_General_07-12-2012_8_3'!B1499,"AAAAAHs2/3w=")</f>
        <v>#VALUE!</v>
      </c>
      <c r="DV100" t="e">
        <f>AND('Planilla_General_07-12-2012_8_3'!C1499,"AAAAAHs2/30=")</f>
        <v>#VALUE!</v>
      </c>
      <c r="DW100" t="e">
        <f>AND('Planilla_General_07-12-2012_8_3'!D1499,"AAAAAHs2/34=")</f>
        <v>#VALUE!</v>
      </c>
      <c r="DX100" t="e">
        <f>AND('Planilla_General_07-12-2012_8_3'!E1499,"AAAAAHs2/38=")</f>
        <v>#VALUE!</v>
      </c>
      <c r="DY100" t="e">
        <f>AND('Planilla_General_07-12-2012_8_3'!F1499,"AAAAAHs2/4A=")</f>
        <v>#VALUE!</v>
      </c>
      <c r="DZ100" t="e">
        <f>AND('Planilla_General_07-12-2012_8_3'!G1499,"AAAAAHs2/4E=")</f>
        <v>#VALUE!</v>
      </c>
      <c r="EA100" t="e">
        <f>AND('Planilla_General_07-12-2012_8_3'!H1499,"AAAAAHs2/4I=")</f>
        <v>#VALUE!</v>
      </c>
      <c r="EB100" t="e">
        <f>AND('Planilla_General_07-12-2012_8_3'!I1499,"AAAAAHs2/4M=")</f>
        <v>#VALUE!</v>
      </c>
      <c r="EC100" t="e">
        <f>AND('Planilla_General_07-12-2012_8_3'!J1499,"AAAAAHs2/4Q=")</f>
        <v>#VALUE!</v>
      </c>
      <c r="ED100" t="e">
        <f>AND('Planilla_General_07-12-2012_8_3'!K1499,"AAAAAHs2/4U=")</f>
        <v>#VALUE!</v>
      </c>
      <c r="EE100" t="e">
        <f>AND('Planilla_General_07-12-2012_8_3'!L1499,"AAAAAHs2/4Y=")</f>
        <v>#VALUE!</v>
      </c>
      <c r="EF100" t="e">
        <f>AND('Planilla_General_07-12-2012_8_3'!M1499,"AAAAAHs2/4c=")</f>
        <v>#VALUE!</v>
      </c>
      <c r="EG100" t="e">
        <f>AND('Planilla_General_07-12-2012_8_3'!N1499,"AAAAAHs2/4g=")</f>
        <v>#VALUE!</v>
      </c>
      <c r="EH100" t="e">
        <f>AND('Planilla_General_07-12-2012_8_3'!O1499,"AAAAAHs2/4k=")</f>
        <v>#VALUE!</v>
      </c>
      <c r="EI100" t="e">
        <f>AND('Planilla_General_07-12-2012_8_3'!P1499,"AAAAAHs2/4o=")</f>
        <v>#VALUE!</v>
      </c>
      <c r="EJ100">
        <f>IF('Planilla_General_07-12-2012_8_3'!1500:1500,"AAAAAHs2/4s=",0)</f>
        <v>0</v>
      </c>
      <c r="EK100" t="e">
        <f>AND('Planilla_General_07-12-2012_8_3'!A1500,"AAAAAHs2/4w=")</f>
        <v>#VALUE!</v>
      </c>
      <c r="EL100" t="e">
        <f>AND('Planilla_General_07-12-2012_8_3'!B1500,"AAAAAHs2/40=")</f>
        <v>#VALUE!</v>
      </c>
      <c r="EM100" t="e">
        <f>AND('Planilla_General_07-12-2012_8_3'!C1500,"AAAAAHs2/44=")</f>
        <v>#VALUE!</v>
      </c>
      <c r="EN100" t="e">
        <f>AND('Planilla_General_07-12-2012_8_3'!D1500,"AAAAAHs2/48=")</f>
        <v>#VALUE!</v>
      </c>
      <c r="EO100" t="e">
        <f>AND('Planilla_General_07-12-2012_8_3'!E1500,"AAAAAHs2/5A=")</f>
        <v>#VALUE!</v>
      </c>
      <c r="EP100" t="e">
        <f>AND('Planilla_General_07-12-2012_8_3'!F1500,"AAAAAHs2/5E=")</f>
        <v>#VALUE!</v>
      </c>
      <c r="EQ100" t="e">
        <f>AND('Planilla_General_07-12-2012_8_3'!G1500,"AAAAAHs2/5I=")</f>
        <v>#VALUE!</v>
      </c>
      <c r="ER100" t="e">
        <f>AND('Planilla_General_07-12-2012_8_3'!H1500,"AAAAAHs2/5M=")</f>
        <v>#VALUE!</v>
      </c>
      <c r="ES100" t="e">
        <f>AND('Planilla_General_07-12-2012_8_3'!I1500,"AAAAAHs2/5Q=")</f>
        <v>#VALUE!</v>
      </c>
      <c r="ET100" t="e">
        <f>AND('Planilla_General_07-12-2012_8_3'!J1500,"AAAAAHs2/5U=")</f>
        <v>#VALUE!</v>
      </c>
      <c r="EU100" t="e">
        <f>AND('Planilla_General_07-12-2012_8_3'!K1500,"AAAAAHs2/5Y=")</f>
        <v>#VALUE!</v>
      </c>
      <c r="EV100" t="e">
        <f>AND('Planilla_General_07-12-2012_8_3'!L1500,"AAAAAHs2/5c=")</f>
        <v>#VALUE!</v>
      </c>
      <c r="EW100" t="e">
        <f>AND('Planilla_General_07-12-2012_8_3'!M1500,"AAAAAHs2/5g=")</f>
        <v>#VALUE!</v>
      </c>
      <c r="EX100" t="e">
        <f>AND('Planilla_General_07-12-2012_8_3'!N1500,"AAAAAHs2/5k=")</f>
        <v>#VALUE!</v>
      </c>
      <c r="EY100" t="e">
        <f>AND('Planilla_General_07-12-2012_8_3'!O1500,"AAAAAHs2/5o=")</f>
        <v>#VALUE!</v>
      </c>
      <c r="EZ100" t="e">
        <f>AND('Planilla_General_07-12-2012_8_3'!P1500,"AAAAAHs2/5s=")</f>
        <v>#VALUE!</v>
      </c>
      <c r="FA100">
        <f>IF('Planilla_General_07-12-2012_8_3'!1501:1501,"AAAAAHs2/5w=",0)</f>
        <v>0</v>
      </c>
      <c r="FB100" t="e">
        <f>AND('Planilla_General_07-12-2012_8_3'!A1501,"AAAAAHs2/50=")</f>
        <v>#VALUE!</v>
      </c>
      <c r="FC100" t="e">
        <f>AND('Planilla_General_07-12-2012_8_3'!B1501,"AAAAAHs2/54=")</f>
        <v>#VALUE!</v>
      </c>
      <c r="FD100" t="e">
        <f>AND('Planilla_General_07-12-2012_8_3'!C1501,"AAAAAHs2/58=")</f>
        <v>#VALUE!</v>
      </c>
      <c r="FE100" t="e">
        <f>AND('Planilla_General_07-12-2012_8_3'!D1501,"AAAAAHs2/6A=")</f>
        <v>#VALUE!</v>
      </c>
      <c r="FF100" t="e">
        <f>AND('Planilla_General_07-12-2012_8_3'!E1501,"AAAAAHs2/6E=")</f>
        <v>#VALUE!</v>
      </c>
      <c r="FG100" t="e">
        <f>AND('Planilla_General_07-12-2012_8_3'!F1501,"AAAAAHs2/6I=")</f>
        <v>#VALUE!</v>
      </c>
      <c r="FH100" t="e">
        <f>AND('Planilla_General_07-12-2012_8_3'!G1501,"AAAAAHs2/6M=")</f>
        <v>#VALUE!</v>
      </c>
      <c r="FI100" t="e">
        <f>AND('Planilla_General_07-12-2012_8_3'!H1501,"AAAAAHs2/6Q=")</f>
        <v>#VALUE!</v>
      </c>
      <c r="FJ100" t="e">
        <f>AND('Planilla_General_07-12-2012_8_3'!I1501,"AAAAAHs2/6U=")</f>
        <v>#VALUE!</v>
      </c>
      <c r="FK100" t="e">
        <f>AND('Planilla_General_07-12-2012_8_3'!J1501,"AAAAAHs2/6Y=")</f>
        <v>#VALUE!</v>
      </c>
      <c r="FL100" t="e">
        <f>AND('Planilla_General_07-12-2012_8_3'!K1501,"AAAAAHs2/6c=")</f>
        <v>#VALUE!</v>
      </c>
      <c r="FM100" t="e">
        <f>AND('Planilla_General_07-12-2012_8_3'!L1501,"AAAAAHs2/6g=")</f>
        <v>#VALUE!</v>
      </c>
      <c r="FN100" t="e">
        <f>AND('Planilla_General_07-12-2012_8_3'!M1501,"AAAAAHs2/6k=")</f>
        <v>#VALUE!</v>
      </c>
      <c r="FO100" t="e">
        <f>AND('Planilla_General_07-12-2012_8_3'!N1501,"AAAAAHs2/6o=")</f>
        <v>#VALUE!</v>
      </c>
      <c r="FP100" t="e">
        <f>AND('Planilla_General_07-12-2012_8_3'!O1501,"AAAAAHs2/6s=")</f>
        <v>#VALUE!</v>
      </c>
      <c r="FQ100" t="e">
        <f>AND('Planilla_General_07-12-2012_8_3'!P1501,"AAAAAHs2/6w=")</f>
        <v>#VALUE!</v>
      </c>
      <c r="FR100">
        <f>IF('Planilla_General_07-12-2012_8_3'!1502:1502,"AAAAAHs2/60=",0)</f>
        <v>0</v>
      </c>
      <c r="FS100" t="e">
        <f>AND('Planilla_General_07-12-2012_8_3'!A1502,"AAAAAHs2/64=")</f>
        <v>#VALUE!</v>
      </c>
      <c r="FT100" t="e">
        <f>AND('Planilla_General_07-12-2012_8_3'!B1502,"AAAAAHs2/68=")</f>
        <v>#VALUE!</v>
      </c>
      <c r="FU100" t="e">
        <f>AND('Planilla_General_07-12-2012_8_3'!C1502,"AAAAAHs2/7A=")</f>
        <v>#VALUE!</v>
      </c>
      <c r="FV100" t="e">
        <f>AND('Planilla_General_07-12-2012_8_3'!D1502,"AAAAAHs2/7E=")</f>
        <v>#VALUE!</v>
      </c>
      <c r="FW100" t="e">
        <f>AND('Planilla_General_07-12-2012_8_3'!E1502,"AAAAAHs2/7I=")</f>
        <v>#VALUE!</v>
      </c>
      <c r="FX100" t="e">
        <f>AND('Planilla_General_07-12-2012_8_3'!F1502,"AAAAAHs2/7M=")</f>
        <v>#VALUE!</v>
      </c>
      <c r="FY100" t="e">
        <f>AND('Planilla_General_07-12-2012_8_3'!G1502,"AAAAAHs2/7Q=")</f>
        <v>#VALUE!</v>
      </c>
      <c r="FZ100" t="e">
        <f>AND('Planilla_General_07-12-2012_8_3'!H1502,"AAAAAHs2/7U=")</f>
        <v>#VALUE!</v>
      </c>
      <c r="GA100" t="e">
        <f>AND('Planilla_General_07-12-2012_8_3'!I1502,"AAAAAHs2/7Y=")</f>
        <v>#VALUE!</v>
      </c>
      <c r="GB100" t="e">
        <f>AND('Planilla_General_07-12-2012_8_3'!J1502,"AAAAAHs2/7c=")</f>
        <v>#VALUE!</v>
      </c>
      <c r="GC100" t="e">
        <f>AND('Planilla_General_07-12-2012_8_3'!K1502,"AAAAAHs2/7g=")</f>
        <v>#VALUE!</v>
      </c>
      <c r="GD100" t="e">
        <f>AND('Planilla_General_07-12-2012_8_3'!L1502,"AAAAAHs2/7k=")</f>
        <v>#VALUE!</v>
      </c>
      <c r="GE100" t="e">
        <f>AND('Planilla_General_07-12-2012_8_3'!M1502,"AAAAAHs2/7o=")</f>
        <v>#VALUE!</v>
      </c>
      <c r="GF100" t="e">
        <f>AND('Planilla_General_07-12-2012_8_3'!N1502,"AAAAAHs2/7s=")</f>
        <v>#VALUE!</v>
      </c>
      <c r="GG100" t="e">
        <f>AND('Planilla_General_07-12-2012_8_3'!O1502,"AAAAAHs2/7w=")</f>
        <v>#VALUE!</v>
      </c>
      <c r="GH100" t="e">
        <f>AND('Planilla_General_07-12-2012_8_3'!P1502,"AAAAAHs2/70=")</f>
        <v>#VALUE!</v>
      </c>
      <c r="GI100">
        <f>IF('Planilla_General_07-12-2012_8_3'!1503:1503,"AAAAAHs2/74=",0)</f>
        <v>0</v>
      </c>
      <c r="GJ100" t="e">
        <f>AND('Planilla_General_07-12-2012_8_3'!A1503,"AAAAAHs2/78=")</f>
        <v>#VALUE!</v>
      </c>
      <c r="GK100" t="e">
        <f>AND('Planilla_General_07-12-2012_8_3'!B1503,"AAAAAHs2/8A=")</f>
        <v>#VALUE!</v>
      </c>
      <c r="GL100" t="e">
        <f>AND('Planilla_General_07-12-2012_8_3'!C1503,"AAAAAHs2/8E=")</f>
        <v>#VALUE!</v>
      </c>
      <c r="GM100" t="e">
        <f>AND('Planilla_General_07-12-2012_8_3'!D1503,"AAAAAHs2/8I=")</f>
        <v>#VALUE!</v>
      </c>
      <c r="GN100" t="e">
        <f>AND('Planilla_General_07-12-2012_8_3'!E1503,"AAAAAHs2/8M=")</f>
        <v>#VALUE!</v>
      </c>
      <c r="GO100" t="e">
        <f>AND('Planilla_General_07-12-2012_8_3'!F1503,"AAAAAHs2/8Q=")</f>
        <v>#VALUE!</v>
      </c>
      <c r="GP100" t="e">
        <f>AND('Planilla_General_07-12-2012_8_3'!G1503,"AAAAAHs2/8U=")</f>
        <v>#VALUE!</v>
      </c>
      <c r="GQ100" t="e">
        <f>AND('Planilla_General_07-12-2012_8_3'!H1503,"AAAAAHs2/8Y=")</f>
        <v>#VALUE!</v>
      </c>
      <c r="GR100" t="e">
        <f>AND('Planilla_General_07-12-2012_8_3'!I1503,"AAAAAHs2/8c=")</f>
        <v>#VALUE!</v>
      </c>
      <c r="GS100" t="e">
        <f>AND('Planilla_General_07-12-2012_8_3'!J1503,"AAAAAHs2/8g=")</f>
        <v>#VALUE!</v>
      </c>
      <c r="GT100" t="e">
        <f>AND('Planilla_General_07-12-2012_8_3'!K1503,"AAAAAHs2/8k=")</f>
        <v>#VALUE!</v>
      </c>
      <c r="GU100" t="e">
        <f>AND('Planilla_General_07-12-2012_8_3'!L1503,"AAAAAHs2/8o=")</f>
        <v>#VALUE!</v>
      </c>
      <c r="GV100" t="e">
        <f>AND('Planilla_General_07-12-2012_8_3'!M1503,"AAAAAHs2/8s=")</f>
        <v>#VALUE!</v>
      </c>
      <c r="GW100" t="e">
        <f>AND('Planilla_General_07-12-2012_8_3'!N1503,"AAAAAHs2/8w=")</f>
        <v>#VALUE!</v>
      </c>
      <c r="GX100" t="e">
        <f>AND('Planilla_General_07-12-2012_8_3'!O1503,"AAAAAHs2/80=")</f>
        <v>#VALUE!</v>
      </c>
      <c r="GY100" t="e">
        <f>AND('Planilla_General_07-12-2012_8_3'!P1503,"AAAAAHs2/84=")</f>
        <v>#VALUE!</v>
      </c>
      <c r="GZ100">
        <f>IF('Planilla_General_07-12-2012_8_3'!1504:1504,"AAAAAHs2/88=",0)</f>
        <v>0</v>
      </c>
      <c r="HA100" t="e">
        <f>AND('Planilla_General_07-12-2012_8_3'!A1504,"AAAAAHs2/9A=")</f>
        <v>#VALUE!</v>
      </c>
      <c r="HB100" t="e">
        <f>AND('Planilla_General_07-12-2012_8_3'!B1504,"AAAAAHs2/9E=")</f>
        <v>#VALUE!</v>
      </c>
      <c r="HC100" t="e">
        <f>AND('Planilla_General_07-12-2012_8_3'!C1504,"AAAAAHs2/9I=")</f>
        <v>#VALUE!</v>
      </c>
      <c r="HD100" t="e">
        <f>AND('Planilla_General_07-12-2012_8_3'!D1504,"AAAAAHs2/9M=")</f>
        <v>#VALUE!</v>
      </c>
      <c r="HE100" t="e">
        <f>AND('Planilla_General_07-12-2012_8_3'!E1504,"AAAAAHs2/9Q=")</f>
        <v>#VALUE!</v>
      </c>
      <c r="HF100" t="e">
        <f>AND('Planilla_General_07-12-2012_8_3'!F1504,"AAAAAHs2/9U=")</f>
        <v>#VALUE!</v>
      </c>
      <c r="HG100" t="e">
        <f>AND('Planilla_General_07-12-2012_8_3'!G1504,"AAAAAHs2/9Y=")</f>
        <v>#VALUE!</v>
      </c>
      <c r="HH100" t="e">
        <f>AND('Planilla_General_07-12-2012_8_3'!H1504,"AAAAAHs2/9c=")</f>
        <v>#VALUE!</v>
      </c>
      <c r="HI100" t="e">
        <f>AND('Planilla_General_07-12-2012_8_3'!I1504,"AAAAAHs2/9g=")</f>
        <v>#VALUE!</v>
      </c>
      <c r="HJ100" t="e">
        <f>AND('Planilla_General_07-12-2012_8_3'!J1504,"AAAAAHs2/9k=")</f>
        <v>#VALUE!</v>
      </c>
      <c r="HK100" t="e">
        <f>AND('Planilla_General_07-12-2012_8_3'!K1504,"AAAAAHs2/9o=")</f>
        <v>#VALUE!</v>
      </c>
      <c r="HL100" t="e">
        <f>AND('Planilla_General_07-12-2012_8_3'!L1504,"AAAAAHs2/9s=")</f>
        <v>#VALUE!</v>
      </c>
      <c r="HM100" t="e">
        <f>AND('Planilla_General_07-12-2012_8_3'!M1504,"AAAAAHs2/9w=")</f>
        <v>#VALUE!</v>
      </c>
      <c r="HN100" t="e">
        <f>AND('Planilla_General_07-12-2012_8_3'!N1504,"AAAAAHs2/90=")</f>
        <v>#VALUE!</v>
      </c>
      <c r="HO100" t="e">
        <f>AND('Planilla_General_07-12-2012_8_3'!O1504,"AAAAAHs2/94=")</f>
        <v>#VALUE!</v>
      </c>
      <c r="HP100" t="e">
        <f>AND('Planilla_General_07-12-2012_8_3'!P1504,"AAAAAHs2/98=")</f>
        <v>#VALUE!</v>
      </c>
      <c r="HQ100">
        <f>IF('Planilla_General_07-12-2012_8_3'!1505:1505,"AAAAAHs2/+A=",0)</f>
        <v>0</v>
      </c>
      <c r="HR100" t="e">
        <f>AND('Planilla_General_07-12-2012_8_3'!A1505,"AAAAAHs2/+E=")</f>
        <v>#VALUE!</v>
      </c>
      <c r="HS100" t="e">
        <f>AND('Planilla_General_07-12-2012_8_3'!B1505,"AAAAAHs2/+I=")</f>
        <v>#VALUE!</v>
      </c>
      <c r="HT100" t="e">
        <f>AND('Planilla_General_07-12-2012_8_3'!C1505,"AAAAAHs2/+M=")</f>
        <v>#VALUE!</v>
      </c>
      <c r="HU100" t="e">
        <f>AND('Planilla_General_07-12-2012_8_3'!D1505,"AAAAAHs2/+Q=")</f>
        <v>#VALUE!</v>
      </c>
      <c r="HV100" t="e">
        <f>AND('Planilla_General_07-12-2012_8_3'!E1505,"AAAAAHs2/+U=")</f>
        <v>#VALUE!</v>
      </c>
      <c r="HW100" t="e">
        <f>AND('Planilla_General_07-12-2012_8_3'!F1505,"AAAAAHs2/+Y=")</f>
        <v>#VALUE!</v>
      </c>
      <c r="HX100" t="e">
        <f>AND('Planilla_General_07-12-2012_8_3'!G1505,"AAAAAHs2/+c=")</f>
        <v>#VALUE!</v>
      </c>
      <c r="HY100" t="e">
        <f>AND('Planilla_General_07-12-2012_8_3'!H1505,"AAAAAHs2/+g=")</f>
        <v>#VALUE!</v>
      </c>
      <c r="HZ100" t="e">
        <f>AND('Planilla_General_07-12-2012_8_3'!I1505,"AAAAAHs2/+k=")</f>
        <v>#VALUE!</v>
      </c>
      <c r="IA100" t="e">
        <f>AND('Planilla_General_07-12-2012_8_3'!J1505,"AAAAAHs2/+o=")</f>
        <v>#VALUE!</v>
      </c>
      <c r="IB100" t="e">
        <f>AND('Planilla_General_07-12-2012_8_3'!K1505,"AAAAAHs2/+s=")</f>
        <v>#VALUE!</v>
      </c>
      <c r="IC100" t="e">
        <f>AND('Planilla_General_07-12-2012_8_3'!L1505,"AAAAAHs2/+w=")</f>
        <v>#VALUE!</v>
      </c>
      <c r="ID100" t="e">
        <f>AND('Planilla_General_07-12-2012_8_3'!M1505,"AAAAAHs2/+0=")</f>
        <v>#VALUE!</v>
      </c>
      <c r="IE100" t="e">
        <f>AND('Planilla_General_07-12-2012_8_3'!N1505,"AAAAAHs2/+4=")</f>
        <v>#VALUE!</v>
      </c>
      <c r="IF100" t="e">
        <f>AND('Planilla_General_07-12-2012_8_3'!O1505,"AAAAAHs2/+8=")</f>
        <v>#VALUE!</v>
      </c>
      <c r="IG100" t="e">
        <f>AND('Planilla_General_07-12-2012_8_3'!P1505,"AAAAAHs2//A=")</f>
        <v>#VALUE!</v>
      </c>
      <c r="IH100">
        <f>IF('Planilla_General_07-12-2012_8_3'!1506:1506,"AAAAAHs2//E=",0)</f>
        <v>0</v>
      </c>
      <c r="II100" t="e">
        <f>AND('Planilla_General_07-12-2012_8_3'!A1506,"AAAAAHs2//I=")</f>
        <v>#VALUE!</v>
      </c>
      <c r="IJ100" t="e">
        <f>AND('Planilla_General_07-12-2012_8_3'!B1506,"AAAAAHs2//M=")</f>
        <v>#VALUE!</v>
      </c>
      <c r="IK100" t="e">
        <f>AND('Planilla_General_07-12-2012_8_3'!C1506,"AAAAAHs2//Q=")</f>
        <v>#VALUE!</v>
      </c>
      <c r="IL100" t="e">
        <f>AND('Planilla_General_07-12-2012_8_3'!D1506,"AAAAAHs2//U=")</f>
        <v>#VALUE!</v>
      </c>
      <c r="IM100" t="e">
        <f>AND('Planilla_General_07-12-2012_8_3'!E1506,"AAAAAHs2//Y=")</f>
        <v>#VALUE!</v>
      </c>
      <c r="IN100" t="e">
        <f>AND('Planilla_General_07-12-2012_8_3'!F1506,"AAAAAHs2//c=")</f>
        <v>#VALUE!</v>
      </c>
      <c r="IO100" t="e">
        <f>AND('Planilla_General_07-12-2012_8_3'!G1506,"AAAAAHs2//g=")</f>
        <v>#VALUE!</v>
      </c>
      <c r="IP100" t="e">
        <f>AND('Planilla_General_07-12-2012_8_3'!H1506,"AAAAAHs2//k=")</f>
        <v>#VALUE!</v>
      </c>
      <c r="IQ100" t="e">
        <f>AND('Planilla_General_07-12-2012_8_3'!I1506,"AAAAAHs2//o=")</f>
        <v>#VALUE!</v>
      </c>
      <c r="IR100" t="e">
        <f>AND('Planilla_General_07-12-2012_8_3'!J1506,"AAAAAHs2//s=")</f>
        <v>#VALUE!</v>
      </c>
      <c r="IS100" t="e">
        <f>AND('Planilla_General_07-12-2012_8_3'!K1506,"AAAAAHs2//w=")</f>
        <v>#VALUE!</v>
      </c>
      <c r="IT100" t="e">
        <f>AND('Planilla_General_07-12-2012_8_3'!L1506,"AAAAAHs2//0=")</f>
        <v>#VALUE!</v>
      </c>
      <c r="IU100" t="e">
        <f>AND('Planilla_General_07-12-2012_8_3'!M1506,"AAAAAHs2//4=")</f>
        <v>#VALUE!</v>
      </c>
      <c r="IV100" t="e">
        <f>AND('Planilla_General_07-12-2012_8_3'!N1506,"AAAAAHs2//8=")</f>
        <v>#VALUE!</v>
      </c>
    </row>
    <row r="101" spans="1:256" x14ac:dyDescent="0.25">
      <c r="A101" t="e">
        <f>AND('Planilla_General_07-12-2012_8_3'!O1506,"AAAAAD2+pwA=")</f>
        <v>#VALUE!</v>
      </c>
      <c r="B101" t="e">
        <f>AND('Planilla_General_07-12-2012_8_3'!P1506,"AAAAAD2+pwE=")</f>
        <v>#VALUE!</v>
      </c>
      <c r="C101" t="str">
        <f>IF('Planilla_General_07-12-2012_8_3'!1507:1507,"AAAAAD2+pwI=",0)</f>
        <v>AAAAAD2+pwI=</v>
      </c>
      <c r="D101" t="e">
        <f>AND('Planilla_General_07-12-2012_8_3'!A1507,"AAAAAD2+pwM=")</f>
        <v>#VALUE!</v>
      </c>
      <c r="E101" t="e">
        <f>AND('Planilla_General_07-12-2012_8_3'!B1507,"AAAAAD2+pwQ=")</f>
        <v>#VALUE!</v>
      </c>
      <c r="F101" t="e">
        <f>AND('Planilla_General_07-12-2012_8_3'!C1507,"AAAAAD2+pwU=")</f>
        <v>#VALUE!</v>
      </c>
      <c r="G101" t="e">
        <f>AND('Planilla_General_07-12-2012_8_3'!D1507,"AAAAAD2+pwY=")</f>
        <v>#VALUE!</v>
      </c>
      <c r="H101" t="e">
        <f>AND('Planilla_General_07-12-2012_8_3'!E1507,"AAAAAD2+pwc=")</f>
        <v>#VALUE!</v>
      </c>
      <c r="I101" t="e">
        <f>AND('Planilla_General_07-12-2012_8_3'!F1507,"AAAAAD2+pwg=")</f>
        <v>#VALUE!</v>
      </c>
      <c r="J101" t="e">
        <f>AND('Planilla_General_07-12-2012_8_3'!G1507,"AAAAAD2+pwk=")</f>
        <v>#VALUE!</v>
      </c>
      <c r="K101" t="e">
        <f>AND('Planilla_General_07-12-2012_8_3'!H1507,"AAAAAD2+pwo=")</f>
        <v>#VALUE!</v>
      </c>
      <c r="L101" t="e">
        <f>AND('Planilla_General_07-12-2012_8_3'!I1507,"AAAAAD2+pws=")</f>
        <v>#VALUE!</v>
      </c>
      <c r="M101" t="e">
        <f>AND('Planilla_General_07-12-2012_8_3'!J1507,"AAAAAD2+pww=")</f>
        <v>#VALUE!</v>
      </c>
      <c r="N101" t="e">
        <f>AND('Planilla_General_07-12-2012_8_3'!K1507,"AAAAAD2+pw0=")</f>
        <v>#VALUE!</v>
      </c>
      <c r="O101" t="e">
        <f>AND('Planilla_General_07-12-2012_8_3'!L1507,"AAAAAD2+pw4=")</f>
        <v>#VALUE!</v>
      </c>
      <c r="P101" t="e">
        <f>AND('Planilla_General_07-12-2012_8_3'!M1507,"AAAAAD2+pw8=")</f>
        <v>#VALUE!</v>
      </c>
      <c r="Q101" t="e">
        <f>AND('Planilla_General_07-12-2012_8_3'!N1507,"AAAAAD2+pxA=")</f>
        <v>#VALUE!</v>
      </c>
      <c r="R101" t="e">
        <f>AND('Planilla_General_07-12-2012_8_3'!O1507,"AAAAAD2+pxE=")</f>
        <v>#VALUE!</v>
      </c>
      <c r="S101" t="e">
        <f>AND('Planilla_General_07-12-2012_8_3'!P1507,"AAAAAD2+pxI=")</f>
        <v>#VALUE!</v>
      </c>
      <c r="T101">
        <f>IF('Planilla_General_07-12-2012_8_3'!1508:1508,"AAAAAD2+pxM=",0)</f>
        <v>0</v>
      </c>
      <c r="U101" t="e">
        <f>AND('Planilla_General_07-12-2012_8_3'!A1508,"AAAAAD2+pxQ=")</f>
        <v>#VALUE!</v>
      </c>
      <c r="V101" t="e">
        <f>AND('Planilla_General_07-12-2012_8_3'!B1508,"AAAAAD2+pxU=")</f>
        <v>#VALUE!</v>
      </c>
      <c r="W101" t="e">
        <f>AND('Planilla_General_07-12-2012_8_3'!C1508,"AAAAAD2+pxY=")</f>
        <v>#VALUE!</v>
      </c>
      <c r="X101" t="e">
        <f>AND('Planilla_General_07-12-2012_8_3'!D1508,"AAAAAD2+pxc=")</f>
        <v>#VALUE!</v>
      </c>
      <c r="Y101" t="e">
        <f>AND('Planilla_General_07-12-2012_8_3'!E1508,"AAAAAD2+pxg=")</f>
        <v>#VALUE!</v>
      </c>
      <c r="Z101" t="e">
        <f>AND('Planilla_General_07-12-2012_8_3'!F1508,"AAAAAD2+pxk=")</f>
        <v>#VALUE!</v>
      </c>
      <c r="AA101" t="e">
        <f>AND('Planilla_General_07-12-2012_8_3'!G1508,"AAAAAD2+pxo=")</f>
        <v>#VALUE!</v>
      </c>
      <c r="AB101" t="e">
        <f>AND('Planilla_General_07-12-2012_8_3'!H1508,"AAAAAD2+pxs=")</f>
        <v>#VALUE!</v>
      </c>
      <c r="AC101" t="e">
        <f>AND('Planilla_General_07-12-2012_8_3'!I1508,"AAAAAD2+pxw=")</f>
        <v>#VALUE!</v>
      </c>
      <c r="AD101" t="e">
        <f>AND('Planilla_General_07-12-2012_8_3'!J1508,"AAAAAD2+px0=")</f>
        <v>#VALUE!</v>
      </c>
      <c r="AE101" t="e">
        <f>AND('Planilla_General_07-12-2012_8_3'!K1508,"AAAAAD2+px4=")</f>
        <v>#VALUE!</v>
      </c>
      <c r="AF101" t="e">
        <f>AND('Planilla_General_07-12-2012_8_3'!L1508,"AAAAAD2+px8=")</f>
        <v>#VALUE!</v>
      </c>
      <c r="AG101" t="e">
        <f>AND('Planilla_General_07-12-2012_8_3'!M1508,"AAAAAD2+pyA=")</f>
        <v>#VALUE!</v>
      </c>
      <c r="AH101" t="e">
        <f>AND('Planilla_General_07-12-2012_8_3'!N1508,"AAAAAD2+pyE=")</f>
        <v>#VALUE!</v>
      </c>
      <c r="AI101" t="e">
        <f>AND('Planilla_General_07-12-2012_8_3'!O1508,"AAAAAD2+pyI=")</f>
        <v>#VALUE!</v>
      </c>
      <c r="AJ101" t="e">
        <f>AND('Planilla_General_07-12-2012_8_3'!P1508,"AAAAAD2+pyM=")</f>
        <v>#VALUE!</v>
      </c>
      <c r="AK101">
        <f>IF('Planilla_General_07-12-2012_8_3'!1509:1509,"AAAAAD2+pyQ=",0)</f>
        <v>0</v>
      </c>
      <c r="AL101" t="e">
        <f>AND('Planilla_General_07-12-2012_8_3'!A1509,"AAAAAD2+pyU=")</f>
        <v>#VALUE!</v>
      </c>
      <c r="AM101" t="e">
        <f>AND('Planilla_General_07-12-2012_8_3'!B1509,"AAAAAD2+pyY=")</f>
        <v>#VALUE!</v>
      </c>
      <c r="AN101" t="e">
        <f>AND('Planilla_General_07-12-2012_8_3'!C1509,"AAAAAD2+pyc=")</f>
        <v>#VALUE!</v>
      </c>
      <c r="AO101" t="e">
        <f>AND('Planilla_General_07-12-2012_8_3'!D1509,"AAAAAD2+pyg=")</f>
        <v>#VALUE!</v>
      </c>
      <c r="AP101" t="e">
        <f>AND('Planilla_General_07-12-2012_8_3'!E1509,"AAAAAD2+pyk=")</f>
        <v>#VALUE!</v>
      </c>
      <c r="AQ101" t="e">
        <f>AND('Planilla_General_07-12-2012_8_3'!F1509,"AAAAAD2+pyo=")</f>
        <v>#VALUE!</v>
      </c>
      <c r="AR101" t="e">
        <f>AND('Planilla_General_07-12-2012_8_3'!G1509,"AAAAAD2+pys=")</f>
        <v>#VALUE!</v>
      </c>
      <c r="AS101" t="e">
        <f>AND('Planilla_General_07-12-2012_8_3'!H1509,"AAAAAD2+pyw=")</f>
        <v>#VALUE!</v>
      </c>
      <c r="AT101" t="e">
        <f>AND('Planilla_General_07-12-2012_8_3'!I1509,"AAAAAD2+py0=")</f>
        <v>#VALUE!</v>
      </c>
      <c r="AU101" t="e">
        <f>AND('Planilla_General_07-12-2012_8_3'!J1509,"AAAAAD2+py4=")</f>
        <v>#VALUE!</v>
      </c>
      <c r="AV101" t="e">
        <f>AND('Planilla_General_07-12-2012_8_3'!K1509,"AAAAAD2+py8=")</f>
        <v>#VALUE!</v>
      </c>
      <c r="AW101" t="e">
        <f>AND('Planilla_General_07-12-2012_8_3'!L1509,"AAAAAD2+pzA=")</f>
        <v>#VALUE!</v>
      </c>
      <c r="AX101" t="e">
        <f>AND('Planilla_General_07-12-2012_8_3'!M1509,"AAAAAD2+pzE=")</f>
        <v>#VALUE!</v>
      </c>
      <c r="AY101" t="e">
        <f>AND('Planilla_General_07-12-2012_8_3'!N1509,"AAAAAD2+pzI=")</f>
        <v>#VALUE!</v>
      </c>
      <c r="AZ101" t="e">
        <f>AND('Planilla_General_07-12-2012_8_3'!O1509,"AAAAAD2+pzM=")</f>
        <v>#VALUE!</v>
      </c>
      <c r="BA101" t="e">
        <f>AND('Planilla_General_07-12-2012_8_3'!P1509,"AAAAAD2+pzQ=")</f>
        <v>#VALUE!</v>
      </c>
      <c r="BB101">
        <f>IF('Planilla_General_07-12-2012_8_3'!1510:1510,"AAAAAD2+pzU=",0)</f>
        <v>0</v>
      </c>
      <c r="BC101" t="e">
        <f>AND('Planilla_General_07-12-2012_8_3'!A1510,"AAAAAD2+pzY=")</f>
        <v>#VALUE!</v>
      </c>
      <c r="BD101" t="e">
        <f>AND('Planilla_General_07-12-2012_8_3'!B1510,"AAAAAD2+pzc=")</f>
        <v>#VALUE!</v>
      </c>
      <c r="BE101" t="e">
        <f>AND('Planilla_General_07-12-2012_8_3'!C1510,"AAAAAD2+pzg=")</f>
        <v>#VALUE!</v>
      </c>
      <c r="BF101" t="e">
        <f>AND('Planilla_General_07-12-2012_8_3'!D1510,"AAAAAD2+pzk=")</f>
        <v>#VALUE!</v>
      </c>
      <c r="BG101" t="e">
        <f>AND('Planilla_General_07-12-2012_8_3'!E1510,"AAAAAD2+pzo=")</f>
        <v>#VALUE!</v>
      </c>
      <c r="BH101" t="e">
        <f>AND('Planilla_General_07-12-2012_8_3'!F1510,"AAAAAD2+pzs=")</f>
        <v>#VALUE!</v>
      </c>
      <c r="BI101" t="e">
        <f>AND('Planilla_General_07-12-2012_8_3'!G1510,"AAAAAD2+pzw=")</f>
        <v>#VALUE!</v>
      </c>
      <c r="BJ101" t="e">
        <f>AND('Planilla_General_07-12-2012_8_3'!H1510,"AAAAAD2+pz0=")</f>
        <v>#VALUE!</v>
      </c>
      <c r="BK101" t="e">
        <f>AND('Planilla_General_07-12-2012_8_3'!I1510,"AAAAAD2+pz4=")</f>
        <v>#VALUE!</v>
      </c>
      <c r="BL101" t="e">
        <f>AND('Planilla_General_07-12-2012_8_3'!J1510,"AAAAAD2+pz8=")</f>
        <v>#VALUE!</v>
      </c>
      <c r="BM101" t="e">
        <f>AND('Planilla_General_07-12-2012_8_3'!K1510,"AAAAAD2+p0A=")</f>
        <v>#VALUE!</v>
      </c>
      <c r="BN101" t="e">
        <f>AND('Planilla_General_07-12-2012_8_3'!L1510,"AAAAAD2+p0E=")</f>
        <v>#VALUE!</v>
      </c>
      <c r="BO101" t="e">
        <f>AND('Planilla_General_07-12-2012_8_3'!M1510,"AAAAAD2+p0I=")</f>
        <v>#VALUE!</v>
      </c>
      <c r="BP101" t="e">
        <f>AND('Planilla_General_07-12-2012_8_3'!N1510,"AAAAAD2+p0M=")</f>
        <v>#VALUE!</v>
      </c>
      <c r="BQ101" t="e">
        <f>AND('Planilla_General_07-12-2012_8_3'!O1510,"AAAAAD2+p0Q=")</f>
        <v>#VALUE!</v>
      </c>
      <c r="BR101" t="e">
        <f>AND('Planilla_General_07-12-2012_8_3'!P1510,"AAAAAD2+p0U=")</f>
        <v>#VALUE!</v>
      </c>
      <c r="BS101">
        <f>IF('Planilla_General_07-12-2012_8_3'!1511:1511,"AAAAAD2+p0Y=",0)</f>
        <v>0</v>
      </c>
      <c r="BT101" t="e">
        <f>AND('Planilla_General_07-12-2012_8_3'!A1511,"AAAAAD2+p0c=")</f>
        <v>#VALUE!</v>
      </c>
      <c r="BU101" t="e">
        <f>AND('Planilla_General_07-12-2012_8_3'!B1511,"AAAAAD2+p0g=")</f>
        <v>#VALUE!</v>
      </c>
      <c r="BV101" t="e">
        <f>AND('Planilla_General_07-12-2012_8_3'!C1511,"AAAAAD2+p0k=")</f>
        <v>#VALUE!</v>
      </c>
      <c r="BW101" t="e">
        <f>AND('Planilla_General_07-12-2012_8_3'!D1511,"AAAAAD2+p0o=")</f>
        <v>#VALUE!</v>
      </c>
      <c r="BX101" t="e">
        <f>AND('Planilla_General_07-12-2012_8_3'!E1511,"AAAAAD2+p0s=")</f>
        <v>#VALUE!</v>
      </c>
      <c r="BY101" t="e">
        <f>AND('Planilla_General_07-12-2012_8_3'!F1511,"AAAAAD2+p0w=")</f>
        <v>#VALUE!</v>
      </c>
      <c r="BZ101" t="e">
        <f>AND('Planilla_General_07-12-2012_8_3'!G1511,"AAAAAD2+p00=")</f>
        <v>#VALUE!</v>
      </c>
      <c r="CA101" t="e">
        <f>AND('Planilla_General_07-12-2012_8_3'!H1511,"AAAAAD2+p04=")</f>
        <v>#VALUE!</v>
      </c>
      <c r="CB101" t="e">
        <f>AND('Planilla_General_07-12-2012_8_3'!I1511,"AAAAAD2+p08=")</f>
        <v>#VALUE!</v>
      </c>
      <c r="CC101" t="e">
        <f>AND('Planilla_General_07-12-2012_8_3'!J1511,"AAAAAD2+p1A=")</f>
        <v>#VALUE!</v>
      </c>
      <c r="CD101" t="e">
        <f>AND('Planilla_General_07-12-2012_8_3'!K1511,"AAAAAD2+p1E=")</f>
        <v>#VALUE!</v>
      </c>
      <c r="CE101" t="e">
        <f>AND('Planilla_General_07-12-2012_8_3'!L1511,"AAAAAD2+p1I=")</f>
        <v>#VALUE!</v>
      </c>
      <c r="CF101" t="e">
        <f>AND('Planilla_General_07-12-2012_8_3'!M1511,"AAAAAD2+p1M=")</f>
        <v>#VALUE!</v>
      </c>
      <c r="CG101" t="e">
        <f>AND('Planilla_General_07-12-2012_8_3'!N1511,"AAAAAD2+p1Q=")</f>
        <v>#VALUE!</v>
      </c>
      <c r="CH101" t="e">
        <f>AND('Planilla_General_07-12-2012_8_3'!O1511,"AAAAAD2+p1U=")</f>
        <v>#VALUE!</v>
      </c>
      <c r="CI101" t="e">
        <f>AND('Planilla_General_07-12-2012_8_3'!P1511,"AAAAAD2+p1Y=")</f>
        <v>#VALUE!</v>
      </c>
      <c r="CJ101">
        <f>IF('Planilla_General_07-12-2012_8_3'!1512:1512,"AAAAAD2+p1c=",0)</f>
        <v>0</v>
      </c>
      <c r="CK101" t="e">
        <f>AND('Planilla_General_07-12-2012_8_3'!A1512,"AAAAAD2+p1g=")</f>
        <v>#VALUE!</v>
      </c>
      <c r="CL101" t="e">
        <f>AND('Planilla_General_07-12-2012_8_3'!B1512,"AAAAAD2+p1k=")</f>
        <v>#VALUE!</v>
      </c>
      <c r="CM101" t="e">
        <f>AND('Planilla_General_07-12-2012_8_3'!C1512,"AAAAAD2+p1o=")</f>
        <v>#VALUE!</v>
      </c>
      <c r="CN101" t="e">
        <f>AND('Planilla_General_07-12-2012_8_3'!D1512,"AAAAAD2+p1s=")</f>
        <v>#VALUE!</v>
      </c>
      <c r="CO101" t="e">
        <f>AND('Planilla_General_07-12-2012_8_3'!E1512,"AAAAAD2+p1w=")</f>
        <v>#VALUE!</v>
      </c>
      <c r="CP101" t="e">
        <f>AND('Planilla_General_07-12-2012_8_3'!F1512,"AAAAAD2+p10=")</f>
        <v>#VALUE!</v>
      </c>
      <c r="CQ101" t="e">
        <f>AND('Planilla_General_07-12-2012_8_3'!G1512,"AAAAAD2+p14=")</f>
        <v>#VALUE!</v>
      </c>
      <c r="CR101" t="e">
        <f>AND('Planilla_General_07-12-2012_8_3'!H1512,"AAAAAD2+p18=")</f>
        <v>#VALUE!</v>
      </c>
      <c r="CS101" t="e">
        <f>AND('Planilla_General_07-12-2012_8_3'!I1512,"AAAAAD2+p2A=")</f>
        <v>#VALUE!</v>
      </c>
      <c r="CT101" t="e">
        <f>AND('Planilla_General_07-12-2012_8_3'!J1512,"AAAAAD2+p2E=")</f>
        <v>#VALUE!</v>
      </c>
      <c r="CU101" t="e">
        <f>AND('Planilla_General_07-12-2012_8_3'!K1512,"AAAAAD2+p2I=")</f>
        <v>#VALUE!</v>
      </c>
      <c r="CV101" t="e">
        <f>AND('Planilla_General_07-12-2012_8_3'!L1512,"AAAAAD2+p2M=")</f>
        <v>#VALUE!</v>
      </c>
      <c r="CW101" t="e">
        <f>AND('Planilla_General_07-12-2012_8_3'!M1512,"AAAAAD2+p2Q=")</f>
        <v>#VALUE!</v>
      </c>
      <c r="CX101" t="e">
        <f>AND('Planilla_General_07-12-2012_8_3'!N1512,"AAAAAD2+p2U=")</f>
        <v>#VALUE!</v>
      </c>
      <c r="CY101" t="e">
        <f>AND('Planilla_General_07-12-2012_8_3'!O1512,"AAAAAD2+p2Y=")</f>
        <v>#VALUE!</v>
      </c>
      <c r="CZ101" t="e">
        <f>AND('Planilla_General_07-12-2012_8_3'!P1512,"AAAAAD2+p2c=")</f>
        <v>#VALUE!</v>
      </c>
      <c r="DA101">
        <f>IF('Planilla_General_07-12-2012_8_3'!1513:1513,"AAAAAD2+p2g=",0)</f>
        <v>0</v>
      </c>
      <c r="DB101" t="e">
        <f>AND('Planilla_General_07-12-2012_8_3'!A1513,"AAAAAD2+p2k=")</f>
        <v>#VALUE!</v>
      </c>
      <c r="DC101" t="e">
        <f>AND('Planilla_General_07-12-2012_8_3'!B1513,"AAAAAD2+p2o=")</f>
        <v>#VALUE!</v>
      </c>
      <c r="DD101" t="e">
        <f>AND('Planilla_General_07-12-2012_8_3'!C1513,"AAAAAD2+p2s=")</f>
        <v>#VALUE!</v>
      </c>
      <c r="DE101" t="e">
        <f>AND('Planilla_General_07-12-2012_8_3'!D1513,"AAAAAD2+p2w=")</f>
        <v>#VALUE!</v>
      </c>
      <c r="DF101" t="e">
        <f>AND('Planilla_General_07-12-2012_8_3'!E1513,"AAAAAD2+p20=")</f>
        <v>#VALUE!</v>
      </c>
      <c r="DG101" t="e">
        <f>AND('Planilla_General_07-12-2012_8_3'!F1513,"AAAAAD2+p24=")</f>
        <v>#VALUE!</v>
      </c>
      <c r="DH101" t="e">
        <f>AND('Planilla_General_07-12-2012_8_3'!G1513,"AAAAAD2+p28=")</f>
        <v>#VALUE!</v>
      </c>
      <c r="DI101" t="e">
        <f>AND('Planilla_General_07-12-2012_8_3'!H1513,"AAAAAD2+p3A=")</f>
        <v>#VALUE!</v>
      </c>
      <c r="DJ101" t="e">
        <f>AND('Planilla_General_07-12-2012_8_3'!I1513,"AAAAAD2+p3E=")</f>
        <v>#VALUE!</v>
      </c>
      <c r="DK101" t="e">
        <f>AND('Planilla_General_07-12-2012_8_3'!J1513,"AAAAAD2+p3I=")</f>
        <v>#VALUE!</v>
      </c>
      <c r="DL101" t="e">
        <f>AND('Planilla_General_07-12-2012_8_3'!K1513,"AAAAAD2+p3M=")</f>
        <v>#VALUE!</v>
      </c>
      <c r="DM101" t="e">
        <f>AND('Planilla_General_07-12-2012_8_3'!L1513,"AAAAAD2+p3Q=")</f>
        <v>#VALUE!</v>
      </c>
      <c r="DN101" t="e">
        <f>AND('Planilla_General_07-12-2012_8_3'!M1513,"AAAAAD2+p3U=")</f>
        <v>#VALUE!</v>
      </c>
      <c r="DO101" t="e">
        <f>AND('Planilla_General_07-12-2012_8_3'!N1513,"AAAAAD2+p3Y=")</f>
        <v>#VALUE!</v>
      </c>
      <c r="DP101" t="e">
        <f>AND('Planilla_General_07-12-2012_8_3'!O1513,"AAAAAD2+p3c=")</f>
        <v>#VALUE!</v>
      </c>
      <c r="DQ101" t="e">
        <f>AND('Planilla_General_07-12-2012_8_3'!P1513,"AAAAAD2+p3g=")</f>
        <v>#VALUE!</v>
      </c>
      <c r="DR101">
        <f>IF('Planilla_General_07-12-2012_8_3'!1514:1514,"AAAAAD2+p3k=",0)</f>
        <v>0</v>
      </c>
      <c r="DS101" t="e">
        <f>AND('Planilla_General_07-12-2012_8_3'!A1514,"AAAAAD2+p3o=")</f>
        <v>#VALUE!</v>
      </c>
      <c r="DT101" t="e">
        <f>AND('Planilla_General_07-12-2012_8_3'!B1514,"AAAAAD2+p3s=")</f>
        <v>#VALUE!</v>
      </c>
      <c r="DU101" t="e">
        <f>AND('Planilla_General_07-12-2012_8_3'!C1514,"AAAAAD2+p3w=")</f>
        <v>#VALUE!</v>
      </c>
      <c r="DV101" t="e">
        <f>AND('Planilla_General_07-12-2012_8_3'!D1514,"AAAAAD2+p30=")</f>
        <v>#VALUE!</v>
      </c>
      <c r="DW101" t="e">
        <f>AND('Planilla_General_07-12-2012_8_3'!E1514,"AAAAAD2+p34=")</f>
        <v>#VALUE!</v>
      </c>
      <c r="DX101" t="e">
        <f>AND('Planilla_General_07-12-2012_8_3'!F1514,"AAAAAD2+p38=")</f>
        <v>#VALUE!</v>
      </c>
      <c r="DY101" t="e">
        <f>AND('Planilla_General_07-12-2012_8_3'!G1514,"AAAAAD2+p4A=")</f>
        <v>#VALUE!</v>
      </c>
      <c r="DZ101" t="e">
        <f>AND('Planilla_General_07-12-2012_8_3'!H1514,"AAAAAD2+p4E=")</f>
        <v>#VALUE!</v>
      </c>
      <c r="EA101" t="e">
        <f>AND('Planilla_General_07-12-2012_8_3'!I1514,"AAAAAD2+p4I=")</f>
        <v>#VALUE!</v>
      </c>
      <c r="EB101" t="e">
        <f>AND('Planilla_General_07-12-2012_8_3'!J1514,"AAAAAD2+p4M=")</f>
        <v>#VALUE!</v>
      </c>
      <c r="EC101" t="e">
        <f>AND('Planilla_General_07-12-2012_8_3'!K1514,"AAAAAD2+p4Q=")</f>
        <v>#VALUE!</v>
      </c>
      <c r="ED101" t="e">
        <f>AND('Planilla_General_07-12-2012_8_3'!L1514,"AAAAAD2+p4U=")</f>
        <v>#VALUE!</v>
      </c>
      <c r="EE101" t="e">
        <f>AND('Planilla_General_07-12-2012_8_3'!M1514,"AAAAAD2+p4Y=")</f>
        <v>#VALUE!</v>
      </c>
      <c r="EF101" t="e">
        <f>AND('Planilla_General_07-12-2012_8_3'!N1514,"AAAAAD2+p4c=")</f>
        <v>#VALUE!</v>
      </c>
      <c r="EG101" t="e">
        <f>AND('Planilla_General_07-12-2012_8_3'!O1514,"AAAAAD2+p4g=")</f>
        <v>#VALUE!</v>
      </c>
      <c r="EH101" t="e">
        <f>AND('Planilla_General_07-12-2012_8_3'!P1514,"AAAAAD2+p4k=")</f>
        <v>#VALUE!</v>
      </c>
      <c r="EI101">
        <f>IF('Planilla_General_07-12-2012_8_3'!1515:1515,"AAAAAD2+p4o=",0)</f>
        <v>0</v>
      </c>
      <c r="EJ101" t="e">
        <f>AND('Planilla_General_07-12-2012_8_3'!A1515,"AAAAAD2+p4s=")</f>
        <v>#VALUE!</v>
      </c>
      <c r="EK101" t="e">
        <f>AND('Planilla_General_07-12-2012_8_3'!B1515,"AAAAAD2+p4w=")</f>
        <v>#VALUE!</v>
      </c>
      <c r="EL101" t="e">
        <f>AND('Planilla_General_07-12-2012_8_3'!C1515,"AAAAAD2+p40=")</f>
        <v>#VALUE!</v>
      </c>
      <c r="EM101" t="e">
        <f>AND('Planilla_General_07-12-2012_8_3'!D1515,"AAAAAD2+p44=")</f>
        <v>#VALUE!</v>
      </c>
      <c r="EN101" t="e">
        <f>AND('Planilla_General_07-12-2012_8_3'!E1515,"AAAAAD2+p48=")</f>
        <v>#VALUE!</v>
      </c>
      <c r="EO101" t="e">
        <f>AND('Planilla_General_07-12-2012_8_3'!F1515,"AAAAAD2+p5A=")</f>
        <v>#VALUE!</v>
      </c>
      <c r="EP101" t="e">
        <f>AND('Planilla_General_07-12-2012_8_3'!G1515,"AAAAAD2+p5E=")</f>
        <v>#VALUE!</v>
      </c>
      <c r="EQ101" t="e">
        <f>AND('Planilla_General_07-12-2012_8_3'!H1515,"AAAAAD2+p5I=")</f>
        <v>#VALUE!</v>
      </c>
      <c r="ER101" t="e">
        <f>AND('Planilla_General_07-12-2012_8_3'!I1515,"AAAAAD2+p5M=")</f>
        <v>#VALUE!</v>
      </c>
      <c r="ES101" t="e">
        <f>AND('Planilla_General_07-12-2012_8_3'!J1515,"AAAAAD2+p5Q=")</f>
        <v>#VALUE!</v>
      </c>
      <c r="ET101" t="e">
        <f>AND('Planilla_General_07-12-2012_8_3'!K1515,"AAAAAD2+p5U=")</f>
        <v>#VALUE!</v>
      </c>
      <c r="EU101" t="e">
        <f>AND('Planilla_General_07-12-2012_8_3'!L1515,"AAAAAD2+p5Y=")</f>
        <v>#VALUE!</v>
      </c>
      <c r="EV101" t="e">
        <f>AND('Planilla_General_07-12-2012_8_3'!M1515,"AAAAAD2+p5c=")</f>
        <v>#VALUE!</v>
      </c>
      <c r="EW101" t="e">
        <f>AND('Planilla_General_07-12-2012_8_3'!N1515,"AAAAAD2+p5g=")</f>
        <v>#VALUE!</v>
      </c>
      <c r="EX101" t="e">
        <f>AND('Planilla_General_07-12-2012_8_3'!O1515,"AAAAAD2+p5k=")</f>
        <v>#VALUE!</v>
      </c>
      <c r="EY101" t="e">
        <f>AND('Planilla_General_07-12-2012_8_3'!P1515,"AAAAAD2+p5o=")</f>
        <v>#VALUE!</v>
      </c>
      <c r="EZ101">
        <f>IF('Planilla_General_07-12-2012_8_3'!1516:1516,"AAAAAD2+p5s=",0)</f>
        <v>0</v>
      </c>
      <c r="FA101" t="e">
        <f>AND('Planilla_General_07-12-2012_8_3'!A1516,"AAAAAD2+p5w=")</f>
        <v>#VALUE!</v>
      </c>
      <c r="FB101" t="e">
        <f>AND('Planilla_General_07-12-2012_8_3'!B1516,"AAAAAD2+p50=")</f>
        <v>#VALUE!</v>
      </c>
      <c r="FC101" t="e">
        <f>AND('Planilla_General_07-12-2012_8_3'!C1516,"AAAAAD2+p54=")</f>
        <v>#VALUE!</v>
      </c>
      <c r="FD101" t="e">
        <f>AND('Planilla_General_07-12-2012_8_3'!D1516,"AAAAAD2+p58=")</f>
        <v>#VALUE!</v>
      </c>
      <c r="FE101" t="e">
        <f>AND('Planilla_General_07-12-2012_8_3'!E1516,"AAAAAD2+p6A=")</f>
        <v>#VALUE!</v>
      </c>
      <c r="FF101" t="e">
        <f>AND('Planilla_General_07-12-2012_8_3'!F1516,"AAAAAD2+p6E=")</f>
        <v>#VALUE!</v>
      </c>
      <c r="FG101" t="e">
        <f>AND('Planilla_General_07-12-2012_8_3'!G1516,"AAAAAD2+p6I=")</f>
        <v>#VALUE!</v>
      </c>
      <c r="FH101" t="e">
        <f>AND('Planilla_General_07-12-2012_8_3'!H1516,"AAAAAD2+p6M=")</f>
        <v>#VALUE!</v>
      </c>
      <c r="FI101" t="e">
        <f>AND('Planilla_General_07-12-2012_8_3'!I1516,"AAAAAD2+p6Q=")</f>
        <v>#VALUE!</v>
      </c>
      <c r="FJ101" t="e">
        <f>AND('Planilla_General_07-12-2012_8_3'!J1516,"AAAAAD2+p6U=")</f>
        <v>#VALUE!</v>
      </c>
      <c r="FK101" t="e">
        <f>AND('Planilla_General_07-12-2012_8_3'!K1516,"AAAAAD2+p6Y=")</f>
        <v>#VALUE!</v>
      </c>
      <c r="FL101" t="e">
        <f>AND('Planilla_General_07-12-2012_8_3'!L1516,"AAAAAD2+p6c=")</f>
        <v>#VALUE!</v>
      </c>
      <c r="FM101" t="e">
        <f>AND('Planilla_General_07-12-2012_8_3'!M1516,"AAAAAD2+p6g=")</f>
        <v>#VALUE!</v>
      </c>
      <c r="FN101" t="e">
        <f>AND('Planilla_General_07-12-2012_8_3'!N1516,"AAAAAD2+p6k=")</f>
        <v>#VALUE!</v>
      </c>
      <c r="FO101" t="e">
        <f>AND('Planilla_General_07-12-2012_8_3'!O1516,"AAAAAD2+p6o=")</f>
        <v>#VALUE!</v>
      </c>
      <c r="FP101" t="e">
        <f>AND('Planilla_General_07-12-2012_8_3'!P1516,"AAAAAD2+p6s=")</f>
        <v>#VALUE!</v>
      </c>
      <c r="FQ101">
        <f>IF('Planilla_General_07-12-2012_8_3'!1517:1517,"AAAAAD2+p6w=",0)</f>
        <v>0</v>
      </c>
      <c r="FR101" t="e">
        <f>AND('Planilla_General_07-12-2012_8_3'!A1517,"AAAAAD2+p60=")</f>
        <v>#VALUE!</v>
      </c>
      <c r="FS101" t="e">
        <f>AND('Planilla_General_07-12-2012_8_3'!B1517,"AAAAAD2+p64=")</f>
        <v>#VALUE!</v>
      </c>
      <c r="FT101" t="e">
        <f>AND('Planilla_General_07-12-2012_8_3'!C1517,"AAAAAD2+p68=")</f>
        <v>#VALUE!</v>
      </c>
      <c r="FU101" t="e">
        <f>AND('Planilla_General_07-12-2012_8_3'!D1517,"AAAAAD2+p7A=")</f>
        <v>#VALUE!</v>
      </c>
      <c r="FV101" t="e">
        <f>AND('Planilla_General_07-12-2012_8_3'!E1517,"AAAAAD2+p7E=")</f>
        <v>#VALUE!</v>
      </c>
      <c r="FW101" t="e">
        <f>AND('Planilla_General_07-12-2012_8_3'!F1517,"AAAAAD2+p7I=")</f>
        <v>#VALUE!</v>
      </c>
      <c r="FX101" t="e">
        <f>AND('Planilla_General_07-12-2012_8_3'!G1517,"AAAAAD2+p7M=")</f>
        <v>#VALUE!</v>
      </c>
      <c r="FY101" t="e">
        <f>AND('Planilla_General_07-12-2012_8_3'!H1517,"AAAAAD2+p7Q=")</f>
        <v>#VALUE!</v>
      </c>
      <c r="FZ101" t="e">
        <f>AND('Planilla_General_07-12-2012_8_3'!I1517,"AAAAAD2+p7U=")</f>
        <v>#VALUE!</v>
      </c>
      <c r="GA101" t="e">
        <f>AND('Planilla_General_07-12-2012_8_3'!J1517,"AAAAAD2+p7Y=")</f>
        <v>#VALUE!</v>
      </c>
      <c r="GB101" t="e">
        <f>AND('Planilla_General_07-12-2012_8_3'!K1517,"AAAAAD2+p7c=")</f>
        <v>#VALUE!</v>
      </c>
      <c r="GC101" t="e">
        <f>AND('Planilla_General_07-12-2012_8_3'!L1517,"AAAAAD2+p7g=")</f>
        <v>#VALUE!</v>
      </c>
      <c r="GD101" t="e">
        <f>AND('Planilla_General_07-12-2012_8_3'!M1517,"AAAAAD2+p7k=")</f>
        <v>#VALUE!</v>
      </c>
      <c r="GE101" t="e">
        <f>AND('Planilla_General_07-12-2012_8_3'!N1517,"AAAAAD2+p7o=")</f>
        <v>#VALUE!</v>
      </c>
      <c r="GF101" t="e">
        <f>AND('Planilla_General_07-12-2012_8_3'!O1517,"AAAAAD2+p7s=")</f>
        <v>#VALUE!</v>
      </c>
      <c r="GG101" t="e">
        <f>AND('Planilla_General_07-12-2012_8_3'!P1517,"AAAAAD2+p7w=")</f>
        <v>#VALUE!</v>
      </c>
      <c r="GH101">
        <f>IF('Planilla_General_07-12-2012_8_3'!1518:1518,"AAAAAD2+p70=",0)</f>
        <v>0</v>
      </c>
      <c r="GI101" t="e">
        <f>AND('Planilla_General_07-12-2012_8_3'!A1518,"AAAAAD2+p74=")</f>
        <v>#VALUE!</v>
      </c>
      <c r="GJ101" t="e">
        <f>AND('Planilla_General_07-12-2012_8_3'!B1518,"AAAAAD2+p78=")</f>
        <v>#VALUE!</v>
      </c>
      <c r="GK101" t="e">
        <f>AND('Planilla_General_07-12-2012_8_3'!C1518,"AAAAAD2+p8A=")</f>
        <v>#VALUE!</v>
      </c>
      <c r="GL101" t="e">
        <f>AND('Planilla_General_07-12-2012_8_3'!D1518,"AAAAAD2+p8E=")</f>
        <v>#VALUE!</v>
      </c>
      <c r="GM101" t="e">
        <f>AND('Planilla_General_07-12-2012_8_3'!E1518,"AAAAAD2+p8I=")</f>
        <v>#VALUE!</v>
      </c>
      <c r="GN101" t="e">
        <f>AND('Planilla_General_07-12-2012_8_3'!F1518,"AAAAAD2+p8M=")</f>
        <v>#VALUE!</v>
      </c>
      <c r="GO101" t="e">
        <f>AND('Planilla_General_07-12-2012_8_3'!G1518,"AAAAAD2+p8Q=")</f>
        <v>#VALUE!</v>
      </c>
      <c r="GP101" t="e">
        <f>AND('Planilla_General_07-12-2012_8_3'!H1518,"AAAAAD2+p8U=")</f>
        <v>#VALUE!</v>
      </c>
      <c r="GQ101" t="e">
        <f>AND('Planilla_General_07-12-2012_8_3'!I1518,"AAAAAD2+p8Y=")</f>
        <v>#VALUE!</v>
      </c>
      <c r="GR101" t="e">
        <f>AND('Planilla_General_07-12-2012_8_3'!J1518,"AAAAAD2+p8c=")</f>
        <v>#VALUE!</v>
      </c>
      <c r="GS101" t="e">
        <f>AND('Planilla_General_07-12-2012_8_3'!K1518,"AAAAAD2+p8g=")</f>
        <v>#VALUE!</v>
      </c>
      <c r="GT101" t="e">
        <f>AND('Planilla_General_07-12-2012_8_3'!L1518,"AAAAAD2+p8k=")</f>
        <v>#VALUE!</v>
      </c>
      <c r="GU101" t="e">
        <f>AND('Planilla_General_07-12-2012_8_3'!M1518,"AAAAAD2+p8o=")</f>
        <v>#VALUE!</v>
      </c>
      <c r="GV101" t="e">
        <f>AND('Planilla_General_07-12-2012_8_3'!N1518,"AAAAAD2+p8s=")</f>
        <v>#VALUE!</v>
      </c>
      <c r="GW101" t="e">
        <f>AND('Planilla_General_07-12-2012_8_3'!O1518,"AAAAAD2+p8w=")</f>
        <v>#VALUE!</v>
      </c>
      <c r="GX101" t="e">
        <f>AND('Planilla_General_07-12-2012_8_3'!P1518,"AAAAAD2+p80=")</f>
        <v>#VALUE!</v>
      </c>
      <c r="GY101">
        <f>IF('Planilla_General_07-12-2012_8_3'!1519:1519,"AAAAAD2+p84=",0)</f>
        <v>0</v>
      </c>
      <c r="GZ101" t="e">
        <f>AND('Planilla_General_07-12-2012_8_3'!A1519,"AAAAAD2+p88=")</f>
        <v>#VALUE!</v>
      </c>
      <c r="HA101" t="e">
        <f>AND('Planilla_General_07-12-2012_8_3'!B1519,"AAAAAD2+p9A=")</f>
        <v>#VALUE!</v>
      </c>
      <c r="HB101" t="e">
        <f>AND('Planilla_General_07-12-2012_8_3'!C1519,"AAAAAD2+p9E=")</f>
        <v>#VALUE!</v>
      </c>
      <c r="HC101" t="e">
        <f>AND('Planilla_General_07-12-2012_8_3'!D1519,"AAAAAD2+p9I=")</f>
        <v>#VALUE!</v>
      </c>
      <c r="HD101" t="e">
        <f>AND('Planilla_General_07-12-2012_8_3'!E1519,"AAAAAD2+p9M=")</f>
        <v>#VALUE!</v>
      </c>
      <c r="HE101" t="e">
        <f>AND('Planilla_General_07-12-2012_8_3'!F1519,"AAAAAD2+p9Q=")</f>
        <v>#VALUE!</v>
      </c>
      <c r="HF101" t="e">
        <f>AND('Planilla_General_07-12-2012_8_3'!G1519,"AAAAAD2+p9U=")</f>
        <v>#VALUE!</v>
      </c>
      <c r="HG101" t="e">
        <f>AND('Planilla_General_07-12-2012_8_3'!H1519,"AAAAAD2+p9Y=")</f>
        <v>#VALUE!</v>
      </c>
      <c r="HH101" t="e">
        <f>AND('Planilla_General_07-12-2012_8_3'!I1519,"AAAAAD2+p9c=")</f>
        <v>#VALUE!</v>
      </c>
      <c r="HI101" t="e">
        <f>AND('Planilla_General_07-12-2012_8_3'!J1519,"AAAAAD2+p9g=")</f>
        <v>#VALUE!</v>
      </c>
      <c r="HJ101" t="e">
        <f>AND('Planilla_General_07-12-2012_8_3'!K1519,"AAAAAD2+p9k=")</f>
        <v>#VALUE!</v>
      </c>
      <c r="HK101" t="e">
        <f>AND('Planilla_General_07-12-2012_8_3'!L1519,"AAAAAD2+p9o=")</f>
        <v>#VALUE!</v>
      </c>
      <c r="HL101" t="e">
        <f>AND('Planilla_General_07-12-2012_8_3'!M1519,"AAAAAD2+p9s=")</f>
        <v>#VALUE!</v>
      </c>
      <c r="HM101" t="e">
        <f>AND('Planilla_General_07-12-2012_8_3'!N1519,"AAAAAD2+p9w=")</f>
        <v>#VALUE!</v>
      </c>
      <c r="HN101" t="e">
        <f>AND('Planilla_General_07-12-2012_8_3'!O1519,"AAAAAD2+p90=")</f>
        <v>#VALUE!</v>
      </c>
      <c r="HO101" t="e">
        <f>AND('Planilla_General_07-12-2012_8_3'!P1519,"AAAAAD2+p94=")</f>
        <v>#VALUE!</v>
      </c>
      <c r="HP101">
        <f>IF('Planilla_General_07-12-2012_8_3'!1520:1520,"AAAAAD2+p98=",0)</f>
        <v>0</v>
      </c>
      <c r="HQ101" t="e">
        <f>AND('Planilla_General_07-12-2012_8_3'!A1520,"AAAAAD2+p+A=")</f>
        <v>#VALUE!</v>
      </c>
      <c r="HR101" t="e">
        <f>AND('Planilla_General_07-12-2012_8_3'!B1520,"AAAAAD2+p+E=")</f>
        <v>#VALUE!</v>
      </c>
      <c r="HS101" t="e">
        <f>AND('Planilla_General_07-12-2012_8_3'!C1520,"AAAAAD2+p+I=")</f>
        <v>#VALUE!</v>
      </c>
      <c r="HT101" t="e">
        <f>AND('Planilla_General_07-12-2012_8_3'!D1520,"AAAAAD2+p+M=")</f>
        <v>#VALUE!</v>
      </c>
      <c r="HU101" t="e">
        <f>AND('Planilla_General_07-12-2012_8_3'!E1520,"AAAAAD2+p+Q=")</f>
        <v>#VALUE!</v>
      </c>
      <c r="HV101" t="e">
        <f>AND('Planilla_General_07-12-2012_8_3'!F1520,"AAAAAD2+p+U=")</f>
        <v>#VALUE!</v>
      </c>
      <c r="HW101" t="e">
        <f>AND('Planilla_General_07-12-2012_8_3'!G1520,"AAAAAD2+p+Y=")</f>
        <v>#VALUE!</v>
      </c>
      <c r="HX101" t="e">
        <f>AND('Planilla_General_07-12-2012_8_3'!H1520,"AAAAAD2+p+c=")</f>
        <v>#VALUE!</v>
      </c>
      <c r="HY101" t="e">
        <f>AND('Planilla_General_07-12-2012_8_3'!I1520,"AAAAAD2+p+g=")</f>
        <v>#VALUE!</v>
      </c>
      <c r="HZ101" t="e">
        <f>AND('Planilla_General_07-12-2012_8_3'!J1520,"AAAAAD2+p+k=")</f>
        <v>#VALUE!</v>
      </c>
      <c r="IA101" t="e">
        <f>AND('Planilla_General_07-12-2012_8_3'!K1520,"AAAAAD2+p+o=")</f>
        <v>#VALUE!</v>
      </c>
      <c r="IB101" t="e">
        <f>AND('Planilla_General_07-12-2012_8_3'!L1520,"AAAAAD2+p+s=")</f>
        <v>#VALUE!</v>
      </c>
      <c r="IC101" t="e">
        <f>AND('Planilla_General_07-12-2012_8_3'!M1520,"AAAAAD2+p+w=")</f>
        <v>#VALUE!</v>
      </c>
      <c r="ID101" t="e">
        <f>AND('Planilla_General_07-12-2012_8_3'!N1520,"AAAAAD2+p+0=")</f>
        <v>#VALUE!</v>
      </c>
      <c r="IE101" t="e">
        <f>AND('Planilla_General_07-12-2012_8_3'!O1520,"AAAAAD2+p+4=")</f>
        <v>#VALUE!</v>
      </c>
      <c r="IF101" t="e">
        <f>AND('Planilla_General_07-12-2012_8_3'!P1520,"AAAAAD2+p+8=")</f>
        <v>#VALUE!</v>
      </c>
      <c r="IG101">
        <f>IF('Planilla_General_07-12-2012_8_3'!1521:1521,"AAAAAD2+p/A=",0)</f>
        <v>0</v>
      </c>
      <c r="IH101" t="e">
        <f>AND('Planilla_General_07-12-2012_8_3'!A1521,"AAAAAD2+p/E=")</f>
        <v>#VALUE!</v>
      </c>
      <c r="II101" t="e">
        <f>AND('Planilla_General_07-12-2012_8_3'!B1521,"AAAAAD2+p/I=")</f>
        <v>#VALUE!</v>
      </c>
      <c r="IJ101" t="e">
        <f>AND('Planilla_General_07-12-2012_8_3'!C1521,"AAAAAD2+p/M=")</f>
        <v>#VALUE!</v>
      </c>
      <c r="IK101" t="e">
        <f>AND('Planilla_General_07-12-2012_8_3'!D1521,"AAAAAD2+p/Q=")</f>
        <v>#VALUE!</v>
      </c>
      <c r="IL101" t="e">
        <f>AND('Planilla_General_07-12-2012_8_3'!E1521,"AAAAAD2+p/U=")</f>
        <v>#VALUE!</v>
      </c>
      <c r="IM101" t="e">
        <f>AND('Planilla_General_07-12-2012_8_3'!F1521,"AAAAAD2+p/Y=")</f>
        <v>#VALUE!</v>
      </c>
      <c r="IN101" t="e">
        <f>AND('Planilla_General_07-12-2012_8_3'!G1521,"AAAAAD2+p/c=")</f>
        <v>#VALUE!</v>
      </c>
      <c r="IO101" t="e">
        <f>AND('Planilla_General_07-12-2012_8_3'!H1521,"AAAAAD2+p/g=")</f>
        <v>#VALUE!</v>
      </c>
      <c r="IP101" t="e">
        <f>AND('Planilla_General_07-12-2012_8_3'!I1521,"AAAAAD2+p/k=")</f>
        <v>#VALUE!</v>
      </c>
      <c r="IQ101" t="e">
        <f>AND('Planilla_General_07-12-2012_8_3'!J1521,"AAAAAD2+p/o=")</f>
        <v>#VALUE!</v>
      </c>
      <c r="IR101" t="e">
        <f>AND('Planilla_General_07-12-2012_8_3'!K1521,"AAAAAD2+p/s=")</f>
        <v>#VALUE!</v>
      </c>
      <c r="IS101" t="e">
        <f>AND('Planilla_General_07-12-2012_8_3'!L1521,"AAAAAD2+p/w=")</f>
        <v>#VALUE!</v>
      </c>
      <c r="IT101" t="e">
        <f>AND('Planilla_General_07-12-2012_8_3'!M1521,"AAAAAD2+p/0=")</f>
        <v>#VALUE!</v>
      </c>
      <c r="IU101" t="e">
        <f>AND('Planilla_General_07-12-2012_8_3'!N1521,"AAAAAD2+p/4=")</f>
        <v>#VALUE!</v>
      </c>
      <c r="IV101" t="e">
        <f>AND('Planilla_General_07-12-2012_8_3'!O1521,"AAAAAD2+p/8=")</f>
        <v>#VALUE!</v>
      </c>
    </row>
    <row r="102" spans="1:256" x14ac:dyDescent="0.25">
      <c r="A102" t="e">
        <f>AND('Planilla_General_07-12-2012_8_3'!P1521,"AAAAAEc7/AA=")</f>
        <v>#VALUE!</v>
      </c>
      <c r="B102" t="e">
        <f>IF('Planilla_General_07-12-2012_8_3'!1522:1522,"AAAAAEc7/AE=",0)</f>
        <v>#VALUE!</v>
      </c>
      <c r="C102" t="e">
        <f>AND('Planilla_General_07-12-2012_8_3'!A1522,"AAAAAEc7/AI=")</f>
        <v>#VALUE!</v>
      </c>
      <c r="D102" t="e">
        <f>AND('Planilla_General_07-12-2012_8_3'!B1522,"AAAAAEc7/AM=")</f>
        <v>#VALUE!</v>
      </c>
      <c r="E102" t="e">
        <f>AND('Planilla_General_07-12-2012_8_3'!C1522,"AAAAAEc7/AQ=")</f>
        <v>#VALUE!</v>
      </c>
      <c r="F102" t="e">
        <f>AND('Planilla_General_07-12-2012_8_3'!D1522,"AAAAAEc7/AU=")</f>
        <v>#VALUE!</v>
      </c>
      <c r="G102" t="e">
        <f>AND('Planilla_General_07-12-2012_8_3'!E1522,"AAAAAEc7/AY=")</f>
        <v>#VALUE!</v>
      </c>
      <c r="H102" t="e">
        <f>AND('Planilla_General_07-12-2012_8_3'!F1522,"AAAAAEc7/Ac=")</f>
        <v>#VALUE!</v>
      </c>
      <c r="I102" t="e">
        <f>AND('Planilla_General_07-12-2012_8_3'!G1522,"AAAAAEc7/Ag=")</f>
        <v>#VALUE!</v>
      </c>
      <c r="J102" t="e">
        <f>AND('Planilla_General_07-12-2012_8_3'!H1522,"AAAAAEc7/Ak=")</f>
        <v>#VALUE!</v>
      </c>
      <c r="K102" t="e">
        <f>AND('Planilla_General_07-12-2012_8_3'!I1522,"AAAAAEc7/Ao=")</f>
        <v>#VALUE!</v>
      </c>
      <c r="L102" t="e">
        <f>AND('Planilla_General_07-12-2012_8_3'!J1522,"AAAAAEc7/As=")</f>
        <v>#VALUE!</v>
      </c>
      <c r="M102" t="e">
        <f>AND('Planilla_General_07-12-2012_8_3'!K1522,"AAAAAEc7/Aw=")</f>
        <v>#VALUE!</v>
      </c>
      <c r="N102" t="e">
        <f>AND('Planilla_General_07-12-2012_8_3'!L1522,"AAAAAEc7/A0=")</f>
        <v>#VALUE!</v>
      </c>
      <c r="O102" t="e">
        <f>AND('Planilla_General_07-12-2012_8_3'!M1522,"AAAAAEc7/A4=")</f>
        <v>#VALUE!</v>
      </c>
      <c r="P102" t="e">
        <f>AND('Planilla_General_07-12-2012_8_3'!N1522,"AAAAAEc7/A8=")</f>
        <v>#VALUE!</v>
      </c>
      <c r="Q102" t="e">
        <f>AND('Planilla_General_07-12-2012_8_3'!O1522,"AAAAAEc7/BA=")</f>
        <v>#VALUE!</v>
      </c>
      <c r="R102" t="e">
        <f>AND('Planilla_General_07-12-2012_8_3'!P1522,"AAAAAEc7/BE=")</f>
        <v>#VALUE!</v>
      </c>
      <c r="S102">
        <f>IF('Planilla_General_07-12-2012_8_3'!1523:1523,"AAAAAEc7/BI=",0)</f>
        <v>0</v>
      </c>
      <c r="T102" t="e">
        <f>AND('Planilla_General_07-12-2012_8_3'!A1523,"AAAAAEc7/BM=")</f>
        <v>#VALUE!</v>
      </c>
      <c r="U102" t="e">
        <f>AND('Planilla_General_07-12-2012_8_3'!B1523,"AAAAAEc7/BQ=")</f>
        <v>#VALUE!</v>
      </c>
      <c r="V102" t="e">
        <f>AND('Planilla_General_07-12-2012_8_3'!C1523,"AAAAAEc7/BU=")</f>
        <v>#VALUE!</v>
      </c>
      <c r="W102" t="e">
        <f>AND('Planilla_General_07-12-2012_8_3'!D1523,"AAAAAEc7/BY=")</f>
        <v>#VALUE!</v>
      </c>
      <c r="X102" t="e">
        <f>AND('Planilla_General_07-12-2012_8_3'!E1523,"AAAAAEc7/Bc=")</f>
        <v>#VALUE!</v>
      </c>
      <c r="Y102" t="e">
        <f>AND('Planilla_General_07-12-2012_8_3'!F1523,"AAAAAEc7/Bg=")</f>
        <v>#VALUE!</v>
      </c>
      <c r="Z102" t="e">
        <f>AND('Planilla_General_07-12-2012_8_3'!G1523,"AAAAAEc7/Bk=")</f>
        <v>#VALUE!</v>
      </c>
      <c r="AA102" t="e">
        <f>AND('Planilla_General_07-12-2012_8_3'!H1523,"AAAAAEc7/Bo=")</f>
        <v>#VALUE!</v>
      </c>
      <c r="AB102" t="e">
        <f>AND('Planilla_General_07-12-2012_8_3'!I1523,"AAAAAEc7/Bs=")</f>
        <v>#VALUE!</v>
      </c>
      <c r="AC102" t="e">
        <f>AND('Planilla_General_07-12-2012_8_3'!J1523,"AAAAAEc7/Bw=")</f>
        <v>#VALUE!</v>
      </c>
      <c r="AD102" t="e">
        <f>AND('Planilla_General_07-12-2012_8_3'!K1523,"AAAAAEc7/B0=")</f>
        <v>#VALUE!</v>
      </c>
      <c r="AE102" t="e">
        <f>AND('Planilla_General_07-12-2012_8_3'!L1523,"AAAAAEc7/B4=")</f>
        <v>#VALUE!</v>
      </c>
      <c r="AF102" t="e">
        <f>AND('Planilla_General_07-12-2012_8_3'!M1523,"AAAAAEc7/B8=")</f>
        <v>#VALUE!</v>
      </c>
      <c r="AG102" t="e">
        <f>AND('Planilla_General_07-12-2012_8_3'!N1523,"AAAAAEc7/CA=")</f>
        <v>#VALUE!</v>
      </c>
      <c r="AH102" t="e">
        <f>AND('Planilla_General_07-12-2012_8_3'!O1523,"AAAAAEc7/CE=")</f>
        <v>#VALUE!</v>
      </c>
      <c r="AI102" t="e">
        <f>AND('Planilla_General_07-12-2012_8_3'!P1523,"AAAAAEc7/CI=")</f>
        <v>#VALUE!</v>
      </c>
      <c r="AJ102">
        <f>IF('Planilla_General_07-12-2012_8_3'!1524:1524,"AAAAAEc7/CM=",0)</f>
        <v>0</v>
      </c>
      <c r="AK102" t="e">
        <f>AND('Planilla_General_07-12-2012_8_3'!A1524,"AAAAAEc7/CQ=")</f>
        <v>#VALUE!</v>
      </c>
      <c r="AL102" t="e">
        <f>AND('Planilla_General_07-12-2012_8_3'!B1524,"AAAAAEc7/CU=")</f>
        <v>#VALUE!</v>
      </c>
      <c r="AM102" t="e">
        <f>AND('Planilla_General_07-12-2012_8_3'!C1524,"AAAAAEc7/CY=")</f>
        <v>#VALUE!</v>
      </c>
      <c r="AN102" t="e">
        <f>AND('Planilla_General_07-12-2012_8_3'!D1524,"AAAAAEc7/Cc=")</f>
        <v>#VALUE!</v>
      </c>
      <c r="AO102" t="e">
        <f>AND('Planilla_General_07-12-2012_8_3'!E1524,"AAAAAEc7/Cg=")</f>
        <v>#VALUE!</v>
      </c>
      <c r="AP102" t="e">
        <f>AND('Planilla_General_07-12-2012_8_3'!F1524,"AAAAAEc7/Ck=")</f>
        <v>#VALUE!</v>
      </c>
      <c r="AQ102" t="e">
        <f>AND('Planilla_General_07-12-2012_8_3'!G1524,"AAAAAEc7/Co=")</f>
        <v>#VALUE!</v>
      </c>
      <c r="AR102" t="e">
        <f>AND('Planilla_General_07-12-2012_8_3'!H1524,"AAAAAEc7/Cs=")</f>
        <v>#VALUE!</v>
      </c>
      <c r="AS102" t="e">
        <f>AND('Planilla_General_07-12-2012_8_3'!I1524,"AAAAAEc7/Cw=")</f>
        <v>#VALUE!</v>
      </c>
      <c r="AT102" t="e">
        <f>AND('Planilla_General_07-12-2012_8_3'!J1524,"AAAAAEc7/C0=")</f>
        <v>#VALUE!</v>
      </c>
      <c r="AU102" t="e">
        <f>AND('Planilla_General_07-12-2012_8_3'!K1524,"AAAAAEc7/C4=")</f>
        <v>#VALUE!</v>
      </c>
      <c r="AV102" t="e">
        <f>AND('Planilla_General_07-12-2012_8_3'!L1524,"AAAAAEc7/C8=")</f>
        <v>#VALUE!</v>
      </c>
      <c r="AW102" t="e">
        <f>AND('Planilla_General_07-12-2012_8_3'!M1524,"AAAAAEc7/DA=")</f>
        <v>#VALUE!</v>
      </c>
      <c r="AX102" t="e">
        <f>AND('Planilla_General_07-12-2012_8_3'!N1524,"AAAAAEc7/DE=")</f>
        <v>#VALUE!</v>
      </c>
      <c r="AY102" t="e">
        <f>AND('Planilla_General_07-12-2012_8_3'!O1524,"AAAAAEc7/DI=")</f>
        <v>#VALUE!</v>
      </c>
      <c r="AZ102" t="e">
        <f>AND('Planilla_General_07-12-2012_8_3'!P1524,"AAAAAEc7/DM=")</f>
        <v>#VALUE!</v>
      </c>
      <c r="BA102">
        <f>IF('Planilla_General_07-12-2012_8_3'!1525:1525,"AAAAAEc7/DQ=",0)</f>
        <v>0</v>
      </c>
      <c r="BB102" t="e">
        <f>AND('Planilla_General_07-12-2012_8_3'!A1525,"AAAAAEc7/DU=")</f>
        <v>#VALUE!</v>
      </c>
      <c r="BC102" t="e">
        <f>AND('Planilla_General_07-12-2012_8_3'!B1525,"AAAAAEc7/DY=")</f>
        <v>#VALUE!</v>
      </c>
      <c r="BD102" t="e">
        <f>AND('Planilla_General_07-12-2012_8_3'!C1525,"AAAAAEc7/Dc=")</f>
        <v>#VALUE!</v>
      </c>
      <c r="BE102" t="e">
        <f>AND('Planilla_General_07-12-2012_8_3'!D1525,"AAAAAEc7/Dg=")</f>
        <v>#VALUE!</v>
      </c>
      <c r="BF102" t="e">
        <f>AND('Planilla_General_07-12-2012_8_3'!E1525,"AAAAAEc7/Dk=")</f>
        <v>#VALUE!</v>
      </c>
      <c r="BG102" t="e">
        <f>AND('Planilla_General_07-12-2012_8_3'!F1525,"AAAAAEc7/Do=")</f>
        <v>#VALUE!</v>
      </c>
      <c r="BH102" t="e">
        <f>AND('Planilla_General_07-12-2012_8_3'!G1525,"AAAAAEc7/Ds=")</f>
        <v>#VALUE!</v>
      </c>
      <c r="BI102" t="e">
        <f>AND('Planilla_General_07-12-2012_8_3'!H1525,"AAAAAEc7/Dw=")</f>
        <v>#VALUE!</v>
      </c>
      <c r="BJ102" t="e">
        <f>AND('Planilla_General_07-12-2012_8_3'!I1525,"AAAAAEc7/D0=")</f>
        <v>#VALUE!</v>
      </c>
      <c r="BK102" t="e">
        <f>AND('Planilla_General_07-12-2012_8_3'!J1525,"AAAAAEc7/D4=")</f>
        <v>#VALUE!</v>
      </c>
      <c r="BL102" t="e">
        <f>AND('Planilla_General_07-12-2012_8_3'!K1525,"AAAAAEc7/D8=")</f>
        <v>#VALUE!</v>
      </c>
      <c r="BM102" t="e">
        <f>AND('Planilla_General_07-12-2012_8_3'!L1525,"AAAAAEc7/EA=")</f>
        <v>#VALUE!</v>
      </c>
      <c r="BN102" t="e">
        <f>AND('Planilla_General_07-12-2012_8_3'!M1525,"AAAAAEc7/EE=")</f>
        <v>#VALUE!</v>
      </c>
      <c r="BO102" t="e">
        <f>AND('Planilla_General_07-12-2012_8_3'!N1525,"AAAAAEc7/EI=")</f>
        <v>#VALUE!</v>
      </c>
      <c r="BP102" t="e">
        <f>AND('Planilla_General_07-12-2012_8_3'!O1525,"AAAAAEc7/EM=")</f>
        <v>#VALUE!</v>
      </c>
      <c r="BQ102" t="e">
        <f>AND('Planilla_General_07-12-2012_8_3'!P1525,"AAAAAEc7/EQ=")</f>
        <v>#VALUE!</v>
      </c>
      <c r="BR102">
        <f>IF('Planilla_General_07-12-2012_8_3'!1526:1526,"AAAAAEc7/EU=",0)</f>
        <v>0</v>
      </c>
      <c r="BS102" t="e">
        <f>AND('Planilla_General_07-12-2012_8_3'!A1526,"AAAAAEc7/EY=")</f>
        <v>#VALUE!</v>
      </c>
      <c r="BT102" t="e">
        <f>AND('Planilla_General_07-12-2012_8_3'!B1526,"AAAAAEc7/Ec=")</f>
        <v>#VALUE!</v>
      </c>
      <c r="BU102" t="e">
        <f>AND('Planilla_General_07-12-2012_8_3'!C1526,"AAAAAEc7/Eg=")</f>
        <v>#VALUE!</v>
      </c>
      <c r="BV102" t="e">
        <f>AND('Planilla_General_07-12-2012_8_3'!D1526,"AAAAAEc7/Ek=")</f>
        <v>#VALUE!</v>
      </c>
      <c r="BW102" t="e">
        <f>AND('Planilla_General_07-12-2012_8_3'!E1526,"AAAAAEc7/Eo=")</f>
        <v>#VALUE!</v>
      </c>
      <c r="BX102" t="e">
        <f>AND('Planilla_General_07-12-2012_8_3'!F1526,"AAAAAEc7/Es=")</f>
        <v>#VALUE!</v>
      </c>
      <c r="BY102" t="e">
        <f>AND('Planilla_General_07-12-2012_8_3'!G1526,"AAAAAEc7/Ew=")</f>
        <v>#VALUE!</v>
      </c>
      <c r="BZ102" t="e">
        <f>AND('Planilla_General_07-12-2012_8_3'!H1526,"AAAAAEc7/E0=")</f>
        <v>#VALUE!</v>
      </c>
      <c r="CA102" t="e">
        <f>AND('Planilla_General_07-12-2012_8_3'!I1526,"AAAAAEc7/E4=")</f>
        <v>#VALUE!</v>
      </c>
      <c r="CB102" t="e">
        <f>AND('Planilla_General_07-12-2012_8_3'!J1526,"AAAAAEc7/E8=")</f>
        <v>#VALUE!</v>
      </c>
      <c r="CC102" t="e">
        <f>AND('Planilla_General_07-12-2012_8_3'!K1526,"AAAAAEc7/FA=")</f>
        <v>#VALUE!</v>
      </c>
      <c r="CD102" t="e">
        <f>AND('Planilla_General_07-12-2012_8_3'!L1526,"AAAAAEc7/FE=")</f>
        <v>#VALUE!</v>
      </c>
      <c r="CE102" t="e">
        <f>AND('Planilla_General_07-12-2012_8_3'!M1526,"AAAAAEc7/FI=")</f>
        <v>#VALUE!</v>
      </c>
      <c r="CF102" t="e">
        <f>AND('Planilla_General_07-12-2012_8_3'!N1526,"AAAAAEc7/FM=")</f>
        <v>#VALUE!</v>
      </c>
      <c r="CG102" t="e">
        <f>AND('Planilla_General_07-12-2012_8_3'!O1526,"AAAAAEc7/FQ=")</f>
        <v>#VALUE!</v>
      </c>
      <c r="CH102" t="e">
        <f>AND('Planilla_General_07-12-2012_8_3'!P1526,"AAAAAEc7/FU=")</f>
        <v>#VALUE!</v>
      </c>
      <c r="CI102">
        <f>IF('Planilla_General_07-12-2012_8_3'!1527:1527,"AAAAAEc7/FY=",0)</f>
        <v>0</v>
      </c>
      <c r="CJ102" t="e">
        <f>AND('Planilla_General_07-12-2012_8_3'!A1527,"AAAAAEc7/Fc=")</f>
        <v>#VALUE!</v>
      </c>
      <c r="CK102" t="e">
        <f>AND('Planilla_General_07-12-2012_8_3'!B1527,"AAAAAEc7/Fg=")</f>
        <v>#VALUE!</v>
      </c>
      <c r="CL102" t="e">
        <f>AND('Planilla_General_07-12-2012_8_3'!C1527,"AAAAAEc7/Fk=")</f>
        <v>#VALUE!</v>
      </c>
      <c r="CM102" t="e">
        <f>AND('Planilla_General_07-12-2012_8_3'!D1527,"AAAAAEc7/Fo=")</f>
        <v>#VALUE!</v>
      </c>
      <c r="CN102" t="e">
        <f>AND('Planilla_General_07-12-2012_8_3'!E1527,"AAAAAEc7/Fs=")</f>
        <v>#VALUE!</v>
      </c>
      <c r="CO102" t="e">
        <f>AND('Planilla_General_07-12-2012_8_3'!F1527,"AAAAAEc7/Fw=")</f>
        <v>#VALUE!</v>
      </c>
      <c r="CP102" t="e">
        <f>AND('Planilla_General_07-12-2012_8_3'!G1527,"AAAAAEc7/F0=")</f>
        <v>#VALUE!</v>
      </c>
      <c r="CQ102" t="e">
        <f>AND('Planilla_General_07-12-2012_8_3'!H1527,"AAAAAEc7/F4=")</f>
        <v>#VALUE!</v>
      </c>
      <c r="CR102" t="e">
        <f>AND('Planilla_General_07-12-2012_8_3'!I1527,"AAAAAEc7/F8=")</f>
        <v>#VALUE!</v>
      </c>
      <c r="CS102" t="e">
        <f>AND('Planilla_General_07-12-2012_8_3'!J1527,"AAAAAEc7/GA=")</f>
        <v>#VALUE!</v>
      </c>
      <c r="CT102" t="e">
        <f>AND('Planilla_General_07-12-2012_8_3'!K1527,"AAAAAEc7/GE=")</f>
        <v>#VALUE!</v>
      </c>
      <c r="CU102" t="e">
        <f>AND('Planilla_General_07-12-2012_8_3'!L1527,"AAAAAEc7/GI=")</f>
        <v>#VALUE!</v>
      </c>
      <c r="CV102" t="e">
        <f>AND('Planilla_General_07-12-2012_8_3'!M1527,"AAAAAEc7/GM=")</f>
        <v>#VALUE!</v>
      </c>
      <c r="CW102" t="e">
        <f>AND('Planilla_General_07-12-2012_8_3'!N1527,"AAAAAEc7/GQ=")</f>
        <v>#VALUE!</v>
      </c>
      <c r="CX102" t="e">
        <f>AND('Planilla_General_07-12-2012_8_3'!O1527,"AAAAAEc7/GU=")</f>
        <v>#VALUE!</v>
      </c>
      <c r="CY102" t="e">
        <f>AND('Planilla_General_07-12-2012_8_3'!P1527,"AAAAAEc7/GY=")</f>
        <v>#VALUE!</v>
      </c>
      <c r="CZ102">
        <f>IF('Planilla_General_07-12-2012_8_3'!1528:1528,"AAAAAEc7/Gc=",0)</f>
        <v>0</v>
      </c>
      <c r="DA102" t="e">
        <f>AND('Planilla_General_07-12-2012_8_3'!A1528,"AAAAAEc7/Gg=")</f>
        <v>#VALUE!</v>
      </c>
      <c r="DB102" t="e">
        <f>AND('Planilla_General_07-12-2012_8_3'!B1528,"AAAAAEc7/Gk=")</f>
        <v>#VALUE!</v>
      </c>
      <c r="DC102" t="e">
        <f>AND('Planilla_General_07-12-2012_8_3'!C1528,"AAAAAEc7/Go=")</f>
        <v>#VALUE!</v>
      </c>
      <c r="DD102" t="e">
        <f>AND('Planilla_General_07-12-2012_8_3'!D1528,"AAAAAEc7/Gs=")</f>
        <v>#VALUE!</v>
      </c>
      <c r="DE102" t="e">
        <f>AND('Planilla_General_07-12-2012_8_3'!E1528,"AAAAAEc7/Gw=")</f>
        <v>#VALUE!</v>
      </c>
      <c r="DF102" t="e">
        <f>AND('Planilla_General_07-12-2012_8_3'!F1528,"AAAAAEc7/G0=")</f>
        <v>#VALUE!</v>
      </c>
      <c r="DG102" t="e">
        <f>AND('Planilla_General_07-12-2012_8_3'!G1528,"AAAAAEc7/G4=")</f>
        <v>#VALUE!</v>
      </c>
      <c r="DH102" t="e">
        <f>AND('Planilla_General_07-12-2012_8_3'!H1528,"AAAAAEc7/G8=")</f>
        <v>#VALUE!</v>
      </c>
      <c r="DI102" t="e">
        <f>AND('Planilla_General_07-12-2012_8_3'!I1528,"AAAAAEc7/HA=")</f>
        <v>#VALUE!</v>
      </c>
      <c r="DJ102" t="e">
        <f>AND('Planilla_General_07-12-2012_8_3'!J1528,"AAAAAEc7/HE=")</f>
        <v>#VALUE!</v>
      </c>
      <c r="DK102" t="e">
        <f>AND('Planilla_General_07-12-2012_8_3'!K1528,"AAAAAEc7/HI=")</f>
        <v>#VALUE!</v>
      </c>
      <c r="DL102" t="e">
        <f>AND('Planilla_General_07-12-2012_8_3'!L1528,"AAAAAEc7/HM=")</f>
        <v>#VALUE!</v>
      </c>
      <c r="DM102" t="e">
        <f>AND('Planilla_General_07-12-2012_8_3'!M1528,"AAAAAEc7/HQ=")</f>
        <v>#VALUE!</v>
      </c>
      <c r="DN102" t="e">
        <f>AND('Planilla_General_07-12-2012_8_3'!N1528,"AAAAAEc7/HU=")</f>
        <v>#VALUE!</v>
      </c>
      <c r="DO102" t="e">
        <f>AND('Planilla_General_07-12-2012_8_3'!O1528,"AAAAAEc7/HY=")</f>
        <v>#VALUE!</v>
      </c>
      <c r="DP102" t="e">
        <f>AND('Planilla_General_07-12-2012_8_3'!P1528,"AAAAAEc7/Hc=")</f>
        <v>#VALUE!</v>
      </c>
      <c r="DQ102">
        <f>IF('Planilla_General_07-12-2012_8_3'!1529:1529,"AAAAAEc7/Hg=",0)</f>
        <v>0</v>
      </c>
      <c r="DR102" t="e">
        <f>AND('Planilla_General_07-12-2012_8_3'!A1529,"AAAAAEc7/Hk=")</f>
        <v>#VALUE!</v>
      </c>
      <c r="DS102" t="e">
        <f>AND('Planilla_General_07-12-2012_8_3'!B1529,"AAAAAEc7/Ho=")</f>
        <v>#VALUE!</v>
      </c>
      <c r="DT102" t="e">
        <f>AND('Planilla_General_07-12-2012_8_3'!C1529,"AAAAAEc7/Hs=")</f>
        <v>#VALUE!</v>
      </c>
      <c r="DU102" t="e">
        <f>AND('Planilla_General_07-12-2012_8_3'!D1529,"AAAAAEc7/Hw=")</f>
        <v>#VALUE!</v>
      </c>
      <c r="DV102" t="e">
        <f>AND('Planilla_General_07-12-2012_8_3'!E1529,"AAAAAEc7/H0=")</f>
        <v>#VALUE!</v>
      </c>
      <c r="DW102" t="e">
        <f>AND('Planilla_General_07-12-2012_8_3'!F1529,"AAAAAEc7/H4=")</f>
        <v>#VALUE!</v>
      </c>
      <c r="DX102" t="e">
        <f>AND('Planilla_General_07-12-2012_8_3'!G1529,"AAAAAEc7/H8=")</f>
        <v>#VALUE!</v>
      </c>
      <c r="DY102" t="e">
        <f>AND('Planilla_General_07-12-2012_8_3'!H1529,"AAAAAEc7/IA=")</f>
        <v>#VALUE!</v>
      </c>
      <c r="DZ102" t="e">
        <f>AND('Planilla_General_07-12-2012_8_3'!I1529,"AAAAAEc7/IE=")</f>
        <v>#VALUE!</v>
      </c>
      <c r="EA102" t="e">
        <f>AND('Planilla_General_07-12-2012_8_3'!J1529,"AAAAAEc7/II=")</f>
        <v>#VALUE!</v>
      </c>
      <c r="EB102" t="e">
        <f>AND('Planilla_General_07-12-2012_8_3'!K1529,"AAAAAEc7/IM=")</f>
        <v>#VALUE!</v>
      </c>
      <c r="EC102" t="e">
        <f>AND('Planilla_General_07-12-2012_8_3'!L1529,"AAAAAEc7/IQ=")</f>
        <v>#VALUE!</v>
      </c>
      <c r="ED102" t="e">
        <f>AND('Planilla_General_07-12-2012_8_3'!M1529,"AAAAAEc7/IU=")</f>
        <v>#VALUE!</v>
      </c>
      <c r="EE102" t="e">
        <f>AND('Planilla_General_07-12-2012_8_3'!N1529,"AAAAAEc7/IY=")</f>
        <v>#VALUE!</v>
      </c>
      <c r="EF102" t="e">
        <f>AND('Planilla_General_07-12-2012_8_3'!O1529,"AAAAAEc7/Ic=")</f>
        <v>#VALUE!</v>
      </c>
      <c r="EG102" t="e">
        <f>AND('Planilla_General_07-12-2012_8_3'!P1529,"AAAAAEc7/Ig=")</f>
        <v>#VALUE!</v>
      </c>
      <c r="EH102">
        <f>IF('Planilla_General_07-12-2012_8_3'!1530:1530,"AAAAAEc7/Ik=",0)</f>
        <v>0</v>
      </c>
      <c r="EI102" t="e">
        <f>AND('Planilla_General_07-12-2012_8_3'!A1530,"AAAAAEc7/Io=")</f>
        <v>#VALUE!</v>
      </c>
      <c r="EJ102" t="e">
        <f>AND('Planilla_General_07-12-2012_8_3'!B1530,"AAAAAEc7/Is=")</f>
        <v>#VALUE!</v>
      </c>
      <c r="EK102" t="e">
        <f>AND('Planilla_General_07-12-2012_8_3'!C1530,"AAAAAEc7/Iw=")</f>
        <v>#VALUE!</v>
      </c>
      <c r="EL102" t="e">
        <f>AND('Planilla_General_07-12-2012_8_3'!D1530,"AAAAAEc7/I0=")</f>
        <v>#VALUE!</v>
      </c>
      <c r="EM102" t="e">
        <f>AND('Planilla_General_07-12-2012_8_3'!E1530,"AAAAAEc7/I4=")</f>
        <v>#VALUE!</v>
      </c>
      <c r="EN102" t="e">
        <f>AND('Planilla_General_07-12-2012_8_3'!F1530,"AAAAAEc7/I8=")</f>
        <v>#VALUE!</v>
      </c>
      <c r="EO102" t="e">
        <f>AND('Planilla_General_07-12-2012_8_3'!G1530,"AAAAAEc7/JA=")</f>
        <v>#VALUE!</v>
      </c>
      <c r="EP102" t="e">
        <f>AND('Planilla_General_07-12-2012_8_3'!H1530,"AAAAAEc7/JE=")</f>
        <v>#VALUE!</v>
      </c>
      <c r="EQ102" t="e">
        <f>AND('Planilla_General_07-12-2012_8_3'!I1530,"AAAAAEc7/JI=")</f>
        <v>#VALUE!</v>
      </c>
      <c r="ER102" t="e">
        <f>AND('Planilla_General_07-12-2012_8_3'!J1530,"AAAAAEc7/JM=")</f>
        <v>#VALUE!</v>
      </c>
      <c r="ES102" t="e">
        <f>AND('Planilla_General_07-12-2012_8_3'!K1530,"AAAAAEc7/JQ=")</f>
        <v>#VALUE!</v>
      </c>
      <c r="ET102" t="e">
        <f>AND('Planilla_General_07-12-2012_8_3'!L1530,"AAAAAEc7/JU=")</f>
        <v>#VALUE!</v>
      </c>
      <c r="EU102" t="e">
        <f>AND('Planilla_General_07-12-2012_8_3'!M1530,"AAAAAEc7/JY=")</f>
        <v>#VALUE!</v>
      </c>
      <c r="EV102" t="e">
        <f>AND('Planilla_General_07-12-2012_8_3'!N1530,"AAAAAEc7/Jc=")</f>
        <v>#VALUE!</v>
      </c>
      <c r="EW102" t="e">
        <f>AND('Planilla_General_07-12-2012_8_3'!O1530,"AAAAAEc7/Jg=")</f>
        <v>#VALUE!</v>
      </c>
      <c r="EX102" t="e">
        <f>AND('Planilla_General_07-12-2012_8_3'!P1530,"AAAAAEc7/Jk=")</f>
        <v>#VALUE!</v>
      </c>
      <c r="EY102">
        <f>IF('Planilla_General_07-12-2012_8_3'!1531:1531,"AAAAAEc7/Jo=",0)</f>
        <v>0</v>
      </c>
      <c r="EZ102" t="e">
        <f>AND('Planilla_General_07-12-2012_8_3'!A1531,"AAAAAEc7/Js=")</f>
        <v>#VALUE!</v>
      </c>
      <c r="FA102" t="e">
        <f>AND('Planilla_General_07-12-2012_8_3'!B1531,"AAAAAEc7/Jw=")</f>
        <v>#VALUE!</v>
      </c>
      <c r="FB102" t="e">
        <f>AND('Planilla_General_07-12-2012_8_3'!C1531,"AAAAAEc7/J0=")</f>
        <v>#VALUE!</v>
      </c>
      <c r="FC102" t="e">
        <f>AND('Planilla_General_07-12-2012_8_3'!D1531,"AAAAAEc7/J4=")</f>
        <v>#VALUE!</v>
      </c>
      <c r="FD102" t="e">
        <f>AND('Planilla_General_07-12-2012_8_3'!E1531,"AAAAAEc7/J8=")</f>
        <v>#VALUE!</v>
      </c>
      <c r="FE102" t="e">
        <f>AND('Planilla_General_07-12-2012_8_3'!F1531,"AAAAAEc7/KA=")</f>
        <v>#VALUE!</v>
      </c>
      <c r="FF102" t="e">
        <f>AND('Planilla_General_07-12-2012_8_3'!G1531,"AAAAAEc7/KE=")</f>
        <v>#VALUE!</v>
      </c>
      <c r="FG102" t="e">
        <f>AND('Planilla_General_07-12-2012_8_3'!H1531,"AAAAAEc7/KI=")</f>
        <v>#VALUE!</v>
      </c>
      <c r="FH102" t="e">
        <f>AND('Planilla_General_07-12-2012_8_3'!I1531,"AAAAAEc7/KM=")</f>
        <v>#VALUE!</v>
      </c>
      <c r="FI102" t="e">
        <f>AND('Planilla_General_07-12-2012_8_3'!J1531,"AAAAAEc7/KQ=")</f>
        <v>#VALUE!</v>
      </c>
      <c r="FJ102" t="e">
        <f>AND('Planilla_General_07-12-2012_8_3'!K1531,"AAAAAEc7/KU=")</f>
        <v>#VALUE!</v>
      </c>
      <c r="FK102" t="e">
        <f>AND('Planilla_General_07-12-2012_8_3'!L1531,"AAAAAEc7/KY=")</f>
        <v>#VALUE!</v>
      </c>
      <c r="FL102" t="e">
        <f>AND('Planilla_General_07-12-2012_8_3'!M1531,"AAAAAEc7/Kc=")</f>
        <v>#VALUE!</v>
      </c>
      <c r="FM102" t="e">
        <f>AND('Planilla_General_07-12-2012_8_3'!N1531,"AAAAAEc7/Kg=")</f>
        <v>#VALUE!</v>
      </c>
      <c r="FN102" t="e">
        <f>AND('Planilla_General_07-12-2012_8_3'!O1531,"AAAAAEc7/Kk=")</f>
        <v>#VALUE!</v>
      </c>
      <c r="FO102" t="e">
        <f>AND('Planilla_General_07-12-2012_8_3'!P1531,"AAAAAEc7/Ko=")</f>
        <v>#VALUE!</v>
      </c>
      <c r="FP102">
        <f>IF('Planilla_General_07-12-2012_8_3'!1532:1532,"AAAAAEc7/Ks=",0)</f>
        <v>0</v>
      </c>
      <c r="FQ102" t="e">
        <f>AND('Planilla_General_07-12-2012_8_3'!A1532,"AAAAAEc7/Kw=")</f>
        <v>#VALUE!</v>
      </c>
      <c r="FR102" t="e">
        <f>AND('Planilla_General_07-12-2012_8_3'!B1532,"AAAAAEc7/K0=")</f>
        <v>#VALUE!</v>
      </c>
      <c r="FS102" t="e">
        <f>AND('Planilla_General_07-12-2012_8_3'!C1532,"AAAAAEc7/K4=")</f>
        <v>#VALUE!</v>
      </c>
      <c r="FT102" t="e">
        <f>AND('Planilla_General_07-12-2012_8_3'!D1532,"AAAAAEc7/K8=")</f>
        <v>#VALUE!</v>
      </c>
      <c r="FU102" t="e">
        <f>AND('Planilla_General_07-12-2012_8_3'!E1532,"AAAAAEc7/LA=")</f>
        <v>#VALUE!</v>
      </c>
      <c r="FV102" t="e">
        <f>AND('Planilla_General_07-12-2012_8_3'!F1532,"AAAAAEc7/LE=")</f>
        <v>#VALUE!</v>
      </c>
      <c r="FW102" t="e">
        <f>AND('Planilla_General_07-12-2012_8_3'!G1532,"AAAAAEc7/LI=")</f>
        <v>#VALUE!</v>
      </c>
      <c r="FX102" t="e">
        <f>AND('Planilla_General_07-12-2012_8_3'!H1532,"AAAAAEc7/LM=")</f>
        <v>#VALUE!</v>
      </c>
      <c r="FY102" t="e">
        <f>AND('Planilla_General_07-12-2012_8_3'!I1532,"AAAAAEc7/LQ=")</f>
        <v>#VALUE!</v>
      </c>
      <c r="FZ102" t="e">
        <f>AND('Planilla_General_07-12-2012_8_3'!J1532,"AAAAAEc7/LU=")</f>
        <v>#VALUE!</v>
      </c>
      <c r="GA102" t="e">
        <f>AND('Planilla_General_07-12-2012_8_3'!K1532,"AAAAAEc7/LY=")</f>
        <v>#VALUE!</v>
      </c>
      <c r="GB102" t="e">
        <f>AND('Planilla_General_07-12-2012_8_3'!L1532,"AAAAAEc7/Lc=")</f>
        <v>#VALUE!</v>
      </c>
      <c r="GC102" t="e">
        <f>AND('Planilla_General_07-12-2012_8_3'!M1532,"AAAAAEc7/Lg=")</f>
        <v>#VALUE!</v>
      </c>
      <c r="GD102" t="e">
        <f>AND('Planilla_General_07-12-2012_8_3'!N1532,"AAAAAEc7/Lk=")</f>
        <v>#VALUE!</v>
      </c>
      <c r="GE102" t="e">
        <f>AND('Planilla_General_07-12-2012_8_3'!O1532,"AAAAAEc7/Lo=")</f>
        <v>#VALUE!</v>
      </c>
      <c r="GF102" t="e">
        <f>AND('Planilla_General_07-12-2012_8_3'!P1532,"AAAAAEc7/Ls=")</f>
        <v>#VALUE!</v>
      </c>
      <c r="GG102">
        <f>IF('Planilla_General_07-12-2012_8_3'!1533:1533,"AAAAAEc7/Lw=",0)</f>
        <v>0</v>
      </c>
      <c r="GH102" t="e">
        <f>AND('Planilla_General_07-12-2012_8_3'!A1533,"AAAAAEc7/L0=")</f>
        <v>#VALUE!</v>
      </c>
      <c r="GI102" t="e">
        <f>AND('Planilla_General_07-12-2012_8_3'!B1533,"AAAAAEc7/L4=")</f>
        <v>#VALUE!</v>
      </c>
      <c r="GJ102" t="e">
        <f>AND('Planilla_General_07-12-2012_8_3'!C1533,"AAAAAEc7/L8=")</f>
        <v>#VALUE!</v>
      </c>
      <c r="GK102" t="e">
        <f>AND('Planilla_General_07-12-2012_8_3'!D1533,"AAAAAEc7/MA=")</f>
        <v>#VALUE!</v>
      </c>
      <c r="GL102" t="e">
        <f>AND('Planilla_General_07-12-2012_8_3'!E1533,"AAAAAEc7/ME=")</f>
        <v>#VALUE!</v>
      </c>
      <c r="GM102" t="e">
        <f>AND('Planilla_General_07-12-2012_8_3'!F1533,"AAAAAEc7/MI=")</f>
        <v>#VALUE!</v>
      </c>
      <c r="GN102" t="e">
        <f>AND('Planilla_General_07-12-2012_8_3'!G1533,"AAAAAEc7/MM=")</f>
        <v>#VALUE!</v>
      </c>
      <c r="GO102" t="e">
        <f>AND('Planilla_General_07-12-2012_8_3'!H1533,"AAAAAEc7/MQ=")</f>
        <v>#VALUE!</v>
      </c>
      <c r="GP102" t="e">
        <f>AND('Planilla_General_07-12-2012_8_3'!I1533,"AAAAAEc7/MU=")</f>
        <v>#VALUE!</v>
      </c>
      <c r="GQ102" t="e">
        <f>AND('Planilla_General_07-12-2012_8_3'!J1533,"AAAAAEc7/MY=")</f>
        <v>#VALUE!</v>
      </c>
      <c r="GR102" t="e">
        <f>AND('Planilla_General_07-12-2012_8_3'!K1533,"AAAAAEc7/Mc=")</f>
        <v>#VALUE!</v>
      </c>
      <c r="GS102" t="e">
        <f>AND('Planilla_General_07-12-2012_8_3'!L1533,"AAAAAEc7/Mg=")</f>
        <v>#VALUE!</v>
      </c>
      <c r="GT102" t="e">
        <f>AND('Planilla_General_07-12-2012_8_3'!M1533,"AAAAAEc7/Mk=")</f>
        <v>#VALUE!</v>
      </c>
      <c r="GU102" t="e">
        <f>AND('Planilla_General_07-12-2012_8_3'!N1533,"AAAAAEc7/Mo=")</f>
        <v>#VALUE!</v>
      </c>
      <c r="GV102" t="e">
        <f>AND('Planilla_General_07-12-2012_8_3'!O1533,"AAAAAEc7/Ms=")</f>
        <v>#VALUE!</v>
      </c>
      <c r="GW102" t="e">
        <f>AND('Planilla_General_07-12-2012_8_3'!P1533,"AAAAAEc7/Mw=")</f>
        <v>#VALUE!</v>
      </c>
      <c r="GX102">
        <f>IF('Planilla_General_07-12-2012_8_3'!1534:1534,"AAAAAEc7/M0=",0)</f>
        <v>0</v>
      </c>
      <c r="GY102" t="e">
        <f>AND('Planilla_General_07-12-2012_8_3'!A1534,"AAAAAEc7/M4=")</f>
        <v>#VALUE!</v>
      </c>
      <c r="GZ102" t="e">
        <f>AND('Planilla_General_07-12-2012_8_3'!B1534,"AAAAAEc7/M8=")</f>
        <v>#VALUE!</v>
      </c>
      <c r="HA102" t="e">
        <f>AND('Planilla_General_07-12-2012_8_3'!C1534,"AAAAAEc7/NA=")</f>
        <v>#VALUE!</v>
      </c>
      <c r="HB102" t="e">
        <f>AND('Planilla_General_07-12-2012_8_3'!D1534,"AAAAAEc7/NE=")</f>
        <v>#VALUE!</v>
      </c>
      <c r="HC102" t="e">
        <f>AND('Planilla_General_07-12-2012_8_3'!E1534,"AAAAAEc7/NI=")</f>
        <v>#VALUE!</v>
      </c>
      <c r="HD102" t="e">
        <f>AND('Planilla_General_07-12-2012_8_3'!F1534,"AAAAAEc7/NM=")</f>
        <v>#VALUE!</v>
      </c>
      <c r="HE102" t="e">
        <f>AND('Planilla_General_07-12-2012_8_3'!G1534,"AAAAAEc7/NQ=")</f>
        <v>#VALUE!</v>
      </c>
      <c r="HF102" t="e">
        <f>AND('Planilla_General_07-12-2012_8_3'!H1534,"AAAAAEc7/NU=")</f>
        <v>#VALUE!</v>
      </c>
      <c r="HG102" t="e">
        <f>AND('Planilla_General_07-12-2012_8_3'!I1534,"AAAAAEc7/NY=")</f>
        <v>#VALUE!</v>
      </c>
      <c r="HH102" t="e">
        <f>AND('Planilla_General_07-12-2012_8_3'!J1534,"AAAAAEc7/Nc=")</f>
        <v>#VALUE!</v>
      </c>
      <c r="HI102" t="e">
        <f>AND('Planilla_General_07-12-2012_8_3'!K1534,"AAAAAEc7/Ng=")</f>
        <v>#VALUE!</v>
      </c>
      <c r="HJ102" t="e">
        <f>AND('Planilla_General_07-12-2012_8_3'!L1534,"AAAAAEc7/Nk=")</f>
        <v>#VALUE!</v>
      </c>
      <c r="HK102" t="e">
        <f>AND('Planilla_General_07-12-2012_8_3'!M1534,"AAAAAEc7/No=")</f>
        <v>#VALUE!</v>
      </c>
      <c r="HL102" t="e">
        <f>AND('Planilla_General_07-12-2012_8_3'!N1534,"AAAAAEc7/Ns=")</f>
        <v>#VALUE!</v>
      </c>
      <c r="HM102" t="e">
        <f>AND('Planilla_General_07-12-2012_8_3'!O1534,"AAAAAEc7/Nw=")</f>
        <v>#VALUE!</v>
      </c>
      <c r="HN102" t="e">
        <f>AND('Planilla_General_07-12-2012_8_3'!P1534,"AAAAAEc7/N0=")</f>
        <v>#VALUE!</v>
      </c>
      <c r="HO102">
        <f>IF('Planilla_General_07-12-2012_8_3'!1535:1535,"AAAAAEc7/N4=",0)</f>
        <v>0</v>
      </c>
      <c r="HP102" t="e">
        <f>AND('Planilla_General_07-12-2012_8_3'!A1535,"AAAAAEc7/N8=")</f>
        <v>#VALUE!</v>
      </c>
      <c r="HQ102" t="e">
        <f>AND('Planilla_General_07-12-2012_8_3'!B1535,"AAAAAEc7/OA=")</f>
        <v>#VALUE!</v>
      </c>
      <c r="HR102" t="e">
        <f>AND('Planilla_General_07-12-2012_8_3'!C1535,"AAAAAEc7/OE=")</f>
        <v>#VALUE!</v>
      </c>
      <c r="HS102" t="e">
        <f>AND('Planilla_General_07-12-2012_8_3'!D1535,"AAAAAEc7/OI=")</f>
        <v>#VALUE!</v>
      </c>
      <c r="HT102" t="e">
        <f>AND('Planilla_General_07-12-2012_8_3'!E1535,"AAAAAEc7/OM=")</f>
        <v>#VALUE!</v>
      </c>
      <c r="HU102" t="e">
        <f>AND('Planilla_General_07-12-2012_8_3'!F1535,"AAAAAEc7/OQ=")</f>
        <v>#VALUE!</v>
      </c>
      <c r="HV102" t="e">
        <f>AND('Planilla_General_07-12-2012_8_3'!G1535,"AAAAAEc7/OU=")</f>
        <v>#VALUE!</v>
      </c>
      <c r="HW102" t="e">
        <f>AND('Planilla_General_07-12-2012_8_3'!H1535,"AAAAAEc7/OY=")</f>
        <v>#VALUE!</v>
      </c>
      <c r="HX102" t="e">
        <f>AND('Planilla_General_07-12-2012_8_3'!I1535,"AAAAAEc7/Oc=")</f>
        <v>#VALUE!</v>
      </c>
      <c r="HY102" t="e">
        <f>AND('Planilla_General_07-12-2012_8_3'!J1535,"AAAAAEc7/Og=")</f>
        <v>#VALUE!</v>
      </c>
      <c r="HZ102" t="e">
        <f>AND('Planilla_General_07-12-2012_8_3'!K1535,"AAAAAEc7/Ok=")</f>
        <v>#VALUE!</v>
      </c>
      <c r="IA102" t="e">
        <f>AND('Planilla_General_07-12-2012_8_3'!L1535,"AAAAAEc7/Oo=")</f>
        <v>#VALUE!</v>
      </c>
      <c r="IB102" t="e">
        <f>AND('Planilla_General_07-12-2012_8_3'!M1535,"AAAAAEc7/Os=")</f>
        <v>#VALUE!</v>
      </c>
      <c r="IC102" t="e">
        <f>AND('Planilla_General_07-12-2012_8_3'!N1535,"AAAAAEc7/Ow=")</f>
        <v>#VALUE!</v>
      </c>
      <c r="ID102" t="e">
        <f>AND('Planilla_General_07-12-2012_8_3'!O1535,"AAAAAEc7/O0=")</f>
        <v>#VALUE!</v>
      </c>
      <c r="IE102" t="e">
        <f>AND('Planilla_General_07-12-2012_8_3'!P1535,"AAAAAEc7/O4=")</f>
        <v>#VALUE!</v>
      </c>
      <c r="IF102">
        <f>IF('Planilla_General_07-12-2012_8_3'!1536:1536,"AAAAAEc7/O8=",0)</f>
        <v>0</v>
      </c>
      <c r="IG102" t="e">
        <f>AND('Planilla_General_07-12-2012_8_3'!A1536,"AAAAAEc7/PA=")</f>
        <v>#VALUE!</v>
      </c>
      <c r="IH102" t="e">
        <f>AND('Planilla_General_07-12-2012_8_3'!B1536,"AAAAAEc7/PE=")</f>
        <v>#VALUE!</v>
      </c>
      <c r="II102" t="e">
        <f>AND('Planilla_General_07-12-2012_8_3'!C1536,"AAAAAEc7/PI=")</f>
        <v>#VALUE!</v>
      </c>
      <c r="IJ102" t="e">
        <f>AND('Planilla_General_07-12-2012_8_3'!D1536,"AAAAAEc7/PM=")</f>
        <v>#VALUE!</v>
      </c>
      <c r="IK102" t="e">
        <f>AND('Planilla_General_07-12-2012_8_3'!E1536,"AAAAAEc7/PQ=")</f>
        <v>#VALUE!</v>
      </c>
      <c r="IL102" t="e">
        <f>AND('Planilla_General_07-12-2012_8_3'!F1536,"AAAAAEc7/PU=")</f>
        <v>#VALUE!</v>
      </c>
      <c r="IM102" t="e">
        <f>AND('Planilla_General_07-12-2012_8_3'!G1536,"AAAAAEc7/PY=")</f>
        <v>#VALUE!</v>
      </c>
      <c r="IN102" t="e">
        <f>AND('Planilla_General_07-12-2012_8_3'!H1536,"AAAAAEc7/Pc=")</f>
        <v>#VALUE!</v>
      </c>
      <c r="IO102" t="e">
        <f>AND('Planilla_General_07-12-2012_8_3'!I1536,"AAAAAEc7/Pg=")</f>
        <v>#VALUE!</v>
      </c>
      <c r="IP102" t="e">
        <f>AND('Planilla_General_07-12-2012_8_3'!J1536,"AAAAAEc7/Pk=")</f>
        <v>#VALUE!</v>
      </c>
      <c r="IQ102" t="e">
        <f>AND('Planilla_General_07-12-2012_8_3'!K1536,"AAAAAEc7/Po=")</f>
        <v>#VALUE!</v>
      </c>
      <c r="IR102" t="e">
        <f>AND('Planilla_General_07-12-2012_8_3'!L1536,"AAAAAEc7/Ps=")</f>
        <v>#VALUE!</v>
      </c>
      <c r="IS102" t="e">
        <f>AND('Planilla_General_07-12-2012_8_3'!M1536,"AAAAAEc7/Pw=")</f>
        <v>#VALUE!</v>
      </c>
      <c r="IT102" t="e">
        <f>AND('Planilla_General_07-12-2012_8_3'!N1536,"AAAAAEc7/P0=")</f>
        <v>#VALUE!</v>
      </c>
      <c r="IU102" t="e">
        <f>AND('Planilla_General_07-12-2012_8_3'!O1536,"AAAAAEc7/P4=")</f>
        <v>#VALUE!</v>
      </c>
      <c r="IV102" t="e">
        <f>AND('Planilla_General_07-12-2012_8_3'!P1536,"AAAAAEc7/P8=")</f>
        <v>#VALUE!</v>
      </c>
    </row>
    <row r="103" spans="1:256" x14ac:dyDescent="0.25">
      <c r="A103" t="e">
        <f>IF('Planilla_General_07-12-2012_8_3'!1537:1537,"AAAAAF3X0QA=",0)</f>
        <v>#VALUE!</v>
      </c>
      <c r="B103" t="e">
        <f>AND('Planilla_General_07-12-2012_8_3'!A1537,"AAAAAF3X0QE=")</f>
        <v>#VALUE!</v>
      </c>
      <c r="C103" t="e">
        <f>AND('Planilla_General_07-12-2012_8_3'!B1537,"AAAAAF3X0QI=")</f>
        <v>#VALUE!</v>
      </c>
      <c r="D103" t="e">
        <f>AND('Planilla_General_07-12-2012_8_3'!C1537,"AAAAAF3X0QM=")</f>
        <v>#VALUE!</v>
      </c>
      <c r="E103" t="e">
        <f>AND('Planilla_General_07-12-2012_8_3'!D1537,"AAAAAF3X0QQ=")</f>
        <v>#VALUE!</v>
      </c>
      <c r="F103" t="e">
        <f>AND('Planilla_General_07-12-2012_8_3'!E1537,"AAAAAF3X0QU=")</f>
        <v>#VALUE!</v>
      </c>
      <c r="G103" t="e">
        <f>AND('Planilla_General_07-12-2012_8_3'!F1537,"AAAAAF3X0QY=")</f>
        <v>#VALUE!</v>
      </c>
      <c r="H103" t="e">
        <f>AND('Planilla_General_07-12-2012_8_3'!G1537,"AAAAAF3X0Qc=")</f>
        <v>#VALUE!</v>
      </c>
      <c r="I103" t="e">
        <f>AND('Planilla_General_07-12-2012_8_3'!H1537,"AAAAAF3X0Qg=")</f>
        <v>#VALUE!</v>
      </c>
      <c r="J103" t="e">
        <f>AND('Planilla_General_07-12-2012_8_3'!I1537,"AAAAAF3X0Qk=")</f>
        <v>#VALUE!</v>
      </c>
      <c r="K103" t="e">
        <f>AND('Planilla_General_07-12-2012_8_3'!J1537,"AAAAAF3X0Qo=")</f>
        <v>#VALUE!</v>
      </c>
      <c r="L103" t="e">
        <f>AND('Planilla_General_07-12-2012_8_3'!K1537,"AAAAAF3X0Qs=")</f>
        <v>#VALUE!</v>
      </c>
      <c r="M103" t="e">
        <f>AND('Planilla_General_07-12-2012_8_3'!L1537,"AAAAAF3X0Qw=")</f>
        <v>#VALUE!</v>
      </c>
      <c r="N103" t="e">
        <f>AND('Planilla_General_07-12-2012_8_3'!M1537,"AAAAAF3X0Q0=")</f>
        <v>#VALUE!</v>
      </c>
      <c r="O103" t="e">
        <f>AND('Planilla_General_07-12-2012_8_3'!N1537,"AAAAAF3X0Q4=")</f>
        <v>#VALUE!</v>
      </c>
      <c r="P103" t="e">
        <f>AND('Planilla_General_07-12-2012_8_3'!O1537,"AAAAAF3X0Q8=")</f>
        <v>#VALUE!</v>
      </c>
      <c r="Q103" t="e">
        <f>AND('Planilla_General_07-12-2012_8_3'!P1537,"AAAAAF3X0RA=")</f>
        <v>#VALUE!</v>
      </c>
      <c r="R103">
        <f>IF('Planilla_General_07-12-2012_8_3'!1538:1538,"AAAAAF3X0RE=",0)</f>
        <v>0</v>
      </c>
      <c r="S103" t="e">
        <f>AND('Planilla_General_07-12-2012_8_3'!A1538,"AAAAAF3X0RI=")</f>
        <v>#VALUE!</v>
      </c>
      <c r="T103" t="e">
        <f>AND('Planilla_General_07-12-2012_8_3'!B1538,"AAAAAF3X0RM=")</f>
        <v>#VALUE!</v>
      </c>
      <c r="U103" t="e">
        <f>AND('Planilla_General_07-12-2012_8_3'!C1538,"AAAAAF3X0RQ=")</f>
        <v>#VALUE!</v>
      </c>
      <c r="V103" t="e">
        <f>AND('Planilla_General_07-12-2012_8_3'!D1538,"AAAAAF3X0RU=")</f>
        <v>#VALUE!</v>
      </c>
      <c r="W103" t="e">
        <f>AND('Planilla_General_07-12-2012_8_3'!E1538,"AAAAAF3X0RY=")</f>
        <v>#VALUE!</v>
      </c>
      <c r="X103" t="e">
        <f>AND('Planilla_General_07-12-2012_8_3'!F1538,"AAAAAF3X0Rc=")</f>
        <v>#VALUE!</v>
      </c>
      <c r="Y103" t="e">
        <f>AND('Planilla_General_07-12-2012_8_3'!G1538,"AAAAAF3X0Rg=")</f>
        <v>#VALUE!</v>
      </c>
      <c r="Z103" t="e">
        <f>AND('Planilla_General_07-12-2012_8_3'!H1538,"AAAAAF3X0Rk=")</f>
        <v>#VALUE!</v>
      </c>
      <c r="AA103" t="e">
        <f>AND('Planilla_General_07-12-2012_8_3'!I1538,"AAAAAF3X0Ro=")</f>
        <v>#VALUE!</v>
      </c>
      <c r="AB103" t="e">
        <f>AND('Planilla_General_07-12-2012_8_3'!J1538,"AAAAAF3X0Rs=")</f>
        <v>#VALUE!</v>
      </c>
      <c r="AC103" t="e">
        <f>AND('Planilla_General_07-12-2012_8_3'!K1538,"AAAAAF3X0Rw=")</f>
        <v>#VALUE!</v>
      </c>
      <c r="AD103" t="e">
        <f>AND('Planilla_General_07-12-2012_8_3'!L1538,"AAAAAF3X0R0=")</f>
        <v>#VALUE!</v>
      </c>
      <c r="AE103" t="e">
        <f>AND('Planilla_General_07-12-2012_8_3'!M1538,"AAAAAF3X0R4=")</f>
        <v>#VALUE!</v>
      </c>
      <c r="AF103" t="e">
        <f>AND('Planilla_General_07-12-2012_8_3'!N1538,"AAAAAF3X0R8=")</f>
        <v>#VALUE!</v>
      </c>
      <c r="AG103" t="e">
        <f>AND('Planilla_General_07-12-2012_8_3'!O1538,"AAAAAF3X0SA=")</f>
        <v>#VALUE!</v>
      </c>
      <c r="AH103" t="e">
        <f>AND('Planilla_General_07-12-2012_8_3'!P1538,"AAAAAF3X0SE=")</f>
        <v>#VALUE!</v>
      </c>
      <c r="AI103">
        <f>IF('Planilla_General_07-12-2012_8_3'!1539:1539,"AAAAAF3X0SI=",0)</f>
        <v>0</v>
      </c>
      <c r="AJ103" t="e">
        <f>AND('Planilla_General_07-12-2012_8_3'!A1539,"AAAAAF3X0SM=")</f>
        <v>#VALUE!</v>
      </c>
      <c r="AK103" t="e">
        <f>AND('Planilla_General_07-12-2012_8_3'!B1539,"AAAAAF3X0SQ=")</f>
        <v>#VALUE!</v>
      </c>
      <c r="AL103" t="e">
        <f>AND('Planilla_General_07-12-2012_8_3'!C1539,"AAAAAF3X0SU=")</f>
        <v>#VALUE!</v>
      </c>
      <c r="AM103" t="e">
        <f>AND('Planilla_General_07-12-2012_8_3'!D1539,"AAAAAF3X0SY=")</f>
        <v>#VALUE!</v>
      </c>
      <c r="AN103" t="e">
        <f>AND('Planilla_General_07-12-2012_8_3'!E1539,"AAAAAF3X0Sc=")</f>
        <v>#VALUE!</v>
      </c>
      <c r="AO103" t="e">
        <f>AND('Planilla_General_07-12-2012_8_3'!F1539,"AAAAAF3X0Sg=")</f>
        <v>#VALUE!</v>
      </c>
      <c r="AP103" t="e">
        <f>AND('Planilla_General_07-12-2012_8_3'!G1539,"AAAAAF3X0Sk=")</f>
        <v>#VALUE!</v>
      </c>
      <c r="AQ103" t="e">
        <f>AND('Planilla_General_07-12-2012_8_3'!H1539,"AAAAAF3X0So=")</f>
        <v>#VALUE!</v>
      </c>
      <c r="AR103" t="e">
        <f>AND('Planilla_General_07-12-2012_8_3'!I1539,"AAAAAF3X0Ss=")</f>
        <v>#VALUE!</v>
      </c>
      <c r="AS103" t="e">
        <f>AND('Planilla_General_07-12-2012_8_3'!J1539,"AAAAAF3X0Sw=")</f>
        <v>#VALUE!</v>
      </c>
      <c r="AT103" t="e">
        <f>AND('Planilla_General_07-12-2012_8_3'!K1539,"AAAAAF3X0S0=")</f>
        <v>#VALUE!</v>
      </c>
      <c r="AU103" t="e">
        <f>AND('Planilla_General_07-12-2012_8_3'!L1539,"AAAAAF3X0S4=")</f>
        <v>#VALUE!</v>
      </c>
      <c r="AV103" t="e">
        <f>AND('Planilla_General_07-12-2012_8_3'!M1539,"AAAAAF3X0S8=")</f>
        <v>#VALUE!</v>
      </c>
      <c r="AW103" t="e">
        <f>AND('Planilla_General_07-12-2012_8_3'!N1539,"AAAAAF3X0TA=")</f>
        <v>#VALUE!</v>
      </c>
      <c r="AX103" t="e">
        <f>AND('Planilla_General_07-12-2012_8_3'!O1539,"AAAAAF3X0TE=")</f>
        <v>#VALUE!</v>
      </c>
      <c r="AY103" t="e">
        <f>AND('Planilla_General_07-12-2012_8_3'!P1539,"AAAAAF3X0TI=")</f>
        <v>#VALUE!</v>
      </c>
      <c r="AZ103">
        <f>IF('Planilla_General_07-12-2012_8_3'!1540:1540,"AAAAAF3X0TM=",0)</f>
        <v>0</v>
      </c>
      <c r="BA103" t="e">
        <f>AND('Planilla_General_07-12-2012_8_3'!A1540,"AAAAAF3X0TQ=")</f>
        <v>#VALUE!</v>
      </c>
      <c r="BB103" t="e">
        <f>AND('Planilla_General_07-12-2012_8_3'!B1540,"AAAAAF3X0TU=")</f>
        <v>#VALUE!</v>
      </c>
      <c r="BC103" t="e">
        <f>AND('Planilla_General_07-12-2012_8_3'!C1540,"AAAAAF3X0TY=")</f>
        <v>#VALUE!</v>
      </c>
      <c r="BD103" t="e">
        <f>AND('Planilla_General_07-12-2012_8_3'!D1540,"AAAAAF3X0Tc=")</f>
        <v>#VALUE!</v>
      </c>
      <c r="BE103" t="e">
        <f>AND('Planilla_General_07-12-2012_8_3'!E1540,"AAAAAF3X0Tg=")</f>
        <v>#VALUE!</v>
      </c>
      <c r="BF103" t="e">
        <f>AND('Planilla_General_07-12-2012_8_3'!F1540,"AAAAAF3X0Tk=")</f>
        <v>#VALUE!</v>
      </c>
      <c r="BG103" t="e">
        <f>AND('Planilla_General_07-12-2012_8_3'!G1540,"AAAAAF3X0To=")</f>
        <v>#VALUE!</v>
      </c>
      <c r="BH103" t="e">
        <f>AND('Planilla_General_07-12-2012_8_3'!H1540,"AAAAAF3X0Ts=")</f>
        <v>#VALUE!</v>
      </c>
      <c r="BI103" t="e">
        <f>AND('Planilla_General_07-12-2012_8_3'!I1540,"AAAAAF3X0Tw=")</f>
        <v>#VALUE!</v>
      </c>
      <c r="BJ103" t="e">
        <f>AND('Planilla_General_07-12-2012_8_3'!J1540,"AAAAAF3X0T0=")</f>
        <v>#VALUE!</v>
      </c>
      <c r="BK103" t="e">
        <f>AND('Planilla_General_07-12-2012_8_3'!K1540,"AAAAAF3X0T4=")</f>
        <v>#VALUE!</v>
      </c>
      <c r="BL103" t="e">
        <f>AND('Planilla_General_07-12-2012_8_3'!L1540,"AAAAAF3X0T8=")</f>
        <v>#VALUE!</v>
      </c>
      <c r="BM103" t="e">
        <f>AND('Planilla_General_07-12-2012_8_3'!M1540,"AAAAAF3X0UA=")</f>
        <v>#VALUE!</v>
      </c>
      <c r="BN103" t="e">
        <f>AND('Planilla_General_07-12-2012_8_3'!N1540,"AAAAAF3X0UE=")</f>
        <v>#VALUE!</v>
      </c>
      <c r="BO103" t="e">
        <f>AND('Planilla_General_07-12-2012_8_3'!O1540,"AAAAAF3X0UI=")</f>
        <v>#VALUE!</v>
      </c>
      <c r="BP103" t="e">
        <f>AND('Planilla_General_07-12-2012_8_3'!P1540,"AAAAAF3X0UM=")</f>
        <v>#VALUE!</v>
      </c>
      <c r="BQ103">
        <f>IF('Planilla_General_07-12-2012_8_3'!1541:1541,"AAAAAF3X0UQ=",0)</f>
        <v>0</v>
      </c>
      <c r="BR103" t="e">
        <f>AND('Planilla_General_07-12-2012_8_3'!A1541,"AAAAAF3X0UU=")</f>
        <v>#VALUE!</v>
      </c>
      <c r="BS103" t="e">
        <f>AND('Planilla_General_07-12-2012_8_3'!B1541,"AAAAAF3X0UY=")</f>
        <v>#VALUE!</v>
      </c>
      <c r="BT103" t="e">
        <f>AND('Planilla_General_07-12-2012_8_3'!C1541,"AAAAAF3X0Uc=")</f>
        <v>#VALUE!</v>
      </c>
      <c r="BU103" t="e">
        <f>AND('Planilla_General_07-12-2012_8_3'!D1541,"AAAAAF3X0Ug=")</f>
        <v>#VALUE!</v>
      </c>
      <c r="BV103" t="e">
        <f>AND('Planilla_General_07-12-2012_8_3'!E1541,"AAAAAF3X0Uk=")</f>
        <v>#VALUE!</v>
      </c>
      <c r="BW103" t="e">
        <f>AND('Planilla_General_07-12-2012_8_3'!F1541,"AAAAAF3X0Uo=")</f>
        <v>#VALUE!</v>
      </c>
      <c r="BX103" t="e">
        <f>AND('Planilla_General_07-12-2012_8_3'!G1541,"AAAAAF3X0Us=")</f>
        <v>#VALUE!</v>
      </c>
      <c r="BY103" t="e">
        <f>AND('Planilla_General_07-12-2012_8_3'!H1541,"AAAAAF3X0Uw=")</f>
        <v>#VALUE!</v>
      </c>
      <c r="BZ103" t="e">
        <f>AND('Planilla_General_07-12-2012_8_3'!I1541,"AAAAAF3X0U0=")</f>
        <v>#VALUE!</v>
      </c>
      <c r="CA103" t="e">
        <f>AND('Planilla_General_07-12-2012_8_3'!J1541,"AAAAAF3X0U4=")</f>
        <v>#VALUE!</v>
      </c>
      <c r="CB103" t="e">
        <f>AND('Planilla_General_07-12-2012_8_3'!K1541,"AAAAAF3X0U8=")</f>
        <v>#VALUE!</v>
      </c>
      <c r="CC103" t="e">
        <f>AND('Planilla_General_07-12-2012_8_3'!L1541,"AAAAAF3X0VA=")</f>
        <v>#VALUE!</v>
      </c>
      <c r="CD103" t="e">
        <f>AND('Planilla_General_07-12-2012_8_3'!M1541,"AAAAAF3X0VE=")</f>
        <v>#VALUE!</v>
      </c>
      <c r="CE103" t="e">
        <f>AND('Planilla_General_07-12-2012_8_3'!N1541,"AAAAAF3X0VI=")</f>
        <v>#VALUE!</v>
      </c>
      <c r="CF103" t="e">
        <f>AND('Planilla_General_07-12-2012_8_3'!O1541,"AAAAAF3X0VM=")</f>
        <v>#VALUE!</v>
      </c>
      <c r="CG103" t="e">
        <f>AND('Planilla_General_07-12-2012_8_3'!P1541,"AAAAAF3X0VQ=")</f>
        <v>#VALUE!</v>
      </c>
      <c r="CH103">
        <f>IF('Planilla_General_07-12-2012_8_3'!1542:1542,"AAAAAF3X0VU=",0)</f>
        <v>0</v>
      </c>
      <c r="CI103" t="e">
        <f>AND('Planilla_General_07-12-2012_8_3'!A1542,"AAAAAF3X0VY=")</f>
        <v>#VALUE!</v>
      </c>
      <c r="CJ103" t="e">
        <f>AND('Planilla_General_07-12-2012_8_3'!B1542,"AAAAAF3X0Vc=")</f>
        <v>#VALUE!</v>
      </c>
      <c r="CK103" t="e">
        <f>AND('Planilla_General_07-12-2012_8_3'!C1542,"AAAAAF3X0Vg=")</f>
        <v>#VALUE!</v>
      </c>
      <c r="CL103" t="e">
        <f>AND('Planilla_General_07-12-2012_8_3'!D1542,"AAAAAF3X0Vk=")</f>
        <v>#VALUE!</v>
      </c>
      <c r="CM103" t="e">
        <f>AND('Planilla_General_07-12-2012_8_3'!E1542,"AAAAAF3X0Vo=")</f>
        <v>#VALUE!</v>
      </c>
      <c r="CN103" t="e">
        <f>AND('Planilla_General_07-12-2012_8_3'!F1542,"AAAAAF3X0Vs=")</f>
        <v>#VALUE!</v>
      </c>
      <c r="CO103" t="e">
        <f>AND('Planilla_General_07-12-2012_8_3'!G1542,"AAAAAF3X0Vw=")</f>
        <v>#VALUE!</v>
      </c>
      <c r="CP103" t="e">
        <f>AND('Planilla_General_07-12-2012_8_3'!H1542,"AAAAAF3X0V0=")</f>
        <v>#VALUE!</v>
      </c>
      <c r="CQ103" t="e">
        <f>AND('Planilla_General_07-12-2012_8_3'!I1542,"AAAAAF3X0V4=")</f>
        <v>#VALUE!</v>
      </c>
      <c r="CR103" t="e">
        <f>AND('Planilla_General_07-12-2012_8_3'!J1542,"AAAAAF3X0V8=")</f>
        <v>#VALUE!</v>
      </c>
      <c r="CS103" t="e">
        <f>AND('Planilla_General_07-12-2012_8_3'!K1542,"AAAAAF3X0WA=")</f>
        <v>#VALUE!</v>
      </c>
      <c r="CT103" t="e">
        <f>AND('Planilla_General_07-12-2012_8_3'!L1542,"AAAAAF3X0WE=")</f>
        <v>#VALUE!</v>
      </c>
      <c r="CU103" t="e">
        <f>AND('Planilla_General_07-12-2012_8_3'!M1542,"AAAAAF3X0WI=")</f>
        <v>#VALUE!</v>
      </c>
      <c r="CV103" t="e">
        <f>AND('Planilla_General_07-12-2012_8_3'!N1542,"AAAAAF3X0WM=")</f>
        <v>#VALUE!</v>
      </c>
      <c r="CW103" t="e">
        <f>AND('Planilla_General_07-12-2012_8_3'!O1542,"AAAAAF3X0WQ=")</f>
        <v>#VALUE!</v>
      </c>
      <c r="CX103" t="e">
        <f>AND('Planilla_General_07-12-2012_8_3'!P1542,"AAAAAF3X0WU=")</f>
        <v>#VALUE!</v>
      </c>
      <c r="CY103">
        <f>IF('Planilla_General_07-12-2012_8_3'!1543:1543,"AAAAAF3X0WY=",0)</f>
        <v>0</v>
      </c>
      <c r="CZ103" t="e">
        <f>AND('Planilla_General_07-12-2012_8_3'!A1543,"AAAAAF3X0Wc=")</f>
        <v>#VALUE!</v>
      </c>
      <c r="DA103" t="e">
        <f>AND('Planilla_General_07-12-2012_8_3'!B1543,"AAAAAF3X0Wg=")</f>
        <v>#VALUE!</v>
      </c>
      <c r="DB103" t="e">
        <f>AND('Planilla_General_07-12-2012_8_3'!C1543,"AAAAAF3X0Wk=")</f>
        <v>#VALUE!</v>
      </c>
      <c r="DC103" t="e">
        <f>AND('Planilla_General_07-12-2012_8_3'!D1543,"AAAAAF3X0Wo=")</f>
        <v>#VALUE!</v>
      </c>
      <c r="DD103" t="e">
        <f>AND('Planilla_General_07-12-2012_8_3'!E1543,"AAAAAF3X0Ws=")</f>
        <v>#VALUE!</v>
      </c>
      <c r="DE103" t="e">
        <f>AND('Planilla_General_07-12-2012_8_3'!F1543,"AAAAAF3X0Ww=")</f>
        <v>#VALUE!</v>
      </c>
      <c r="DF103" t="e">
        <f>AND('Planilla_General_07-12-2012_8_3'!G1543,"AAAAAF3X0W0=")</f>
        <v>#VALUE!</v>
      </c>
      <c r="DG103" t="e">
        <f>AND('Planilla_General_07-12-2012_8_3'!H1543,"AAAAAF3X0W4=")</f>
        <v>#VALUE!</v>
      </c>
      <c r="DH103" t="e">
        <f>AND('Planilla_General_07-12-2012_8_3'!I1543,"AAAAAF3X0W8=")</f>
        <v>#VALUE!</v>
      </c>
      <c r="DI103" t="e">
        <f>AND('Planilla_General_07-12-2012_8_3'!J1543,"AAAAAF3X0XA=")</f>
        <v>#VALUE!</v>
      </c>
      <c r="DJ103" t="e">
        <f>AND('Planilla_General_07-12-2012_8_3'!K1543,"AAAAAF3X0XE=")</f>
        <v>#VALUE!</v>
      </c>
      <c r="DK103" t="e">
        <f>AND('Planilla_General_07-12-2012_8_3'!L1543,"AAAAAF3X0XI=")</f>
        <v>#VALUE!</v>
      </c>
      <c r="DL103" t="e">
        <f>AND('Planilla_General_07-12-2012_8_3'!M1543,"AAAAAF3X0XM=")</f>
        <v>#VALUE!</v>
      </c>
      <c r="DM103" t="e">
        <f>AND('Planilla_General_07-12-2012_8_3'!N1543,"AAAAAF3X0XQ=")</f>
        <v>#VALUE!</v>
      </c>
      <c r="DN103" t="e">
        <f>AND('Planilla_General_07-12-2012_8_3'!O1543,"AAAAAF3X0XU=")</f>
        <v>#VALUE!</v>
      </c>
      <c r="DO103" t="e">
        <f>AND('Planilla_General_07-12-2012_8_3'!P1543,"AAAAAF3X0XY=")</f>
        <v>#VALUE!</v>
      </c>
      <c r="DP103">
        <f>IF('Planilla_General_07-12-2012_8_3'!1544:1544,"AAAAAF3X0Xc=",0)</f>
        <v>0</v>
      </c>
      <c r="DQ103" t="e">
        <f>AND('Planilla_General_07-12-2012_8_3'!A1544,"AAAAAF3X0Xg=")</f>
        <v>#VALUE!</v>
      </c>
      <c r="DR103" t="e">
        <f>AND('Planilla_General_07-12-2012_8_3'!B1544,"AAAAAF3X0Xk=")</f>
        <v>#VALUE!</v>
      </c>
      <c r="DS103" t="e">
        <f>AND('Planilla_General_07-12-2012_8_3'!C1544,"AAAAAF3X0Xo=")</f>
        <v>#VALUE!</v>
      </c>
      <c r="DT103" t="e">
        <f>AND('Planilla_General_07-12-2012_8_3'!D1544,"AAAAAF3X0Xs=")</f>
        <v>#VALUE!</v>
      </c>
      <c r="DU103" t="e">
        <f>AND('Planilla_General_07-12-2012_8_3'!E1544,"AAAAAF3X0Xw=")</f>
        <v>#VALUE!</v>
      </c>
      <c r="DV103" t="e">
        <f>AND('Planilla_General_07-12-2012_8_3'!F1544,"AAAAAF3X0X0=")</f>
        <v>#VALUE!</v>
      </c>
      <c r="DW103" t="e">
        <f>AND('Planilla_General_07-12-2012_8_3'!G1544,"AAAAAF3X0X4=")</f>
        <v>#VALUE!</v>
      </c>
      <c r="DX103" t="e">
        <f>AND('Planilla_General_07-12-2012_8_3'!H1544,"AAAAAF3X0X8=")</f>
        <v>#VALUE!</v>
      </c>
      <c r="DY103" t="e">
        <f>AND('Planilla_General_07-12-2012_8_3'!I1544,"AAAAAF3X0YA=")</f>
        <v>#VALUE!</v>
      </c>
      <c r="DZ103" t="e">
        <f>AND('Planilla_General_07-12-2012_8_3'!J1544,"AAAAAF3X0YE=")</f>
        <v>#VALUE!</v>
      </c>
      <c r="EA103" t="e">
        <f>AND('Planilla_General_07-12-2012_8_3'!K1544,"AAAAAF3X0YI=")</f>
        <v>#VALUE!</v>
      </c>
      <c r="EB103" t="e">
        <f>AND('Planilla_General_07-12-2012_8_3'!L1544,"AAAAAF3X0YM=")</f>
        <v>#VALUE!</v>
      </c>
      <c r="EC103" t="e">
        <f>AND('Planilla_General_07-12-2012_8_3'!M1544,"AAAAAF3X0YQ=")</f>
        <v>#VALUE!</v>
      </c>
      <c r="ED103" t="e">
        <f>AND('Planilla_General_07-12-2012_8_3'!N1544,"AAAAAF3X0YU=")</f>
        <v>#VALUE!</v>
      </c>
      <c r="EE103" t="e">
        <f>AND('Planilla_General_07-12-2012_8_3'!O1544,"AAAAAF3X0YY=")</f>
        <v>#VALUE!</v>
      </c>
      <c r="EF103" t="e">
        <f>AND('Planilla_General_07-12-2012_8_3'!P1544,"AAAAAF3X0Yc=")</f>
        <v>#VALUE!</v>
      </c>
      <c r="EG103">
        <f>IF('Planilla_General_07-12-2012_8_3'!1545:1545,"AAAAAF3X0Yg=",0)</f>
        <v>0</v>
      </c>
      <c r="EH103" t="e">
        <f>AND('Planilla_General_07-12-2012_8_3'!A1545,"AAAAAF3X0Yk=")</f>
        <v>#VALUE!</v>
      </c>
      <c r="EI103" t="e">
        <f>AND('Planilla_General_07-12-2012_8_3'!B1545,"AAAAAF3X0Yo=")</f>
        <v>#VALUE!</v>
      </c>
      <c r="EJ103" t="e">
        <f>AND('Planilla_General_07-12-2012_8_3'!C1545,"AAAAAF3X0Ys=")</f>
        <v>#VALUE!</v>
      </c>
      <c r="EK103" t="e">
        <f>AND('Planilla_General_07-12-2012_8_3'!D1545,"AAAAAF3X0Yw=")</f>
        <v>#VALUE!</v>
      </c>
      <c r="EL103" t="e">
        <f>AND('Planilla_General_07-12-2012_8_3'!E1545,"AAAAAF3X0Y0=")</f>
        <v>#VALUE!</v>
      </c>
      <c r="EM103" t="e">
        <f>AND('Planilla_General_07-12-2012_8_3'!F1545,"AAAAAF3X0Y4=")</f>
        <v>#VALUE!</v>
      </c>
      <c r="EN103" t="e">
        <f>AND('Planilla_General_07-12-2012_8_3'!G1545,"AAAAAF3X0Y8=")</f>
        <v>#VALUE!</v>
      </c>
      <c r="EO103" t="e">
        <f>AND('Planilla_General_07-12-2012_8_3'!H1545,"AAAAAF3X0ZA=")</f>
        <v>#VALUE!</v>
      </c>
      <c r="EP103" t="e">
        <f>AND('Planilla_General_07-12-2012_8_3'!I1545,"AAAAAF3X0ZE=")</f>
        <v>#VALUE!</v>
      </c>
      <c r="EQ103" t="e">
        <f>AND('Planilla_General_07-12-2012_8_3'!J1545,"AAAAAF3X0ZI=")</f>
        <v>#VALUE!</v>
      </c>
      <c r="ER103" t="e">
        <f>AND('Planilla_General_07-12-2012_8_3'!K1545,"AAAAAF3X0ZM=")</f>
        <v>#VALUE!</v>
      </c>
      <c r="ES103" t="e">
        <f>AND('Planilla_General_07-12-2012_8_3'!L1545,"AAAAAF3X0ZQ=")</f>
        <v>#VALUE!</v>
      </c>
      <c r="ET103" t="e">
        <f>AND('Planilla_General_07-12-2012_8_3'!M1545,"AAAAAF3X0ZU=")</f>
        <v>#VALUE!</v>
      </c>
      <c r="EU103" t="e">
        <f>AND('Planilla_General_07-12-2012_8_3'!N1545,"AAAAAF3X0ZY=")</f>
        <v>#VALUE!</v>
      </c>
      <c r="EV103" t="e">
        <f>AND('Planilla_General_07-12-2012_8_3'!O1545,"AAAAAF3X0Zc=")</f>
        <v>#VALUE!</v>
      </c>
      <c r="EW103" t="e">
        <f>AND('Planilla_General_07-12-2012_8_3'!P1545,"AAAAAF3X0Zg=")</f>
        <v>#VALUE!</v>
      </c>
      <c r="EX103">
        <f>IF('Planilla_General_07-12-2012_8_3'!1546:1546,"AAAAAF3X0Zk=",0)</f>
        <v>0</v>
      </c>
      <c r="EY103" t="e">
        <f>AND('Planilla_General_07-12-2012_8_3'!A1546,"AAAAAF3X0Zo=")</f>
        <v>#VALUE!</v>
      </c>
      <c r="EZ103" t="e">
        <f>AND('Planilla_General_07-12-2012_8_3'!B1546,"AAAAAF3X0Zs=")</f>
        <v>#VALUE!</v>
      </c>
      <c r="FA103" t="e">
        <f>AND('Planilla_General_07-12-2012_8_3'!C1546,"AAAAAF3X0Zw=")</f>
        <v>#VALUE!</v>
      </c>
      <c r="FB103" t="e">
        <f>AND('Planilla_General_07-12-2012_8_3'!D1546,"AAAAAF3X0Z0=")</f>
        <v>#VALUE!</v>
      </c>
      <c r="FC103" t="e">
        <f>AND('Planilla_General_07-12-2012_8_3'!E1546,"AAAAAF3X0Z4=")</f>
        <v>#VALUE!</v>
      </c>
      <c r="FD103" t="e">
        <f>AND('Planilla_General_07-12-2012_8_3'!F1546,"AAAAAF3X0Z8=")</f>
        <v>#VALUE!</v>
      </c>
      <c r="FE103" t="e">
        <f>AND('Planilla_General_07-12-2012_8_3'!G1546,"AAAAAF3X0aA=")</f>
        <v>#VALUE!</v>
      </c>
      <c r="FF103" t="e">
        <f>AND('Planilla_General_07-12-2012_8_3'!H1546,"AAAAAF3X0aE=")</f>
        <v>#VALUE!</v>
      </c>
      <c r="FG103" t="e">
        <f>AND('Planilla_General_07-12-2012_8_3'!I1546,"AAAAAF3X0aI=")</f>
        <v>#VALUE!</v>
      </c>
      <c r="FH103" t="e">
        <f>AND('Planilla_General_07-12-2012_8_3'!J1546,"AAAAAF3X0aM=")</f>
        <v>#VALUE!</v>
      </c>
      <c r="FI103" t="e">
        <f>AND('Planilla_General_07-12-2012_8_3'!K1546,"AAAAAF3X0aQ=")</f>
        <v>#VALUE!</v>
      </c>
      <c r="FJ103" t="e">
        <f>AND('Planilla_General_07-12-2012_8_3'!L1546,"AAAAAF3X0aU=")</f>
        <v>#VALUE!</v>
      </c>
      <c r="FK103" t="e">
        <f>AND('Planilla_General_07-12-2012_8_3'!M1546,"AAAAAF3X0aY=")</f>
        <v>#VALUE!</v>
      </c>
      <c r="FL103" t="e">
        <f>AND('Planilla_General_07-12-2012_8_3'!N1546,"AAAAAF3X0ac=")</f>
        <v>#VALUE!</v>
      </c>
      <c r="FM103" t="e">
        <f>AND('Planilla_General_07-12-2012_8_3'!O1546,"AAAAAF3X0ag=")</f>
        <v>#VALUE!</v>
      </c>
      <c r="FN103" t="e">
        <f>AND('Planilla_General_07-12-2012_8_3'!P1546,"AAAAAF3X0ak=")</f>
        <v>#VALUE!</v>
      </c>
      <c r="FO103">
        <f>IF('Planilla_General_07-12-2012_8_3'!1547:1547,"AAAAAF3X0ao=",0)</f>
        <v>0</v>
      </c>
      <c r="FP103" t="e">
        <f>AND('Planilla_General_07-12-2012_8_3'!A1547,"AAAAAF3X0as=")</f>
        <v>#VALUE!</v>
      </c>
      <c r="FQ103" t="e">
        <f>AND('Planilla_General_07-12-2012_8_3'!B1547,"AAAAAF3X0aw=")</f>
        <v>#VALUE!</v>
      </c>
      <c r="FR103" t="e">
        <f>AND('Planilla_General_07-12-2012_8_3'!C1547,"AAAAAF3X0a0=")</f>
        <v>#VALUE!</v>
      </c>
      <c r="FS103" t="e">
        <f>AND('Planilla_General_07-12-2012_8_3'!D1547,"AAAAAF3X0a4=")</f>
        <v>#VALUE!</v>
      </c>
      <c r="FT103" t="e">
        <f>AND('Planilla_General_07-12-2012_8_3'!E1547,"AAAAAF3X0a8=")</f>
        <v>#VALUE!</v>
      </c>
      <c r="FU103" t="e">
        <f>AND('Planilla_General_07-12-2012_8_3'!F1547,"AAAAAF3X0bA=")</f>
        <v>#VALUE!</v>
      </c>
      <c r="FV103" t="e">
        <f>AND('Planilla_General_07-12-2012_8_3'!G1547,"AAAAAF3X0bE=")</f>
        <v>#VALUE!</v>
      </c>
      <c r="FW103" t="e">
        <f>AND('Planilla_General_07-12-2012_8_3'!H1547,"AAAAAF3X0bI=")</f>
        <v>#VALUE!</v>
      </c>
      <c r="FX103" t="e">
        <f>AND('Planilla_General_07-12-2012_8_3'!I1547,"AAAAAF3X0bM=")</f>
        <v>#VALUE!</v>
      </c>
      <c r="FY103" t="e">
        <f>AND('Planilla_General_07-12-2012_8_3'!J1547,"AAAAAF3X0bQ=")</f>
        <v>#VALUE!</v>
      </c>
      <c r="FZ103" t="e">
        <f>AND('Planilla_General_07-12-2012_8_3'!K1547,"AAAAAF3X0bU=")</f>
        <v>#VALUE!</v>
      </c>
      <c r="GA103" t="e">
        <f>AND('Planilla_General_07-12-2012_8_3'!L1547,"AAAAAF3X0bY=")</f>
        <v>#VALUE!</v>
      </c>
      <c r="GB103" t="e">
        <f>AND('Planilla_General_07-12-2012_8_3'!M1547,"AAAAAF3X0bc=")</f>
        <v>#VALUE!</v>
      </c>
      <c r="GC103" t="e">
        <f>AND('Planilla_General_07-12-2012_8_3'!N1547,"AAAAAF3X0bg=")</f>
        <v>#VALUE!</v>
      </c>
      <c r="GD103" t="e">
        <f>AND('Planilla_General_07-12-2012_8_3'!O1547,"AAAAAF3X0bk=")</f>
        <v>#VALUE!</v>
      </c>
      <c r="GE103" t="e">
        <f>AND('Planilla_General_07-12-2012_8_3'!P1547,"AAAAAF3X0bo=")</f>
        <v>#VALUE!</v>
      </c>
      <c r="GF103">
        <f>IF('Planilla_General_07-12-2012_8_3'!1548:1548,"AAAAAF3X0bs=",0)</f>
        <v>0</v>
      </c>
      <c r="GG103" t="e">
        <f>AND('Planilla_General_07-12-2012_8_3'!A1548,"AAAAAF3X0bw=")</f>
        <v>#VALUE!</v>
      </c>
      <c r="GH103" t="e">
        <f>AND('Planilla_General_07-12-2012_8_3'!B1548,"AAAAAF3X0b0=")</f>
        <v>#VALUE!</v>
      </c>
      <c r="GI103" t="e">
        <f>AND('Planilla_General_07-12-2012_8_3'!C1548,"AAAAAF3X0b4=")</f>
        <v>#VALUE!</v>
      </c>
      <c r="GJ103" t="e">
        <f>AND('Planilla_General_07-12-2012_8_3'!D1548,"AAAAAF3X0b8=")</f>
        <v>#VALUE!</v>
      </c>
      <c r="GK103" t="e">
        <f>AND('Planilla_General_07-12-2012_8_3'!E1548,"AAAAAF3X0cA=")</f>
        <v>#VALUE!</v>
      </c>
      <c r="GL103" t="e">
        <f>AND('Planilla_General_07-12-2012_8_3'!F1548,"AAAAAF3X0cE=")</f>
        <v>#VALUE!</v>
      </c>
      <c r="GM103" t="e">
        <f>AND('Planilla_General_07-12-2012_8_3'!G1548,"AAAAAF3X0cI=")</f>
        <v>#VALUE!</v>
      </c>
      <c r="GN103" t="e">
        <f>AND('Planilla_General_07-12-2012_8_3'!H1548,"AAAAAF3X0cM=")</f>
        <v>#VALUE!</v>
      </c>
      <c r="GO103" t="e">
        <f>AND('Planilla_General_07-12-2012_8_3'!I1548,"AAAAAF3X0cQ=")</f>
        <v>#VALUE!</v>
      </c>
      <c r="GP103" t="e">
        <f>AND('Planilla_General_07-12-2012_8_3'!J1548,"AAAAAF3X0cU=")</f>
        <v>#VALUE!</v>
      </c>
      <c r="GQ103" t="e">
        <f>AND('Planilla_General_07-12-2012_8_3'!K1548,"AAAAAF3X0cY=")</f>
        <v>#VALUE!</v>
      </c>
      <c r="GR103" t="e">
        <f>AND('Planilla_General_07-12-2012_8_3'!L1548,"AAAAAF3X0cc=")</f>
        <v>#VALUE!</v>
      </c>
      <c r="GS103" t="e">
        <f>AND('Planilla_General_07-12-2012_8_3'!M1548,"AAAAAF3X0cg=")</f>
        <v>#VALUE!</v>
      </c>
      <c r="GT103" t="e">
        <f>AND('Planilla_General_07-12-2012_8_3'!N1548,"AAAAAF3X0ck=")</f>
        <v>#VALUE!</v>
      </c>
      <c r="GU103" t="e">
        <f>AND('Planilla_General_07-12-2012_8_3'!O1548,"AAAAAF3X0co=")</f>
        <v>#VALUE!</v>
      </c>
      <c r="GV103" t="e">
        <f>AND('Planilla_General_07-12-2012_8_3'!P1548,"AAAAAF3X0cs=")</f>
        <v>#VALUE!</v>
      </c>
      <c r="GW103">
        <f>IF('Planilla_General_07-12-2012_8_3'!1549:1549,"AAAAAF3X0cw=",0)</f>
        <v>0</v>
      </c>
      <c r="GX103" t="e">
        <f>AND('Planilla_General_07-12-2012_8_3'!A1549,"AAAAAF3X0c0=")</f>
        <v>#VALUE!</v>
      </c>
      <c r="GY103" t="e">
        <f>AND('Planilla_General_07-12-2012_8_3'!B1549,"AAAAAF3X0c4=")</f>
        <v>#VALUE!</v>
      </c>
      <c r="GZ103" t="e">
        <f>AND('Planilla_General_07-12-2012_8_3'!C1549,"AAAAAF3X0c8=")</f>
        <v>#VALUE!</v>
      </c>
      <c r="HA103" t="e">
        <f>AND('Planilla_General_07-12-2012_8_3'!D1549,"AAAAAF3X0dA=")</f>
        <v>#VALUE!</v>
      </c>
      <c r="HB103" t="e">
        <f>AND('Planilla_General_07-12-2012_8_3'!E1549,"AAAAAF3X0dE=")</f>
        <v>#VALUE!</v>
      </c>
      <c r="HC103" t="e">
        <f>AND('Planilla_General_07-12-2012_8_3'!F1549,"AAAAAF3X0dI=")</f>
        <v>#VALUE!</v>
      </c>
      <c r="HD103" t="e">
        <f>AND('Planilla_General_07-12-2012_8_3'!G1549,"AAAAAF3X0dM=")</f>
        <v>#VALUE!</v>
      </c>
      <c r="HE103" t="e">
        <f>AND('Planilla_General_07-12-2012_8_3'!H1549,"AAAAAF3X0dQ=")</f>
        <v>#VALUE!</v>
      </c>
      <c r="HF103" t="e">
        <f>AND('Planilla_General_07-12-2012_8_3'!I1549,"AAAAAF3X0dU=")</f>
        <v>#VALUE!</v>
      </c>
      <c r="HG103" t="e">
        <f>AND('Planilla_General_07-12-2012_8_3'!J1549,"AAAAAF3X0dY=")</f>
        <v>#VALUE!</v>
      </c>
      <c r="HH103" t="e">
        <f>AND('Planilla_General_07-12-2012_8_3'!K1549,"AAAAAF3X0dc=")</f>
        <v>#VALUE!</v>
      </c>
      <c r="HI103" t="e">
        <f>AND('Planilla_General_07-12-2012_8_3'!L1549,"AAAAAF3X0dg=")</f>
        <v>#VALUE!</v>
      </c>
      <c r="HJ103" t="e">
        <f>AND('Planilla_General_07-12-2012_8_3'!M1549,"AAAAAF3X0dk=")</f>
        <v>#VALUE!</v>
      </c>
      <c r="HK103" t="e">
        <f>AND('Planilla_General_07-12-2012_8_3'!N1549,"AAAAAF3X0do=")</f>
        <v>#VALUE!</v>
      </c>
      <c r="HL103" t="e">
        <f>AND('Planilla_General_07-12-2012_8_3'!O1549,"AAAAAF3X0ds=")</f>
        <v>#VALUE!</v>
      </c>
      <c r="HM103" t="e">
        <f>AND('Planilla_General_07-12-2012_8_3'!P1549,"AAAAAF3X0dw=")</f>
        <v>#VALUE!</v>
      </c>
      <c r="HN103">
        <f>IF('Planilla_General_07-12-2012_8_3'!1550:1550,"AAAAAF3X0d0=",0)</f>
        <v>0</v>
      </c>
      <c r="HO103" t="e">
        <f>AND('Planilla_General_07-12-2012_8_3'!A1550,"AAAAAF3X0d4=")</f>
        <v>#VALUE!</v>
      </c>
      <c r="HP103" t="e">
        <f>AND('Planilla_General_07-12-2012_8_3'!B1550,"AAAAAF3X0d8=")</f>
        <v>#VALUE!</v>
      </c>
      <c r="HQ103" t="e">
        <f>AND('Planilla_General_07-12-2012_8_3'!C1550,"AAAAAF3X0eA=")</f>
        <v>#VALUE!</v>
      </c>
      <c r="HR103" t="e">
        <f>AND('Planilla_General_07-12-2012_8_3'!D1550,"AAAAAF3X0eE=")</f>
        <v>#VALUE!</v>
      </c>
      <c r="HS103" t="e">
        <f>AND('Planilla_General_07-12-2012_8_3'!E1550,"AAAAAF3X0eI=")</f>
        <v>#VALUE!</v>
      </c>
      <c r="HT103" t="e">
        <f>AND('Planilla_General_07-12-2012_8_3'!F1550,"AAAAAF3X0eM=")</f>
        <v>#VALUE!</v>
      </c>
      <c r="HU103" t="e">
        <f>AND('Planilla_General_07-12-2012_8_3'!G1550,"AAAAAF3X0eQ=")</f>
        <v>#VALUE!</v>
      </c>
      <c r="HV103" t="e">
        <f>AND('Planilla_General_07-12-2012_8_3'!H1550,"AAAAAF3X0eU=")</f>
        <v>#VALUE!</v>
      </c>
      <c r="HW103" t="e">
        <f>AND('Planilla_General_07-12-2012_8_3'!I1550,"AAAAAF3X0eY=")</f>
        <v>#VALUE!</v>
      </c>
      <c r="HX103" t="e">
        <f>AND('Planilla_General_07-12-2012_8_3'!J1550,"AAAAAF3X0ec=")</f>
        <v>#VALUE!</v>
      </c>
      <c r="HY103" t="e">
        <f>AND('Planilla_General_07-12-2012_8_3'!K1550,"AAAAAF3X0eg=")</f>
        <v>#VALUE!</v>
      </c>
      <c r="HZ103" t="e">
        <f>AND('Planilla_General_07-12-2012_8_3'!L1550,"AAAAAF3X0ek=")</f>
        <v>#VALUE!</v>
      </c>
      <c r="IA103" t="e">
        <f>AND('Planilla_General_07-12-2012_8_3'!M1550,"AAAAAF3X0eo=")</f>
        <v>#VALUE!</v>
      </c>
      <c r="IB103" t="e">
        <f>AND('Planilla_General_07-12-2012_8_3'!N1550,"AAAAAF3X0es=")</f>
        <v>#VALUE!</v>
      </c>
      <c r="IC103" t="e">
        <f>AND('Planilla_General_07-12-2012_8_3'!O1550,"AAAAAF3X0ew=")</f>
        <v>#VALUE!</v>
      </c>
      <c r="ID103" t="e">
        <f>AND('Planilla_General_07-12-2012_8_3'!P1550,"AAAAAF3X0e0=")</f>
        <v>#VALUE!</v>
      </c>
      <c r="IE103">
        <f>IF('Planilla_General_07-12-2012_8_3'!1551:1551,"AAAAAF3X0e4=",0)</f>
        <v>0</v>
      </c>
      <c r="IF103" t="e">
        <f>AND('Planilla_General_07-12-2012_8_3'!A1551,"AAAAAF3X0e8=")</f>
        <v>#VALUE!</v>
      </c>
      <c r="IG103" t="e">
        <f>AND('Planilla_General_07-12-2012_8_3'!B1551,"AAAAAF3X0fA=")</f>
        <v>#VALUE!</v>
      </c>
      <c r="IH103" t="e">
        <f>AND('Planilla_General_07-12-2012_8_3'!C1551,"AAAAAF3X0fE=")</f>
        <v>#VALUE!</v>
      </c>
      <c r="II103" t="e">
        <f>AND('Planilla_General_07-12-2012_8_3'!D1551,"AAAAAF3X0fI=")</f>
        <v>#VALUE!</v>
      </c>
      <c r="IJ103" t="e">
        <f>AND('Planilla_General_07-12-2012_8_3'!E1551,"AAAAAF3X0fM=")</f>
        <v>#VALUE!</v>
      </c>
      <c r="IK103" t="e">
        <f>AND('Planilla_General_07-12-2012_8_3'!F1551,"AAAAAF3X0fQ=")</f>
        <v>#VALUE!</v>
      </c>
      <c r="IL103" t="e">
        <f>AND('Planilla_General_07-12-2012_8_3'!G1551,"AAAAAF3X0fU=")</f>
        <v>#VALUE!</v>
      </c>
      <c r="IM103" t="e">
        <f>AND('Planilla_General_07-12-2012_8_3'!H1551,"AAAAAF3X0fY=")</f>
        <v>#VALUE!</v>
      </c>
      <c r="IN103" t="e">
        <f>AND('Planilla_General_07-12-2012_8_3'!I1551,"AAAAAF3X0fc=")</f>
        <v>#VALUE!</v>
      </c>
      <c r="IO103" t="e">
        <f>AND('Planilla_General_07-12-2012_8_3'!J1551,"AAAAAF3X0fg=")</f>
        <v>#VALUE!</v>
      </c>
      <c r="IP103" t="e">
        <f>AND('Planilla_General_07-12-2012_8_3'!K1551,"AAAAAF3X0fk=")</f>
        <v>#VALUE!</v>
      </c>
      <c r="IQ103" t="e">
        <f>AND('Planilla_General_07-12-2012_8_3'!L1551,"AAAAAF3X0fo=")</f>
        <v>#VALUE!</v>
      </c>
      <c r="IR103" t="e">
        <f>AND('Planilla_General_07-12-2012_8_3'!M1551,"AAAAAF3X0fs=")</f>
        <v>#VALUE!</v>
      </c>
      <c r="IS103" t="e">
        <f>AND('Planilla_General_07-12-2012_8_3'!N1551,"AAAAAF3X0fw=")</f>
        <v>#VALUE!</v>
      </c>
      <c r="IT103" t="e">
        <f>AND('Planilla_General_07-12-2012_8_3'!O1551,"AAAAAF3X0f0=")</f>
        <v>#VALUE!</v>
      </c>
      <c r="IU103" t="e">
        <f>AND('Planilla_General_07-12-2012_8_3'!P1551,"AAAAAF3X0f4=")</f>
        <v>#VALUE!</v>
      </c>
      <c r="IV103">
        <f>IF('Planilla_General_07-12-2012_8_3'!1552:1552,"AAAAAF3X0f8=",0)</f>
        <v>0</v>
      </c>
    </row>
    <row r="104" spans="1:256" x14ac:dyDescent="0.25">
      <c r="A104" t="e">
        <f>AND('Planilla_General_07-12-2012_8_3'!A1552,"AAAAAHdrrAA=")</f>
        <v>#VALUE!</v>
      </c>
      <c r="B104" t="e">
        <f>AND('Planilla_General_07-12-2012_8_3'!B1552,"AAAAAHdrrAE=")</f>
        <v>#VALUE!</v>
      </c>
      <c r="C104" t="e">
        <f>AND('Planilla_General_07-12-2012_8_3'!C1552,"AAAAAHdrrAI=")</f>
        <v>#VALUE!</v>
      </c>
      <c r="D104" t="e">
        <f>AND('Planilla_General_07-12-2012_8_3'!D1552,"AAAAAHdrrAM=")</f>
        <v>#VALUE!</v>
      </c>
      <c r="E104" t="e">
        <f>AND('Planilla_General_07-12-2012_8_3'!E1552,"AAAAAHdrrAQ=")</f>
        <v>#VALUE!</v>
      </c>
      <c r="F104" t="e">
        <f>AND('Planilla_General_07-12-2012_8_3'!F1552,"AAAAAHdrrAU=")</f>
        <v>#VALUE!</v>
      </c>
      <c r="G104" t="e">
        <f>AND('Planilla_General_07-12-2012_8_3'!G1552,"AAAAAHdrrAY=")</f>
        <v>#VALUE!</v>
      </c>
      <c r="H104" t="e">
        <f>AND('Planilla_General_07-12-2012_8_3'!H1552,"AAAAAHdrrAc=")</f>
        <v>#VALUE!</v>
      </c>
      <c r="I104" t="e">
        <f>AND('Planilla_General_07-12-2012_8_3'!I1552,"AAAAAHdrrAg=")</f>
        <v>#VALUE!</v>
      </c>
      <c r="J104" t="e">
        <f>AND('Planilla_General_07-12-2012_8_3'!J1552,"AAAAAHdrrAk=")</f>
        <v>#VALUE!</v>
      </c>
      <c r="K104" t="e">
        <f>AND('Planilla_General_07-12-2012_8_3'!K1552,"AAAAAHdrrAo=")</f>
        <v>#VALUE!</v>
      </c>
      <c r="L104" t="e">
        <f>AND('Planilla_General_07-12-2012_8_3'!L1552,"AAAAAHdrrAs=")</f>
        <v>#VALUE!</v>
      </c>
      <c r="M104" t="e">
        <f>AND('Planilla_General_07-12-2012_8_3'!M1552,"AAAAAHdrrAw=")</f>
        <v>#VALUE!</v>
      </c>
      <c r="N104" t="e">
        <f>AND('Planilla_General_07-12-2012_8_3'!N1552,"AAAAAHdrrA0=")</f>
        <v>#VALUE!</v>
      </c>
      <c r="O104" t="e">
        <f>AND('Planilla_General_07-12-2012_8_3'!O1552,"AAAAAHdrrA4=")</f>
        <v>#VALUE!</v>
      </c>
      <c r="P104" t="e">
        <f>AND('Planilla_General_07-12-2012_8_3'!P1552,"AAAAAHdrrA8=")</f>
        <v>#VALUE!</v>
      </c>
      <c r="Q104">
        <f>IF('Planilla_General_07-12-2012_8_3'!1553:1553,"AAAAAHdrrBA=",0)</f>
        <v>0</v>
      </c>
      <c r="R104" t="e">
        <f>AND('Planilla_General_07-12-2012_8_3'!A1553,"AAAAAHdrrBE=")</f>
        <v>#VALUE!</v>
      </c>
      <c r="S104" t="e">
        <f>AND('Planilla_General_07-12-2012_8_3'!B1553,"AAAAAHdrrBI=")</f>
        <v>#VALUE!</v>
      </c>
      <c r="T104" t="e">
        <f>AND('Planilla_General_07-12-2012_8_3'!C1553,"AAAAAHdrrBM=")</f>
        <v>#VALUE!</v>
      </c>
      <c r="U104" t="e">
        <f>AND('Planilla_General_07-12-2012_8_3'!D1553,"AAAAAHdrrBQ=")</f>
        <v>#VALUE!</v>
      </c>
      <c r="V104" t="e">
        <f>AND('Planilla_General_07-12-2012_8_3'!E1553,"AAAAAHdrrBU=")</f>
        <v>#VALUE!</v>
      </c>
      <c r="W104" t="e">
        <f>AND('Planilla_General_07-12-2012_8_3'!F1553,"AAAAAHdrrBY=")</f>
        <v>#VALUE!</v>
      </c>
      <c r="X104" t="e">
        <f>AND('Planilla_General_07-12-2012_8_3'!G1553,"AAAAAHdrrBc=")</f>
        <v>#VALUE!</v>
      </c>
      <c r="Y104" t="e">
        <f>AND('Planilla_General_07-12-2012_8_3'!H1553,"AAAAAHdrrBg=")</f>
        <v>#VALUE!</v>
      </c>
      <c r="Z104" t="e">
        <f>AND('Planilla_General_07-12-2012_8_3'!I1553,"AAAAAHdrrBk=")</f>
        <v>#VALUE!</v>
      </c>
      <c r="AA104" t="e">
        <f>AND('Planilla_General_07-12-2012_8_3'!J1553,"AAAAAHdrrBo=")</f>
        <v>#VALUE!</v>
      </c>
      <c r="AB104" t="e">
        <f>AND('Planilla_General_07-12-2012_8_3'!K1553,"AAAAAHdrrBs=")</f>
        <v>#VALUE!</v>
      </c>
      <c r="AC104" t="e">
        <f>AND('Planilla_General_07-12-2012_8_3'!L1553,"AAAAAHdrrBw=")</f>
        <v>#VALUE!</v>
      </c>
      <c r="AD104" t="e">
        <f>AND('Planilla_General_07-12-2012_8_3'!M1553,"AAAAAHdrrB0=")</f>
        <v>#VALUE!</v>
      </c>
      <c r="AE104" t="e">
        <f>AND('Planilla_General_07-12-2012_8_3'!N1553,"AAAAAHdrrB4=")</f>
        <v>#VALUE!</v>
      </c>
      <c r="AF104" t="e">
        <f>AND('Planilla_General_07-12-2012_8_3'!O1553,"AAAAAHdrrB8=")</f>
        <v>#VALUE!</v>
      </c>
      <c r="AG104" t="e">
        <f>AND('Planilla_General_07-12-2012_8_3'!P1553,"AAAAAHdrrCA=")</f>
        <v>#VALUE!</v>
      </c>
      <c r="AH104">
        <f>IF('Planilla_General_07-12-2012_8_3'!1554:1554,"AAAAAHdrrCE=",0)</f>
        <v>0</v>
      </c>
      <c r="AI104" t="e">
        <f>AND('Planilla_General_07-12-2012_8_3'!A1554,"AAAAAHdrrCI=")</f>
        <v>#VALUE!</v>
      </c>
      <c r="AJ104" t="e">
        <f>AND('Planilla_General_07-12-2012_8_3'!B1554,"AAAAAHdrrCM=")</f>
        <v>#VALUE!</v>
      </c>
      <c r="AK104" t="e">
        <f>AND('Planilla_General_07-12-2012_8_3'!C1554,"AAAAAHdrrCQ=")</f>
        <v>#VALUE!</v>
      </c>
      <c r="AL104" t="e">
        <f>AND('Planilla_General_07-12-2012_8_3'!D1554,"AAAAAHdrrCU=")</f>
        <v>#VALUE!</v>
      </c>
      <c r="AM104" t="e">
        <f>AND('Planilla_General_07-12-2012_8_3'!E1554,"AAAAAHdrrCY=")</f>
        <v>#VALUE!</v>
      </c>
      <c r="AN104" t="e">
        <f>AND('Planilla_General_07-12-2012_8_3'!F1554,"AAAAAHdrrCc=")</f>
        <v>#VALUE!</v>
      </c>
      <c r="AO104" t="e">
        <f>AND('Planilla_General_07-12-2012_8_3'!G1554,"AAAAAHdrrCg=")</f>
        <v>#VALUE!</v>
      </c>
      <c r="AP104" t="e">
        <f>AND('Planilla_General_07-12-2012_8_3'!H1554,"AAAAAHdrrCk=")</f>
        <v>#VALUE!</v>
      </c>
      <c r="AQ104" t="e">
        <f>AND('Planilla_General_07-12-2012_8_3'!I1554,"AAAAAHdrrCo=")</f>
        <v>#VALUE!</v>
      </c>
      <c r="AR104" t="e">
        <f>AND('Planilla_General_07-12-2012_8_3'!J1554,"AAAAAHdrrCs=")</f>
        <v>#VALUE!</v>
      </c>
      <c r="AS104" t="e">
        <f>AND('Planilla_General_07-12-2012_8_3'!K1554,"AAAAAHdrrCw=")</f>
        <v>#VALUE!</v>
      </c>
      <c r="AT104" t="e">
        <f>AND('Planilla_General_07-12-2012_8_3'!L1554,"AAAAAHdrrC0=")</f>
        <v>#VALUE!</v>
      </c>
      <c r="AU104" t="e">
        <f>AND('Planilla_General_07-12-2012_8_3'!M1554,"AAAAAHdrrC4=")</f>
        <v>#VALUE!</v>
      </c>
      <c r="AV104" t="e">
        <f>AND('Planilla_General_07-12-2012_8_3'!N1554,"AAAAAHdrrC8=")</f>
        <v>#VALUE!</v>
      </c>
      <c r="AW104" t="e">
        <f>AND('Planilla_General_07-12-2012_8_3'!O1554,"AAAAAHdrrDA=")</f>
        <v>#VALUE!</v>
      </c>
      <c r="AX104" t="e">
        <f>AND('Planilla_General_07-12-2012_8_3'!P1554,"AAAAAHdrrDE=")</f>
        <v>#VALUE!</v>
      </c>
      <c r="AY104">
        <f>IF('Planilla_General_07-12-2012_8_3'!1555:1555,"AAAAAHdrrDI=",0)</f>
        <v>0</v>
      </c>
      <c r="AZ104" t="e">
        <f>AND('Planilla_General_07-12-2012_8_3'!A1555,"AAAAAHdrrDM=")</f>
        <v>#VALUE!</v>
      </c>
      <c r="BA104" t="e">
        <f>AND('Planilla_General_07-12-2012_8_3'!B1555,"AAAAAHdrrDQ=")</f>
        <v>#VALUE!</v>
      </c>
      <c r="BB104" t="e">
        <f>AND('Planilla_General_07-12-2012_8_3'!C1555,"AAAAAHdrrDU=")</f>
        <v>#VALUE!</v>
      </c>
      <c r="BC104" t="e">
        <f>AND('Planilla_General_07-12-2012_8_3'!D1555,"AAAAAHdrrDY=")</f>
        <v>#VALUE!</v>
      </c>
      <c r="BD104" t="e">
        <f>AND('Planilla_General_07-12-2012_8_3'!E1555,"AAAAAHdrrDc=")</f>
        <v>#VALUE!</v>
      </c>
      <c r="BE104" t="e">
        <f>AND('Planilla_General_07-12-2012_8_3'!F1555,"AAAAAHdrrDg=")</f>
        <v>#VALUE!</v>
      </c>
      <c r="BF104" t="e">
        <f>AND('Planilla_General_07-12-2012_8_3'!G1555,"AAAAAHdrrDk=")</f>
        <v>#VALUE!</v>
      </c>
      <c r="BG104" t="e">
        <f>AND('Planilla_General_07-12-2012_8_3'!H1555,"AAAAAHdrrDo=")</f>
        <v>#VALUE!</v>
      </c>
      <c r="BH104" t="e">
        <f>AND('Planilla_General_07-12-2012_8_3'!I1555,"AAAAAHdrrDs=")</f>
        <v>#VALUE!</v>
      </c>
      <c r="BI104" t="e">
        <f>AND('Planilla_General_07-12-2012_8_3'!J1555,"AAAAAHdrrDw=")</f>
        <v>#VALUE!</v>
      </c>
      <c r="BJ104" t="e">
        <f>AND('Planilla_General_07-12-2012_8_3'!K1555,"AAAAAHdrrD0=")</f>
        <v>#VALUE!</v>
      </c>
      <c r="BK104" t="e">
        <f>AND('Planilla_General_07-12-2012_8_3'!L1555,"AAAAAHdrrD4=")</f>
        <v>#VALUE!</v>
      </c>
      <c r="BL104" t="e">
        <f>AND('Planilla_General_07-12-2012_8_3'!M1555,"AAAAAHdrrD8=")</f>
        <v>#VALUE!</v>
      </c>
      <c r="BM104" t="e">
        <f>AND('Planilla_General_07-12-2012_8_3'!N1555,"AAAAAHdrrEA=")</f>
        <v>#VALUE!</v>
      </c>
      <c r="BN104" t="e">
        <f>AND('Planilla_General_07-12-2012_8_3'!O1555,"AAAAAHdrrEE=")</f>
        <v>#VALUE!</v>
      </c>
      <c r="BO104" t="e">
        <f>AND('Planilla_General_07-12-2012_8_3'!P1555,"AAAAAHdrrEI=")</f>
        <v>#VALUE!</v>
      </c>
      <c r="BP104">
        <f>IF('Planilla_General_07-12-2012_8_3'!1556:1556,"AAAAAHdrrEM=",0)</f>
        <v>0</v>
      </c>
      <c r="BQ104" t="e">
        <f>AND('Planilla_General_07-12-2012_8_3'!A1556,"AAAAAHdrrEQ=")</f>
        <v>#VALUE!</v>
      </c>
      <c r="BR104" t="e">
        <f>AND('Planilla_General_07-12-2012_8_3'!B1556,"AAAAAHdrrEU=")</f>
        <v>#VALUE!</v>
      </c>
      <c r="BS104" t="e">
        <f>AND('Planilla_General_07-12-2012_8_3'!C1556,"AAAAAHdrrEY=")</f>
        <v>#VALUE!</v>
      </c>
      <c r="BT104" t="e">
        <f>AND('Planilla_General_07-12-2012_8_3'!D1556,"AAAAAHdrrEc=")</f>
        <v>#VALUE!</v>
      </c>
      <c r="BU104" t="e">
        <f>AND('Planilla_General_07-12-2012_8_3'!E1556,"AAAAAHdrrEg=")</f>
        <v>#VALUE!</v>
      </c>
      <c r="BV104" t="e">
        <f>AND('Planilla_General_07-12-2012_8_3'!F1556,"AAAAAHdrrEk=")</f>
        <v>#VALUE!</v>
      </c>
      <c r="BW104" t="e">
        <f>AND('Planilla_General_07-12-2012_8_3'!G1556,"AAAAAHdrrEo=")</f>
        <v>#VALUE!</v>
      </c>
      <c r="BX104" t="e">
        <f>AND('Planilla_General_07-12-2012_8_3'!H1556,"AAAAAHdrrEs=")</f>
        <v>#VALUE!</v>
      </c>
      <c r="BY104" t="e">
        <f>AND('Planilla_General_07-12-2012_8_3'!I1556,"AAAAAHdrrEw=")</f>
        <v>#VALUE!</v>
      </c>
      <c r="BZ104" t="e">
        <f>AND('Planilla_General_07-12-2012_8_3'!J1556,"AAAAAHdrrE0=")</f>
        <v>#VALUE!</v>
      </c>
      <c r="CA104" t="e">
        <f>AND('Planilla_General_07-12-2012_8_3'!K1556,"AAAAAHdrrE4=")</f>
        <v>#VALUE!</v>
      </c>
      <c r="CB104" t="e">
        <f>AND('Planilla_General_07-12-2012_8_3'!L1556,"AAAAAHdrrE8=")</f>
        <v>#VALUE!</v>
      </c>
      <c r="CC104" t="e">
        <f>AND('Planilla_General_07-12-2012_8_3'!M1556,"AAAAAHdrrFA=")</f>
        <v>#VALUE!</v>
      </c>
      <c r="CD104" t="e">
        <f>AND('Planilla_General_07-12-2012_8_3'!N1556,"AAAAAHdrrFE=")</f>
        <v>#VALUE!</v>
      </c>
      <c r="CE104" t="e">
        <f>AND('Planilla_General_07-12-2012_8_3'!O1556,"AAAAAHdrrFI=")</f>
        <v>#VALUE!</v>
      </c>
      <c r="CF104" t="e">
        <f>AND('Planilla_General_07-12-2012_8_3'!P1556,"AAAAAHdrrFM=")</f>
        <v>#VALUE!</v>
      </c>
      <c r="CG104">
        <f>IF('Planilla_General_07-12-2012_8_3'!1557:1557,"AAAAAHdrrFQ=",0)</f>
        <v>0</v>
      </c>
      <c r="CH104" t="e">
        <f>AND('Planilla_General_07-12-2012_8_3'!A1557,"AAAAAHdrrFU=")</f>
        <v>#VALUE!</v>
      </c>
      <c r="CI104" t="e">
        <f>AND('Planilla_General_07-12-2012_8_3'!B1557,"AAAAAHdrrFY=")</f>
        <v>#VALUE!</v>
      </c>
      <c r="CJ104" t="e">
        <f>AND('Planilla_General_07-12-2012_8_3'!C1557,"AAAAAHdrrFc=")</f>
        <v>#VALUE!</v>
      </c>
      <c r="CK104" t="e">
        <f>AND('Planilla_General_07-12-2012_8_3'!D1557,"AAAAAHdrrFg=")</f>
        <v>#VALUE!</v>
      </c>
      <c r="CL104" t="e">
        <f>AND('Planilla_General_07-12-2012_8_3'!E1557,"AAAAAHdrrFk=")</f>
        <v>#VALUE!</v>
      </c>
      <c r="CM104" t="e">
        <f>AND('Planilla_General_07-12-2012_8_3'!F1557,"AAAAAHdrrFo=")</f>
        <v>#VALUE!</v>
      </c>
      <c r="CN104" t="e">
        <f>AND('Planilla_General_07-12-2012_8_3'!G1557,"AAAAAHdrrFs=")</f>
        <v>#VALUE!</v>
      </c>
      <c r="CO104" t="e">
        <f>AND('Planilla_General_07-12-2012_8_3'!H1557,"AAAAAHdrrFw=")</f>
        <v>#VALUE!</v>
      </c>
      <c r="CP104" t="e">
        <f>AND('Planilla_General_07-12-2012_8_3'!I1557,"AAAAAHdrrF0=")</f>
        <v>#VALUE!</v>
      </c>
      <c r="CQ104" t="e">
        <f>AND('Planilla_General_07-12-2012_8_3'!J1557,"AAAAAHdrrF4=")</f>
        <v>#VALUE!</v>
      </c>
      <c r="CR104" t="e">
        <f>AND('Planilla_General_07-12-2012_8_3'!K1557,"AAAAAHdrrF8=")</f>
        <v>#VALUE!</v>
      </c>
      <c r="CS104" t="e">
        <f>AND('Planilla_General_07-12-2012_8_3'!L1557,"AAAAAHdrrGA=")</f>
        <v>#VALUE!</v>
      </c>
      <c r="CT104" t="e">
        <f>AND('Planilla_General_07-12-2012_8_3'!M1557,"AAAAAHdrrGE=")</f>
        <v>#VALUE!</v>
      </c>
      <c r="CU104" t="e">
        <f>AND('Planilla_General_07-12-2012_8_3'!N1557,"AAAAAHdrrGI=")</f>
        <v>#VALUE!</v>
      </c>
      <c r="CV104" t="e">
        <f>AND('Planilla_General_07-12-2012_8_3'!O1557,"AAAAAHdrrGM=")</f>
        <v>#VALUE!</v>
      </c>
      <c r="CW104" t="e">
        <f>AND('Planilla_General_07-12-2012_8_3'!P1557,"AAAAAHdrrGQ=")</f>
        <v>#VALUE!</v>
      </c>
      <c r="CX104">
        <f>IF('Planilla_General_07-12-2012_8_3'!1558:1558,"AAAAAHdrrGU=",0)</f>
        <v>0</v>
      </c>
      <c r="CY104" t="e">
        <f>AND('Planilla_General_07-12-2012_8_3'!A1558,"AAAAAHdrrGY=")</f>
        <v>#VALUE!</v>
      </c>
      <c r="CZ104" t="e">
        <f>AND('Planilla_General_07-12-2012_8_3'!B1558,"AAAAAHdrrGc=")</f>
        <v>#VALUE!</v>
      </c>
      <c r="DA104" t="e">
        <f>AND('Planilla_General_07-12-2012_8_3'!C1558,"AAAAAHdrrGg=")</f>
        <v>#VALUE!</v>
      </c>
      <c r="DB104" t="e">
        <f>AND('Planilla_General_07-12-2012_8_3'!D1558,"AAAAAHdrrGk=")</f>
        <v>#VALUE!</v>
      </c>
      <c r="DC104" t="e">
        <f>AND('Planilla_General_07-12-2012_8_3'!E1558,"AAAAAHdrrGo=")</f>
        <v>#VALUE!</v>
      </c>
      <c r="DD104" t="e">
        <f>AND('Planilla_General_07-12-2012_8_3'!F1558,"AAAAAHdrrGs=")</f>
        <v>#VALUE!</v>
      </c>
      <c r="DE104" t="e">
        <f>AND('Planilla_General_07-12-2012_8_3'!G1558,"AAAAAHdrrGw=")</f>
        <v>#VALUE!</v>
      </c>
      <c r="DF104" t="e">
        <f>AND('Planilla_General_07-12-2012_8_3'!H1558,"AAAAAHdrrG0=")</f>
        <v>#VALUE!</v>
      </c>
      <c r="DG104" t="e">
        <f>AND('Planilla_General_07-12-2012_8_3'!I1558,"AAAAAHdrrG4=")</f>
        <v>#VALUE!</v>
      </c>
      <c r="DH104" t="e">
        <f>AND('Planilla_General_07-12-2012_8_3'!J1558,"AAAAAHdrrG8=")</f>
        <v>#VALUE!</v>
      </c>
      <c r="DI104" t="e">
        <f>AND('Planilla_General_07-12-2012_8_3'!K1558,"AAAAAHdrrHA=")</f>
        <v>#VALUE!</v>
      </c>
      <c r="DJ104" t="e">
        <f>AND('Planilla_General_07-12-2012_8_3'!L1558,"AAAAAHdrrHE=")</f>
        <v>#VALUE!</v>
      </c>
      <c r="DK104" t="e">
        <f>AND('Planilla_General_07-12-2012_8_3'!M1558,"AAAAAHdrrHI=")</f>
        <v>#VALUE!</v>
      </c>
      <c r="DL104" t="e">
        <f>AND('Planilla_General_07-12-2012_8_3'!N1558,"AAAAAHdrrHM=")</f>
        <v>#VALUE!</v>
      </c>
      <c r="DM104" t="e">
        <f>AND('Planilla_General_07-12-2012_8_3'!O1558,"AAAAAHdrrHQ=")</f>
        <v>#VALUE!</v>
      </c>
      <c r="DN104" t="e">
        <f>AND('Planilla_General_07-12-2012_8_3'!P1558,"AAAAAHdrrHU=")</f>
        <v>#VALUE!</v>
      </c>
      <c r="DO104">
        <f>IF('Planilla_General_07-12-2012_8_3'!1559:1559,"AAAAAHdrrHY=",0)</f>
        <v>0</v>
      </c>
      <c r="DP104" t="e">
        <f>AND('Planilla_General_07-12-2012_8_3'!A1559,"AAAAAHdrrHc=")</f>
        <v>#VALUE!</v>
      </c>
      <c r="DQ104" t="e">
        <f>AND('Planilla_General_07-12-2012_8_3'!B1559,"AAAAAHdrrHg=")</f>
        <v>#VALUE!</v>
      </c>
      <c r="DR104" t="e">
        <f>AND('Planilla_General_07-12-2012_8_3'!C1559,"AAAAAHdrrHk=")</f>
        <v>#VALUE!</v>
      </c>
      <c r="DS104" t="e">
        <f>AND('Planilla_General_07-12-2012_8_3'!D1559,"AAAAAHdrrHo=")</f>
        <v>#VALUE!</v>
      </c>
      <c r="DT104" t="e">
        <f>AND('Planilla_General_07-12-2012_8_3'!E1559,"AAAAAHdrrHs=")</f>
        <v>#VALUE!</v>
      </c>
      <c r="DU104" t="e">
        <f>AND('Planilla_General_07-12-2012_8_3'!F1559,"AAAAAHdrrHw=")</f>
        <v>#VALUE!</v>
      </c>
      <c r="DV104" t="e">
        <f>AND('Planilla_General_07-12-2012_8_3'!G1559,"AAAAAHdrrH0=")</f>
        <v>#VALUE!</v>
      </c>
      <c r="DW104" t="e">
        <f>AND('Planilla_General_07-12-2012_8_3'!H1559,"AAAAAHdrrH4=")</f>
        <v>#VALUE!</v>
      </c>
      <c r="DX104" t="e">
        <f>AND('Planilla_General_07-12-2012_8_3'!I1559,"AAAAAHdrrH8=")</f>
        <v>#VALUE!</v>
      </c>
      <c r="DY104" t="e">
        <f>AND('Planilla_General_07-12-2012_8_3'!J1559,"AAAAAHdrrIA=")</f>
        <v>#VALUE!</v>
      </c>
      <c r="DZ104" t="e">
        <f>AND('Planilla_General_07-12-2012_8_3'!K1559,"AAAAAHdrrIE=")</f>
        <v>#VALUE!</v>
      </c>
      <c r="EA104" t="e">
        <f>AND('Planilla_General_07-12-2012_8_3'!L1559,"AAAAAHdrrII=")</f>
        <v>#VALUE!</v>
      </c>
      <c r="EB104" t="e">
        <f>AND('Planilla_General_07-12-2012_8_3'!M1559,"AAAAAHdrrIM=")</f>
        <v>#VALUE!</v>
      </c>
      <c r="EC104" t="e">
        <f>AND('Planilla_General_07-12-2012_8_3'!N1559,"AAAAAHdrrIQ=")</f>
        <v>#VALUE!</v>
      </c>
      <c r="ED104" t="e">
        <f>AND('Planilla_General_07-12-2012_8_3'!O1559,"AAAAAHdrrIU=")</f>
        <v>#VALUE!</v>
      </c>
      <c r="EE104" t="e">
        <f>AND('Planilla_General_07-12-2012_8_3'!P1559,"AAAAAHdrrIY=")</f>
        <v>#VALUE!</v>
      </c>
      <c r="EF104">
        <f>IF('Planilla_General_07-12-2012_8_3'!1560:1560,"AAAAAHdrrIc=",0)</f>
        <v>0</v>
      </c>
      <c r="EG104" t="e">
        <f>AND('Planilla_General_07-12-2012_8_3'!A1560,"AAAAAHdrrIg=")</f>
        <v>#VALUE!</v>
      </c>
      <c r="EH104" t="e">
        <f>AND('Planilla_General_07-12-2012_8_3'!B1560,"AAAAAHdrrIk=")</f>
        <v>#VALUE!</v>
      </c>
      <c r="EI104" t="e">
        <f>AND('Planilla_General_07-12-2012_8_3'!C1560,"AAAAAHdrrIo=")</f>
        <v>#VALUE!</v>
      </c>
      <c r="EJ104" t="e">
        <f>AND('Planilla_General_07-12-2012_8_3'!D1560,"AAAAAHdrrIs=")</f>
        <v>#VALUE!</v>
      </c>
      <c r="EK104" t="e">
        <f>AND('Planilla_General_07-12-2012_8_3'!E1560,"AAAAAHdrrIw=")</f>
        <v>#VALUE!</v>
      </c>
      <c r="EL104" t="e">
        <f>AND('Planilla_General_07-12-2012_8_3'!F1560,"AAAAAHdrrI0=")</f>
        <v>#VALUE!</v>
      </c>
      <c r="EM104" t="e">
        <f>AND('Planilla_General_07-12-2012_8_3'!G1560,"AAAAAHdrrI4=")</f>
        <v>#VALUE!</v>
      </c>
      <c r="EN104" t="e">
        <f>AND('Planilla_General_07-12-2012_8_3'!H1560,"AAAAAHdrrI8=")</f>
        <v>#VALUE!</v>
      </c>
      <c r="EO104" t="e">
        <f>AND('Planilla_General_07-12-2012_8_3'!I1560,"AAAAAHdrrJA=")</f>
        <v>#VALUE!</v>
      </c>
      <c r="EP104" t="e">
        <f>AND('Planilla_General_07-12-2012_8_3'!J1560,"AAAAAHdrrJE=")</f>
        <v>#VALUE!</v>
      </c>
      <c r="EQ104" t="e">
        <f>AND('Planilla_General_07-12-2012_8_3'!K1560,"AAAAAHdrrJI=")</f>
        <v>#VALUE!</v>
      </c>
      <c r="ER104" t="e">
        <f>AND('Planilla_General_07-12-2012_8_3'!L1560,"AAAAAHdrrJM=")</f>
        <v>#VALUE!</v>
      </c>
      <c r="ES104" t="e">
        <f>AND('Planilla_General_07-12-2012_8_3'!M1560,"AAAAAHdrrJQ=")</f>
        <v>#VALUE!</v>
      </c>
      <c r="ET104" t="e">
        <f>AND('Planilla_General_07-12-2012_8_3'!N1560,"AAAAAHdrrJU=")</f>
        <v>#VALUE!</v>
      </c>
      <c r="EU104" t="e">
        <f>AND('Planilla_General_07-12-2012_8_3'!O1560,"AAAAAHdrrJY=")</f>
        <v>#VALUE!</v>
      </c>
      <c r="EV104" t="e">
        <f>AND('Planilla_General_07-12-2012_8_3'!P1560,"AAAAAHdrrJc=")</f>
        <v>#VALUE!</v>
      </c>
      <c r="EW104">
        <f>IF('Planilla_General_07-12-2012_8_3'!1561:1561,"AAAAAHdrrJg=",0)</f>
        <v>0</v>
      </c>
      <c r="EX104" t="e">
        <f>AND('Planilla_General_07-12-2012_8_3'!A1561,"AAAAAHdrrJk=")</f>
        <v>#VALUE!</v>
      </c>
      <c r="EY104" t="e">
        <f>AND('Planilla_General_07-12-2012_8_3'!B1561,"AAAAAHdrrJo=")</f>
        <v>#VALUE!</v>
      </c>
      <c r="EZ104" t="e">
        <f>AND('Planilla_General_07-12-2012_8_3'!C1561,"AAAAAHdrrJs=")</f>
        <v>#VALUE!</v>
      </c>
      <c r="FA104" t="e">
        <f>AND('Planilla_General_07-12-2012_8_3'!D1561,"AAAAAHdrrJw=")</f>
        <v>#VALUE!</v>
      </c>
      <c r="FB104" t="e">
        <f>AND('Planilla_General_07-12-2012_8_3'!E1561,"AAAAAHdrrJ0=")</f>
        <v>#VALUE!</v>
      </c>
      <c r="FC104" t="e">
        <f>AND('Planilla_General_07-12-2012_8_3'!F1561,"AAAAAHdrrJ4=")</f>
        <v>#VALUE!</v>
      </c>
      <c r="FD104" t="e">
        <f>AND('Planilla_General_07-12-2012_8_3'!G1561,"AAAAAHdrrJ8=")</f>
        <v>#VALUE!</v>
      </c>
      <c r="FE104" t="e">
        <f>AND('Planilla_General_07-12-2012_8_3'!H1561,"AAAAAHdrrKA=")</f>
        <v>#VALUE!</v>
      </c>
      <c r="FF104" t="e">
        <f>AND('Planilla_General_07-12-2012_8_3'!I1561,"AAAAAHdrrKE=")</f>
        <v>#VALUE!</v>
      </c>
      <c r="FG104" t="e">
        <f>AND('Planilla_General_07-12-2012_8_3'!J1561,"AAAAAHdrrKI=")</f>
        <v>#VALUE!</v>
      </c>
      <c r="FH104" t="e">
        <f>AND('Planilla_General_07-12-2012_8_3'!K1561,"AAAAAHdrrKM=")</f>
        <v>#VALUE!</v>
      </c>
      <c r="FI104" t="e">
        <f>AND('Planilla_General_07-12-2012_8_3'!L1561,"AAAAAHdrrKQ=")</f>
        <v>#VALUE!</v>
      </c>
      <c r="FJ104" t="e">
        <f>AND('Planilla_General_07-12-2012_8_3'!M1561,"AAAAAHdrrKU=")</f>
        <v>#VALUE!</v>
      </c>
      <c r="FK104" t="e">
        <f>AND('Planilla_General_07-12-2012_8_3'!N1561,"AAAAAHdrrKY=")</f>
        <v>#VALUE!</v>
      </c>
      <c r="FL104" t="e">
        <f>AND('Planilla_General_07-12-2012_8_3'!O1561,"AAAAAHdrrKc=")</f>
        <v>#VALUE!</v>
      </c>
      <c r="FM104" t="e">
        <f>AND('Planilla_General_07-12-2012_8_3'!P1561,"AAAAAHdrrKg=")</f>
        <v>#VALUE!</v>
      </c>
      <c r="FN104">
        <f>IF('Planilla_General_07-12-2012_8_3'!1562:1562,"AAAAAHdrrKk=",0)</f>
        <v>0</v>
      </c>
      <c r="FO104" t="e">
        <f>AND('Planilla_General_07-12-2012_8_3'!A1562,"AAAAAHdrrKo=")</f>
        <v>#VALUE!</v>
      </c>
      <c r="FP104" t="e">
        <f>AND('Planilla_General_07-12-2012_8_3'!B1562,"AAAAAHdrrKs=")</f>
        <v>#VALUE!</v>
      </c>
      <c r="FQ104" t="e">
        <f>AND('Planilla_General_07-12-2012_8_3'!C1562,"AAAAAHdrrKw=")</f>
        <v>#VALUE!</v>
      </c>
      <c r="FR104" t="e">
        <f>AND('Planilla_General_07-12-2012_8_3'!D1562,"AAAAAHdrrK0=")</f>
        <v>#VALUE!</v>
      </c>
      <c r="FS104" t="e">
        <f>AND('Planilla_General_07-12-2012_8_3'!E1562,"AAAAAHdrrK4=")</f>
        <v>#VALUE!</v>
      </c>
      <c r="FT104" t="e">
        <f>AND('Planilla_General_07-12-2012_8_3'!F1562,"AAAAAHdrrK8=")</f>
        <v>#VALUE!</v>
      </c>
      <c r="FU104" t="e">
        <f>AND('Planilla_General_07-12-2012_8_3'!G1562,"AAAAAHdrrLA=")</f>
        <v>#VALUE!</v>
      </c>
      <c r="FV104" t="e">
        <f>AND('Planilla_General_07-12-2012_8_3'!H1562,"AAAAAHdrrLE=")</f>
        <v>#VALUE!</v>
      </c>
      <c r="FW104" t="e">
        <f>AND('Planilla_General_07-12-2012_8_3'!I1562,"AAAAAHdrrLI=")</f>
        <v>#VALUE!</v>
      </c>
      <c r="FX104" t="e">
        <f>AND('Planilla_General_07-12-2012_8_3'!J1562,"AAAAAHdrrLM=")</f>
        <v>#VALUE!</v>
      </c>
      <c r="FY104" t="e">
        <f>AND('Planilla_General_07-12-2012_8_3'!K1562,"AAAAAHdrrLQ=")</f>
        <v>#VALUE!</v>
      </c>
      <c r="FZ104" t="e">
        <f>AND('Planilla_General_07-12-2012_8_3'!L1562,"AAAAAHdrrLU=")</f>
        <v>#VALUE!</v>
      </c>
      <c r="GA104" t="e">
        <f>AND('Planilla_General_07-12-2012_8_3'!M1562,"AAAAAHdrrLY=")</f>
        <v>#VALUE!</v>
      </c>
      <c r="GB104" t="e">
        <f>AND('Planilla_General_07-12-2012_8_3'!N1562,"AAAAAHdrrLc=")</f>
        <v>#VALUE!</v>
      </c>
      <c r="GC104" t="e">
        <f>AND('Planilla_General_07-12-2012_8_3'!O1562,"AAAAAHdrrLg=")</f>
        <v>#VALUE!</v>
      </c>
      <c r="GD104" t="e">
        <f>AND('Planilla_General_07-12-2012_8_3'!P1562,"AAAAAHdrrLk=")</f>
        <v>#VALUE!</v>
      </c>
      <c r="GE104">
        <f>IF('Planilla_General_07-12-2012_8_3'!1563:1563,"AAAAAHdrrLo=",0)</f>
        <v>0</v>
      </c>
      <c r="GF104" t="e">
        <f>AND('Planilla_General_07-12-2012_8_3'!A1563,"AAAAAHdrrLs=")</f>
        <v>#VALUE!</v>
      </c>
      <c r="GG104" t="e">
        <f>AND('Planilla_General_07-12-2012_8_3'!B1563,"AAAAAHdrrLw=")</f>
        <v>#VALUE!</v>
      </c>
      <c r="GH104" t="e">
        <f>AND('Planilla_General_07-12-2012_8_3'!C1563,"AAAAAHdrrL0=")</f>
        <v>#VALUE!</v>
      </c>
      <c r="GI104" t="e">
        <f>AND('Planilla_General_07-12-2012_8_3'!D1563,"AAAAAHdrrL4=")</f>
        <v>#VALUE!</v>
      </c>
      <c r="GJ104" t="e">
        <f>AND('Planilla_General_07-12-2012_8_3'!E1563,"AAAAAHdrrL8=")</f>
        <v>#VALUE!</v>
      </c>
      <c r="GK104" t="e">
        <f>AND('Planilla_General_07-12-2012_8_3'!F1563,"AAAAAHdrrMA=")</f>
        <v>#VALUE!</v>
      </c>
      <c r="GL104" t="e">
        <f>AND('Planilla_General_07-12-2012_8_3'!G1563,"AAAAAHdrrME=")</f>
        <v>#VALUE!</v>
      </c>
      <c r="GM104" t="e">
        <f>AND('Planilla_General_07-12-2012_8_3'!H1563,"AAAAAHdrrMI=")</f>
        <v>#VALUE!</v>
      </c>
      <c r="GN104" t="e">
        <f>AND('Planilla_General_07-12-2012_8_3'!I1563,"AAAAAHdrrMM=")</f>
        <v>#VALUE!</v>
      </c>
      <c r="GO104" t="e">
        <f>AND('Planilla_General_07-12-2012_8_3'!J1563,"AAAAAHdrrMQ=")</f>
        <v>#VALUE!</v>
      </c>
      <c r="GP104" t="e">
        <f>AND('Planilla_General_07-12-2012_8_3'!K1563,"AAAAAHdrrMU=")</f>
        <v>#VALUE!</v>
      </c>
      <c r="GQ104" t="e">
        <f>AND('Planilla_General_07-12-2012_8_3'!L1563,"AAAAAHdrrMY=")</f>
        <v>#VALUE!</v>
      </c>
      <c r="GR104" t="e">
        <f>AND('Planilla_General_07-12-2012_8_3'!M1563,"AAAAAHdrrMc=")</f>
        <v>#VALUE!</v>
      </c>
      <c r="GS104" t="e">
        <f>AND('Planilla_General_07-12-2012_8_3'!N1563,"AAAAAHdrrMg=")</f>
        <v>#VALUE!</v>
      </c>
      <c r="GT104" t="e">
        <f>AND('Planilla_General_07-12-2012_8_3'!O1563,"AAAAAHdrrMk=")</f>
        <v>#VALUE!</v>
      </c>
      <c r="GU104" t="e">
        <f>AND('Planilla_General_07-12-2012_8_3'!P1563,"AAAAAHdrrMo=")</f>
        <v>#VALUE!</v>
      </c>
      <c r="GV104">
        <f>IF('Planilla_General_07-12-2012_8_3'!1564:1564,"AAAAAHdrrMs=",0)</f>
        <v>0</v>
      </c>
      <c r="GW104" t="e">
        <f>AND('Planilla_General_07-12-2012_8_3'!A1564,"AAAAAHdrrMw=")</f>
        <v>#VALUE!</v>
      </c>
      <c r="GX104" t="e">
        <f>AND('Planilla_General_07-12-2012_8_3'!B1564,"AAAAAHdrrM0=")</f>
        <v>#VALUE!</v>
      </c>
      <c r="GY104" t="e">
        <f>AND('Planilla_General_07-12-2012_8_3'!C1564,"AAAAAHdrrM4=")</f>
        <v>#VALUE!</v>
      </c>
      <c r="GZ104" t="e">
        <f>AND('Planilla_General_07-12-2012_8_3'!D1564,"AAAAAHdrrM8=")</f>
        <v>#VALUE!</v>
      </c>
      <c r="HA104" t="e">
        <f>AND('Planilla_General_07-12-2012_8_3'!E1564,"AAAAAHdrrNA=")</f>
        <v>#VALUE!</v>
      </c>
      <c r="HB104" t="e">
        <f>AND('Planilla_General_07-12-2012_8_3'!F1564,"AAAAAHdrrNE=")</f>
        <v>#VALUE!</v>
      </c>
      <c r="HC104" t="e">
        <f>AND('Planilla_General_07-12-2012_8_3'!G1564,"AAAAAHdrrNI=")</f>
        <v>#VALUE!</v>
      </c>
      <c r="HD104" t="e">
        <f>AND('Planilla_General_07-12-2012_8_3'!H1564,"AAAAAHdrrNM=")</f>
        <v>#VALUE!</v>
      </c>
      <c r="HE104" t="e">
        <f>AND('Planilla_General_07-12-2012_8_3'!I1564,"AAAAAHdrrNQ=")</f>
        <v>#VALUE!</v>
      </c>
      <c r="HF104" t="e">
        <f>AND('Planilla_General_07-12-2012_8_3'!J1564,"AAAAAHdrrNU=")</f>
        <v>#VALUE!</v>
      </c>
      <c r="HG104" t="e">
        <f>AND('Planilla_General_07-12-2012_8_3'!K1564,"AAAAAHdrrNY=")</f>
        <v>#VALUE!</v>
      </c>
      <c r="HH104" t="e">
        <f>AND('Planilla_General_07-12-2012_8_3'!L1564,"AAAAAHdrrNc=")</f>
        <v>#VALUE!</v>
      </c>
      <c r="HI104" t="e">
        <f>AND('Planilla_General_07-12-2012_8_3'!M1564,"AAAAAHdrrNg=")</f>
        <v>#VALUE!</v>
      </c>
      <c r="HJ104" t="e">
        <f>AND('Planilla_General_07-12-2012_8_3'!N1564,"AAAAAHdrrNk=")</f>
        <v>#VALUE!</v>
      </c>
      <c r="HK104" t="e">
        <f>AND('Planilla_General_07-12-2012_8_3'!O1564,"AAAAAHdrrNo=")</f>
        <v>#VALUE!</v>
      </c>
      <c r="HL104" t="e">
        <f>AND('Planilla_General_07-12-2012_8_3'!P1564,"AAAAAHdrrNs=")</f>
        <v>#VALUE!</v>
      </c>
      <c r="HM104">
        <f>IF('Planilla_General_07-12-2012_8_3'!1565:1565,"AAAAAHdrrNw=",0)</f>
        <v>0</v>
      </c>
      <c r="HN104" t="e">
        <f>AND('Planilla_General_07-12-2012_8_3'!A1565,"AAAAAHdrrN0=")</f>
        <v>#VALUE!</v>
      </c>
      <c r="HO104" t="e">
        <f>AND('Planilla_General_07-12-2012_8_3'!B1565,"AAAAAHdrrN4=")</f>
        <v>#VALUE!</v>
      </c>
      <c r="HP104" t="e">
        <f>AND('Planilla_General_07-12-2012_8_3'!C1565,"AAAAAHdrrN8=")</f>
        <v>#VALUE!</v>
      </c>
      <c r="HQ104" t="e">
        <f>AND('Planilla_General_07-12-2012_8_3'!D1565,"AAAAAHdrrOA=")</f>
        <v>#VALUE!</v>
      </c>
      <c r="HR104" t="e">
        <f>AND('Planilla_General_07-12-2012_8_3'!E1565,"AAAAAHdrrOE=")</f>
        <v>#VALUE!</v>
      </c>
      <c r="HS104" t="e">
        <f>AND('Planilla_General_07-12-2012_8_3'!F1565,"AAAAAHdrrOI=")</f>
        <v>#VALUE!</v>
      </c>
      <c r="HT104" t="e">
        <f>AND('Planilla_General_07-12-2012_8_3'!G1565,"AAAAAHdrrOM=")</f>
        <v>#VALUE!</v>
      </c>
      <c r="HU104" t="e">
        <f>AND('Planilla_General_07-12-2012_8_3'!H1565,"AAAAAHdrrOQ=")</f>
        <v>#VALUE!</v>
      </c>
      <c r="HV104" t="e">
        <f>AND('Planilla_General_07-12-2012_8_3'!I1565,"AAAAAHdrrOU=")</f>
        <v>#VALUE!</v>
      </c>
      <c r="HW104" t="e">
        <f>AND('Planilla_General_07-12-2012_8_3'!J1565,"AAAAAHdrrOY=")</f>
        <v>#VALUE!</v>
      </c>
      <c r="HX104" t="e">
        <f>AND('Planilla_General_07-12-2012_8_3'!K1565,"AAAAAHdrrOc=")</f>
        <v>#VALUE!</v>
      </c>
      <c r="HY104" t="e">
        <f>AND('Planilla_General_07-12-2012_8_3'!L1565,"AAAAAHdrrOg=")</f>
        <v>#VALUE!</v>
      </c>
      <c r="HZ104" t="e">
        <f>AND('Planilla_General_07-12-2012_8_3'!M1565,"AAAAAHdrrOk=")</f>
        <v>#VALUE!</v>
      </c>
      <c r="IA104" t="e">
        <f>AND('Planilla_General_07-12-2012_8_3'!N1565,"AAAAAHdrrOo=")</f>
        <v>#VALUE!</v>
      </c>
      <c r="IB104" t="e">
        <f>AND('Planilla_General_07-12-2012_8_3'!O1565,"AAAAAHdrrOs=")</f>
        <v>#VALUE!</v>
      </c>
      <c r="IC104" t="e">
        <f>AND('Planilla_General_07-12-2012_8_3'!P1565,"AAAAAHdrrOw=")</f>
        <v>#VALUE!</v>
      </c>
      <c r="ID104">
        <f>IF('Planilla_General_07-12-2012_8_3'!1566:1566,"AAAAAHdrrO0=",0)</f>
        <v>0</v>
      </c>
      <c r="IE104" t="e">
        <f>AND('Planilla_General_07-12-2012_8_3'!A1566,"AAAAAHdrrO4=")</f>
        <v>#VALUE!</v>
      </c>
      <c r="IF104" t="e">
        <f>AND('Planilla_General_07-12-2012_8_3'!B1566,"AAAAAHdrrO8=")</f>
        <v>#VALUE!</v>
      </c>
      <c r="IG104" t="e">
        <f>AND('Planilla_General_07-12-2012_8_3'!C1566,"AAAAAHdrrPA=")</f>
        <v>#VALUE!</v>
      </c>
      <c r="IH104" t="e">
        <f>AND('Planilla_General_07-12-2012_8_3'!D1566,"AAAAAHdrrPE=")</f>
        <v>#VALUE!</v>
      </c>
      <c r="II104" t="e">
        <f>AND('Planilla_General_07-12-2012_8_3'!E1566,"AAAAAHdrrPI=")</f>
        <v>#VALUE!</v>
      </c>
      <c r="IJ104" t="e">
        <f>AND('Planilla_General_07-12-2012_8_3'!F1566,"AAAAAHdrrPM=")</f>
        <v>#VALUE!</v>
      </c>
      <c r="IK104" t="e">
        <f>AND('Planilla_General_07-12-2012_8_3'!G1566,"AAAAAHdrrPQ=")</f>
        <v>#VALUE!</v>
      </c>
      <c r="IL104" t="e">
        <f>AND('Planilla_General_07-12-2012_8_3'!H1566,"AAAAAHdrrPU=")</f>
        <v>#VALUE!</v>
      </c>
      <c r="IM104" t="e">
        <f>AND('Planilla_General_07-12-2012_8_3'!I1566,"AAAAAHdrrPY=")</f>
        <v>#VALUE!</v>
      </c>
      <c r="IN104" t="e">
        <f>AND('Planilla_General_07-12-2012_8_3'!J1566,"AAAAAHdrrPc=")</f>
        <v>#VALUE!</v>
      </c>
      <c r="IO104" t="e">
        <f>AND('Planilla_General_07-12-2012_8_3'!K1566,"AAAAAHdrrPg=")</f>
        <v>#VALUE!</v>
      </c>
      <c r="IP104" t="e">
        <f>AND('Planilla_General_07-12-2012_8_3'!L1566,"AAAAAHdrrPk=")</f>
        <v>#VALUE!</v>
      </c>
      <c r="IQ104" t="e">
        <f>AND('Planilla_General_07-12-2012_8_3'!M1566,"AAAAAHdrrPo=")</f>
        <v>#VALUE!</v>
      </c>
      <c r="IR104" t="e">
        <f>AND('Planilla_General_07-12-2012_8_3'!N1566,"AAAAAHdrrPs=")</f>
        <v>#VALUE!</v>
      </c>
      <c r="IS104" t="e">
        <f>AND('Planilla_General_07-12-2012_8_3'!O1566,"AAAAAHdrrPw=")</f>
        <v>#VALUE!</v>
      </c>
      <c r="IT104" t="e">
        <f>AND('Planilla_General_07-12-2012_8_3'!P1566,"AAAAAHdrrP0=")</f>
        <v>#VALUE!</v>
      </c>
      <c r="IU104">
        <f>IF('Planilla_General_07-12-2012_8_3'!1567:1567,"AAAAAHdrrP4=",0)</f>
        <v>0</v>
      </c>
      <c r="IV104" t="e">
        <f>AND('Planilla_General_07-12-2012_8_3'!A1567,"AAAAAHdrrP8=")</f>
        <v>#VALUE!</v>
      </c>
    </row>
    <row r="105" spans="1:256" x14ac:dyDescent="0.25">
      <c r="A105" t="e">
        <f>AND('Planilla_General_07-12-2012_8_3'!B1567,"AAAAAF7X/QA=")</f>
        <v>#VALUE!</v>
      </c>
      <c r="B105" t="e">
        <f>AND('Planilla_General_07-12-2012_8_3'!C1567,"AAAAAF7X/QE=")</f>
        <v>#VALUE!</v>
      </c>
      <c r="C105" t="e">
        <f>AND('Planilla_General_07-12-2012_8_3'!D1567,"AAAAAF7X/QI=")</f>
        <v>#VALUE!</v>
      </c>
      <c r="D105" t="e">
        <f>AND('Planilla_General_07-12-2012_8_3'!E1567,"AAAAAF7X/QM=")</f>
        <v>#VALUE!</v>
      </c>
      <c r="E105" t="e">
        <f>AND('Planilla_General_07-12-2012_8_3'!F1567,"AAAAAF7X/QQ=")</f>
        <v>#VALUE!</v>
      </c>
      <c r="F105" t="e">
        <f>AND('Planilla_General_07-12-2012_8_3'!G1567,"AAAAAF7X/QU=")</f>
        <v>#VALUE!</v>
      </c>
      <c r="G105" t="e">
        <f>AND('Planilla_General_07-12-2012_8_3'!H1567,"AAAAAF7X/QY=")</f>
        <v>#VALUE!</v>
      </c>
      <c r="H105" t="e">
        <f>AND('Planilla_General_07-12-2012_8_3'!I1567,"AAAAAF7X/Qc=")</f>
        <v>#VALUE!</v>
      </c>
      <c r="I105" t="e">
        <f>AND('Planilla_General_07-12-2012_8_3'!J1567,"AAAAAF7X/Qg=")</f>
        <v>#VALUE!</v>
      </c>
      <c r="J105" t="e">
        <f>AND('Planilla_General_07-12-2012_8_3'!K1567,"AAAAAF7X/Qk=")</f>
        <v>#VALUE!</v>
      </c>
      <c r="K105" t="e">
        <f>AND('Planilla_General_07-12-2012_8_3'!L1567,"AAAAAF7X/Qo=")</f>
        <v>#VALUE!</v>
      </c>
      <c r="L105" t="e">
        <f>AND('Planilla_General_07-12-2012_8_3'!M1567,"AAAAAF7X/Qs=")</f>
        <v>#VALUE!</v>
      </c>
      <c r="M105" t="e">
        <f>AND('Planilla_General_07-12-2012_8_3'!N1567,"AAAAAF7X/Qw=")</f>
        <v>#VALUE!</v>
      </c>
      <c r="N105" t="e">
        <f>AND('Planilla_General_07-12-2012_8_3'!O1567,"AAAAAF7X/Q0=")</f>
        <v>#VALUE!</v>
      </c>
      <c r="O105" t="e">
        <f>AND('Planilla_General_07-12-2012_8_3'!P1567,"AAAAAF7X/Q4=")</f>
        <v>#VALUE!</v>
      </c>
      <c r="P105">
        <f>IF('Planilla_General_07-12-2012_8_3'!1568:1568,"AAAAAF7X/Q8=",0)</f>
        <v>0</v>
      </c>
      <c r="Q105" t="e">
        <f>AND('Planilla_General_07-12-2012_8_3'!A1568,"AAAAAF7X/RA=")</f>
        <v>#VALUE!</v>
      </c>
      <c r="R105" t="e">
        <f>AND('Planilla_General_07-12-2012_8_3'!B1568,"AAAAAF7X/RE=")</f>
        <v>#VALUE!</v>
      </c>
      <c r="S105" t="e">
        <f>AND('Planilla_General_07-12-2012_8_3'!C1568,"AAAAAF7X/RI=")</f>
        <v>#VALUE!</v>
      </c>
      <c r="T105" t="e">
        <f>AND('Planilla_General_07-12-2012_8_3'!D1568,"AAAAAF7X/RM=")</f>
        <v>#VALUE!</v>
      </c>
      <c r="U105" t="e">
        <f>AND('Planilla_General_07-12-2012_8_3'!E1568,"AAAAAF7X/RQ=")</f>
        <v>#VALUE!</v>
      </c>
      <c r="V105" t="e">
        <f>AND('Planilla_General_07-12-2012_8_3'!F1568,"AAAAAF7X/RU=")</f>
        <v>#VALUE!</v>
      </c>
      <c r="W105" t="e">
        <f>AND('Planilla_General_07-12-2012_8_3'!G1568,"AAAAAF7X/RY=")</f>
        <v>#VALUE!</v>
      </c>
      <c r="X105" t="e">
        <f>AND('Planilla_General_07-12-2012_8_3'!H1568,"AAAAAF7X/Rc=")</f>
        <v>#VALUE!</v>
      </c>
      <c r="Y105" t="e">
        <f>AND('Planilla_General_07-12-2012_8_3'!I1568,"AAAAAF7X/Rg=")</f>
        <v>#VALUE!</v>
      </c>
      <c r="Z105" t="e">
        <f>AND('Planilla_General_07-12-2012_8_3'!J1568,"AAAAAF7X/Rk=")</f>
        <v>#VALUE!</v>
      </c>
      <c r="AA105" t="e">
        <f>AND('Planilla_General_07-12-2012_8_3'!K1568,"AAAAAF7X/Ro=")</f>
        <v>#VALUE!</v>
      </c>
      <c r="AB105" t="e">
        <f>AND('Planilla_General_07-12-2012_8_3'!L1568,"AAAAAF7X/Rs=")</f>
        <v>#VALUE!</v>
      </c>
      <c r="AC105" t="e">
        <f>AND('Planilla_General_07-12-2012_8_3'!M1568,"AAAAAF7X/Rw=")</f>
        <v>#VALUE!</v>
      </c>
      <c r="AD105" t="e">
        <f>AND('Planilla_General_07-12-2012_8_3'!N1568,"AAAAAF7X/R0=")</f>
        <v>#VALUE!</v>
      </c>
      <c r="AE105" t="e">
        <f>AND('Planilla_General_07-12-2012_8_3'!O1568,"AAAAAF7X/R4=")</f>
        <v>#VALUE!</v>
      </c>
      <c r="AF105" t="e">
        <f>AND('Planilla_General_07-12-2012_8_3'!P1568,"AAAAAF7X/R8=")</f>
        <v>#VALUE!</v>
      </c>
      <c r="AG105">
        <f>IF('Planilla_General_07-12-2012_8_3'!1569:1569,"AAAAAF7X/SA=",0)</f>
        <v>0</v>
      </c>
      <c r="AH105" t="e">
        <f>AND('Planilla_General_07-12-2012_8_3'!A1569,"AAAAAF7X/SE=")</f>
        <v>#VALUE!</v>
      </c>
      <c r="AI105" t="e">
        <f>AND('Planilla_General_07-12-2012_8_3'!B1569,"AAAAAF7X/SI=")</f>
        <v>#VALUE!</v>
      </c>
      <c r="AJ105" t="e">
        <f>AND('Planilla_General_07-12-2012_8_3'!C1569,"AAAAAF7X/SM=")</f>
        <v>#VALUE!</v>
      </c>
      <c r="AK105" t="e">
        <f>AND('Planilla_General_07-12-2012_8_3'!D1569,"AAAAAF7X/SQ=")</f>
        <v>#VALUE!</v>
      </c>
      <c r="AL105" t="e">
        <f>AND('Planilla_General_07-12-2012_8_3'!E1569,"AAAAAF7X/SU=")</f>
        <v>#VALUE!</v>
      </c>
      <c r="AM105" t="e">
        <f>AND('Planilla_General_07-12-2012_8_3'!F1569,"AAAAAF7X/SY=")</f>
        <v>#VALUE!</v>
      </c>
      <c r="AN105" t="e">
        <f>AND('Planilla_General_07-12-2012_8_3'!G1569,"AAAAAF7X/Sc=")</f>
        <v>#VALUE!</v>
      </c>
      <c r="AO105" t="e">
        <f>AND('Planilla_General_07-12-2012_8_3'!H1569,"AAAAAF7X/Sg=")</f>
        <v>#VALUE!</v>
      </c>
      <c r="AP105" t="e">
        <f>AND('Planilla_General_07-12-2012_8_3'!I1569,"AAAAAF7X/Sk=")</f>
        <v>#VALUE!</v>
      </c>
      <c r="AQ105" t="e">
        <f>AND('Planilla_General_07-12-2012_8_3'!J1569,"AAAAAF7X/So=")</f>
        <v>#VALUE!</v>
      </c>
      <c r="AR105" t="e">
        <f>AND('Planilla_General_07-12-2012_8_3'!K1569,"AAAAAF7X/Ss=")</f>
        <v>#VALUE!</v>
      </c>
      <c r="AS105" t="e">
        <f>AND('Planilla_General_07-12-2012_8_3'!L1569,"AAAAAF7X/Sw=")</f>
        <v>#VALUE!</v>
      </c>
      <c r="AT105" t="e">
        <f>AND('Planilla_General_07-12-2012_8_3'!M1569,"AAAAAF7X/S0=")</f>
        <v>#VALUE!</v>
      </c>
      <c r="AU105" t="e">
        <f>AND('Planilla_General_07-12-2012_8_3'!N1569,"AAAAAF7X/S4=")</f>
        <v>#VALUE!</v>
      </c>
      <c r="AV105" t="e">
        <f>AND('Planilla_General_07-12-2012_8_3'!O1569,"AAAAAF7X/S8=")</f>
        <v>#VALUE!</v>
      </c>
      <c r="AW105" t="e">
        <f>AND('Planilla_General_07-12-2012_8_3'!P1569,"AAAAAF7X/TA=")</f>
        <v>#VALUE!</v>
      </c>
      <c r="AX105">
        <f>IF('Planilla_General_07-12-2012_8_3'!1570:1570,"AAAAAF7X/TE=",0)</f>
        <v>0</v>
      </c>
      <c r="AY105" t="e">
        <f>AND('Planilla_General_07-12-2012_8_3'!A1570,"AAAAAF7X/TI=")</f>
        <v>#VALUE!</v>
      </c>
      <c r="AZ105" t="e">
        <f>AND('Planilla_General_07-12-2012_8_3'!B1570,"AAAAAF7X/TM=")</f>
        <v>#VALUE!</v>
      </c>
      <c r="BA105" t="e">
        <f>AND('Planilla_General_07-12-2012_8_3'!C1570,"AAAAAF7X/TQ=")</f>
        <v>#VALUE!</v>
      </c>
      <c r="BB105" t="e">
        <f>AND('Planilla_General_07-12-2012_8_3'!D1570,"AAAAAF7X/TU=")</f>
        <v>#VALUE!</v>
      </c>
      <c r="BC105" t="e">
        <f>AND('Planilla_General_07-12-2012_8_3'!E1570,"AAAAAF7X/TY=")</f>
        <v>#VALUE!</v>
      </c>
      <c r="BD105" t="e">
        <f>AND('Planilla_General_07-12-2012_8_3'!F1570,"AAAAAF7X/Tc=")</f>
        <v>#VALUE!</v>
      </c>
      <c r="BE105" t="e">
        <f>AND('Planilla_General_07-12-2012_8_3'!G1570,"AAAAAF7X/Tg=")</f>
        <v>#VALUE!</v>
      </c>
      <c r="BF105" t="e">
        <f>AND('Planilla_General_07-12-2012_8_3'!H1570,"AAAAAF7X/Tk=")</f>
        <v>#VALUE!</v>
      </c>
      <c r="BG105" t="e">
        <f>AND('Planilla_General_07-12-2012_8_3'!I1570,"AAAAAF7X/To=")</f>
        <v>#VALUE!</v>
      </c>
      <c r="BH105" t="e">
        <f>AND('Planilla_General_07-12-2012_8_3'!J1570,"AAAAAF7X/Ts=")</f>
        <v>#VALUE!</v>
      </c>
      <c r="BI105" t="e">
        <f>AND('Planilla_General_07-12-2012_8_3'!K1570,"AAAAAF7X/Tw=")</f>
        <v>#VALUE!</v>
      </c>
      <c r="BJ105" t="e">
        <f>AND('Planilla_General_07-12-2012_8_3'!L1570,"AAAAAF7X/T0=")</f>
        <v>#VALUE!</v>
      </c>
      <c r="BK105" t="e">
        <f>AND('Planilla_General_07-12-2012_8_3'!M1570,"AAAAAF7X/T4=")</f>
        <v>#VALUE!</v>
      </c>
      <c r="BL105" t="e">
        <f>AND('Planilla_General_07-12-2012_8_3'!N1570,"AAAAAF7X/T8=")</f>
        <v>#VALUE!</v>
      </c>
      <c r="BM105" t="e">
        <f>AND('Planilla_General_07-12-2012_8_3'!O1570,"AAAAAF7X/UA=")</f>
        <v>#VALUE!</v>
      </c>
      <c r="BN105" t="e">
        <f>AND('Planilla_General_07-12-2012_8_3'!P1570,"AAAAAF7X/UE=")</f>
        <v>#VALUE!</v>
      </c>
      <c r="BO105">
        <f>IF('Planilla_General_07-12-2012_8_3'!1571:1571,"AAAAAF7X/UI=",0)</f>
        <v>0</v>
      </c>
      <c r="BP105" t="e">
        <f>AND('Planilla_General_07-12-2012_8_3'!A1571,"AAAAAF7X/UM=")</f>
        <v>#VALUE!</v>
      </c>
      <c r="BQ105" t="e">
        <f>AND('Planilla_General_07-12-2012_8_3'!B1571,"AAAAAF7X/UQ=")</f>
        <v>#VALUE!</v>
      </c>
      <c r="BR105" t="e">
        <f>AND('Planilla_General_07-12-2012_8_3'!C1571,"AAAAAF7X/UU=")</f>
        <v>#VALUE!</v>
      </c>
      <c r="BS105" t="e">
        <f>AND('Planilla_General_07-12-2012_8_3'!D1571,"AAAAAF7X/UY=")</f>
        <v>#VALUE!</v>
      </c>
      <c r="BT105" t="e">
        <f>AND('Planilla_General_07-12-2012_8_3'!E1571,"AAAAAF7X/Uc=")</f>
        <v>#VALUE!</v>
      </c>
      <c r="BU105" t="e">
        <f>AND('Planilla_General_07-12-2012_8_3'!F1571,"AAAAAF7X/Ug=")</f>
        <v>#VALUE!</v>
      </c>
      <c r="BV105" t="e">
        <f>AND('Planilla_General_07-12-2012_8_3'!G1571,"AAAAAF7X/Uk=")</f>
        <v>#VALUE!</v>
      </c>
      <c r="BW105" t="e">
        <f>AND('Planilla_General_07-12-2012_8_3'!H1571,"AAAAAF7X/Uo=")</f>
        <v>#VALUE!</v>
      </c>
      <c r="BX105" t="e">
        <f>AND('Planilla_General_07-12-2012_8_3'!I1571,"AAAAAF7X/Us=")</f>
        <v>#VALUE!</v>
      </c>
      <c r="BY105" t="e">
        <f>AND('Planilla_General_07-12-2012_8_3'!J1571,"AAAAAF7X/Uw=")</f>
        <v>#VALUE!</v>
      </c>
      <c r="BZ105" t="e">
        <f>AND('Planilla_General_07-12-2012_8_3'!K1571,"AAAAAF7X/U0=")</f>
        <v>#VALUE!</v>
      </c>
      <c r="CA105" t="e">
        <f>AND('Planilla_General_07-12-2012_8_3'!L1571,"AAAAAF7X/U4=")</f>
        <v>#VALUE!</v>
      </c>
      <c r="CB105" t="e">
        <f>AND('Planilla_General_07-12-2012_8_3'!M1571,"AAAAAF7X/U8=")</f>
        <v>#VALUE!</v>
      </c>
      <c r="CC105" t="e">
        <f>AND('Planilla_General_07-12-2012_8_3'!N1571,"AAAAAF7X/VA=")</f>
        <v>#VALUE!</v>
      </c>
      <c r="CD105" t="e">
        <f>AND('Planilla_General_07-12-2012_8_3'!O1571,"AAAAAF7X/VE=")</f>
        <v>#VALUE!</v>
      </c>
      <c r="CE105" t="e">
        <f>AND('Planilla_General_07-12-2012_8_3'!P1571,"AAAAAF7X/VI=")</f>
        <v>#VALUE!</v>
      </c>
      <c r="CF105">
        <f>IF('Planilla_General_07-12-2012_8_3'!1572:1572,"AAAAAF7X/VM=",0)</f>
        <v>0</v>
      </c>
      <c r="CG105" t="e">
        <f>AND('Planilla_General_07-12-2012_8_3'!A1572,"AAAAAF7X/VQ=")</f>
        <v>#VALUE!</v>
      </c>
      <c r="CH105" t="e">
        <f>AND('Planilla_General_07-12-2012_8_3'!B1572,"AAAAAF7X/VU=")</f>
        <v>#VALUE!</v>
      </c>
      <c r="CI105" t="e">
        <f>AND('Planilla_General_07-12-2012_8_3'!C1572,"AAAAAF7X/VY=")</f>
        <v>#VALUE!</v>
      </c>
      <c r="CJ105" t="e">
        <f>AND('Planilla_General_07-12-2012_8_3'!D1572,"AAAAAF7X/Vc=")</f>
        <v>#VALUE!</v>
      </c>
      <c r="CK105" t="e">
        <f>AND('Planilla_General_07-12-2012_8_3'!E1572,"AAAAAF7X/Vg=")</f>
        <v>#VALUE!</v>
      </c>
      <c r="CL105" t="e">
        <f>AND('Planilla_General_07-12-2012_8_3'!F1572,"AAAAAF7X/Vk=")</f>
        <v>#VALUE!</v>
      </c>
      <c r="CM105" t="e">
        <f>AND('Planilla_General_07-12-2012_8_3'!G1572,"AAAAAF7X/Vo=")</f>
        <v>#VALUE!</v>
      </c>
      <c r="CN105" t="e">
        <f>AND('Planilla_General_07-12-2012_8_3'!H1572,"AAAAAF7X/Vs=")</f>
        <v>#VALUE!</v>
      </c>
      <c r="CO105" t="e">
        <f>AND('Planilla_General_07-12-2012_8_3'!I1572,"AAAAAF7X/Vw=")</f>
        <v>#VALUE!</v>
      </c>
      <c r="CP105" t="e">
        <f>AND('Planilla_General_07-12-2012_8_3'!J1572,"AAAAAF7X/V0=")</f>
        <v>#VALUE!</v>
      </c>
      <c r="CQ105" t="e">
        <f>AND('Planilla_General_07-12-2012_8_3'!K1572,"AAAAAF7X/V4=")</f>
        <v>#VALUE!</v>
      </c>
      <c r="CR105" t="e">
        <f>AND('Planilla_General_07-12-2012_8_3'!L1572,"AAAAAF7X/V8=")</f>
        <v>#VALUE!</v>
      </c>
      <c r="CS105" t="e">
        <f>AND('Planilla_General_07-12-2012_8_3'!M1572,"AAAAAF7X/WA=")</f>
        <v>#VALUE!</v>
      </c>
      <c r="CT105" t="e">
        <f>AND('Planilla_General_07-12-2012_8_3'!N1572,"AAAAAF7X/WE=")</f>
        <v>#VALUE!</v>
      </c>
      <c r="CU105" t="e">
        <f>AND('Planilla_General_07-12-2012_8_3'!O1572,"AAAAAF7X/WI=")</f>
        <v>#VALUE!</v>
      </c>
      <c r="CV105" t="e">
        <f>AND('Planilla_General_07-12-2012_8_3'!P1572,"AAAAAF7X/WM=")</f>
        <v>#VALUE!</v>
      </c>
      <c r="CW105">
        <f>IF('Planilla_General_07-12-2012_8_3'!1573:1573,"AAAAAF7X/WQ=",0)</f>
        <v>0</v>
      </c>
      <c r="CX105" t="e">
        <f>AND('Planilla_General_07-12-2012_8_3'!A1573,"AAAAAF7X/WU=")</f>
        <v>#VALUE!</v>
      </c>
      <c r="CY105" t="e">
        <f>AND('Planilla_General_07-12-2012_8_3'!B1573,"AAAAAF7X/WY=")</f>
        <v>#VALUE!</v>
      </c>
      <c r="CZ105" t="e">
        <f>AND('Planilla_General_07-12-2012_8_3'!C1573,"AAAAAF7X/Wc=")</f>
        <v>#VALUE!</v>
      </c>
      <c r="DA105" t="e">
        <f>AND('Planilla_General_07-12-2012_8_3'!D1573,"AAAAAF7X/Wg=")</f>
        <v>#VALUE!</v>
      </c>
      <c r="DB105" t="e">
        <f>AND('Planilla_General_07-12-2012_8_3'!E1573,"AAAAAF7X/Wk=")</f>
        <v>#VALUE!</v>
      </c>
      <c r="DC105" t="e">
        <f>AND('Planilla_General_07-12-2012_8_3'!F1573,"AAAAAF7X/Wo=")</f>
        <v>#VALUE!</v>
      </c>
      <c r="DD105" t="e">
        <f>AND('Planilla_General_07-12-2012_8_3'!G1573,"AAAAAF7X/Ws=")</f>
        <v>#VALUE!</v>
      </c>
      <c r="DE105" t="e">
        <f>AND('Planilla_General_07-12-2012_8_3'!H1573,"AAAAAF7X/Ww=")</f>
        <v>#VALUE!</v>
      </c>
      <c r="DF105" t="e">
        <f>AND('Planilla_General_07-12-2012_8_3'!I1573,"AAAAAF7X/W0=")</f>
        <v>#VALUE!</v>
      </c>
      <c r="DG105" t="e">
        <f>AND('Planilla_General_07-12-2012_8_3'!J1573,"AAAAAF7X/W4=")</f>
        <v>#VALUE!</v>
      </c>
      <c r="DH105" t="e">
        <f>AND('Planilla_General_07-12-2012_8_3'!K1573,"AAAAAF7X/W8=")</f>
        <v>#VALUE!</v>
      </c>
      <c r="DI105" t="e">
        <f>AND('Planilla_General_07-12-2012_8_3'!L1573,"AAAAAF7X/XA=")</f>
        <v>#VALUE!</v>
      </c>
      <c r="DJ105" t="e">
        <f>AND('Planilla_General_07-12-2012_8_3'!M1573,"AAAAAF7X/XE=")</f>
        <v>#VALUE!</v>
      </c>
      <c r="DK105" t="e">
        <f>AND('Planilla_General_07-12-2012_8_3'!N1573,"AAAAAF7X/XI=")</f>
        <v>#VALUE!</v>
      </c>
      <c r="DL105" t="e">
        <f>AND('Planilla_General_07-12-2012_8_3'!O1573,"AAAAAF7X/XM=")</f>
        <v>#VALUE!</v>
      </c>
      <c r="DM105" t="e">
        <f>AND('Planilla_General_07-12-2012_8_3'!P1573,"AAAAAF7X/XQ=")</f>
        <v>#VALUE!</v>
      </c>
      <c r="DN105">
        <f>IF('Planilla_General_07-12-2012_8_3'!1574:1574,"AAAAAF7X/XU=",0)</f>
        <v>0</v>
      </c>
      <c r="DO105" t="e">
        <f>AND('Planilla_General_07-12-2012_8_3'!A1574,"AAAAAF7X/XY=")</f>
        <v>#VALUE!</v>
      </c>
      <c r="DP105" t="e">
        <f>AND('Planilla_General_07-12-2012_8_3'!B1574,"AAAAAF7X/Xc=")</f>
        <v>#VALUE!</v>
      </c>
      <c r="DQ105" t="e">
        <f>AND('Planilla_General_07-12-2012_8_3'!C1574,"AAAAAF7X/Xg=")</f>
        <v>#VALUE!</v>
      </c>
      <c r="DR105" t="e">
        <f>AND('Planilla_General_07-12-2012_8_3'!D1574,"AAAAAF7X/Xk=")</f>
        <v>#VALUE!</v>
      </c>
      <c r="DS105" t="e">
        <f>AND('Planilla_General_07-12-2012_8_3'!E1574,"AAAAAF7X/Xo=")</f>
        <v>#VALUE!</v>
      </c>
      <c r="DT105" t="e">
        <f>AND('Planilla_General_07-12-2012_8_3'!F1574,"AAAAAF7X/Xs=")</f>
        <v>#VALUE!</v>
      </c>
      <c r="DU105" t="e">
        <f>AND('Planilla_General_07-12-2012_8_3'!G1574,"AAAAAF7X/Xw=")</f>
        <v>#VALUE!</v>
      </c>
      <c r="DV105" t="e">
        <f>AND('Planilla_General_07-12-2012_8_3'!H1574,"AAAAAF7X/X0=")</f>
        <v>#VALUE!</v>
      </c>
      <c r="DW105" t="e">
        <f>AND('Planilla_General_07-12-2012_8_3'!I1574,"AAAAAF7X/X4=")</f>
        <v>#VALUE!</v>
      </c>
      <c r="DX105" t="e">
        <f>AND('Planilla_General_07-12-2012_8_3'!J1574,"AAAAAF7X/X8=")</f>
        <v>#VALUE!</v>
      </c>
      <c r="DY105" t="e">
        <f>AND('Planilla_General_07-12-2012_8_3'!K1574,"AAAAAF7X/YA=")</f>
        <v>#VALUE!</v>
      </c>
      <c r="DZ105" t="e">
        <f>AND('Planilla_General_07-12-2012_8_3'!L1574,"AAAAAF7X/YE=")</f>
        <v>#VALUE!</v>
      </c>
      <c r="EA105" t="e">
        <f>AND('Planilla_General_07-12-2012_8_3'!M1574,"AAAAAF7X/YI=")</f>
        <v>#VALUE!</v>
      </c>
      <c r="EB105" t="e">
        <f>AND('Planilla_General_07-12-2012_8_3'!N1574,"AAAAAF7X/YM=")</f>
        <v>#VALUE!</v>
      </c>
      <c r="EC105" t="e">
        <f>AND('Planilla_General_07-12-2012_8_3'!O1574,"AAAAAF7X/YQ=")</f>
        <v>#VALUE!</v>
      </c>
      <c r="ED105" t="e">
        <f>AND('Planilla_General_07-12-2012_8_3'!P1574,"AAAAAF7X/YU=")</f>
        <v>#VALUE!</v>
      </c>
      <c r="EE105">
        <f>IF('Planilla_General_07-12-2012_8_3'!1575:1575,"AAAAAF7X/YY=",0)</f>
        <v>0</v>
      </c>
      <c r="EF105" t="e">
        <f>AND('Planilla_General_07-12-2012_8_3'!A1575,"AAAAAF7X/Yc=")</f>
        <v>#VALUE!</v>
      </c>
      <c r="EG105" t="e">
        <f>AND('Planilla_General_07-12-2012_8_3'!B1575,"AAAAAF7X/Yg=")</f>
        <v>#VALUE!</v>
      </c>
      <c r="EH105" t="e">
        <f>AND('Planilla_General_07-12-2012_8_3'!C1575,"AAAAAF7X/Yk=")</f>
        <v>#VALUE!</v>
      </c>
      <c r="EI105" t="e">
        <f>AND('Planilla_General_07-12-2012_8_3'!D1575,"AAAAAF7X/Yo=")</f>
        <v>#VALUE!</v>
      </c>
      <c r="EJ105" t="e">
        <f>AND('Planilla_General_07-12-2012_8_3'!E1575,"AAAAAF7X/Ys=")</f>
        <v>#VALUE!</v>
      </c>
      <c r="EK105" t="e">
        <f>AND('Planilla_General_07-12-2012_8_3'!F1575,"AAAAAF7X/Yw=")</f>
        <v>#VALUE!</v>
      </c>
      <c r="EL105" t="e">
        <f>AND('Planilla_General_07-12-2012_8_3'!G1575,"AAAAAF7X/Y0=")</f>
        <v>#VALUE!</v>
      </c>
      <c r="EM105" t="e">
        <f>AND('Planilla_General_07-12-2012_8_3'!H1575,"AAAAAF7X/Y4=")</f>
        <v>#VALUE!</v>
      </c>
      <c r="EN105" t="e">
        <f>AND('Planilla_General_07-12-2012_8_3'!I1575,"AAAAAF7X/Y8=")</f>
        <v>#VALUE!</v>
      </c>
      <c r="EO105" t="e">
        <f>AND('Planilla_General_07-12-2012_8_3'!J1575,"AAAAAF7X/ZA=")</f>
        <v>#VALUE!</v>
      </c>
      <c r="EP105" t="e">
        <f>AND('Planilla_General_07-12-2012_8_3'!K1575,"AAAAAF7X/ZE=")</f>
        <v>#VALUE!</v>
      </c>
      <c r="EQ105" t="e">
        <f>AND('Planilla_General_07-12-2012_8_3'!L1575,"AAAAAF7X/ZI=")</f>
        <v>#VALUE!</v>
      </c>
      <c r="ER105" t="e">
        <f>AND('Planilla_General_07-12-2012_8_3'!M1575,"AAAAAF7X/ZM=")</f>
        <v>#VALUE!</v>
      </c>
      <c r="ES105" t="e">
        <f>AND('Planilla_General_07-12-2012_8_3'!N1575,"AAAAAF7X/ZQ=")</f>
        <v>#VALUE!</v>
      </c>
      <c r="ET105" t="e">
        <f>AND('Planilla_General_07-12-2012_8_3'!O1575,"AAAAAF7X/ZU=")</f>
        <v>#VALUE!</v>
      </c>
      <c r="EU105" t="e">
        <f>AND('Planilla_General_07-12-2012_8_3'!P1575,"AAAAAF7X/ZY=")</f>
        <v>#VALUE!</v>
      </c>
      <c r="EV105">
        <f>IF('Planilla_General_07-12-2012_8_3'!1576:1576,"AAAAAF7X/Zc=",0)</f>
        <v>0</v>
      </c>
      <c r="EW105" t="e">
        <f>AND('Planilla_General_07-12-2012_8_3'!A1576,"AAAAAF7X/Zg=")</f>
        <v>#VALUE!</v>
      </c>
      <c r="EX105" t="e">
        <f>AND('Planilla_General_07-12-2012_8_3'!B1576,"AAAAAF7X/Zk=")</f>
        <v>#VALUE!</v>
      </c>
      <c r="EY105" t="e">
        <f>AND('Planilla_General_07-12-2012_8_3'!C1576,"AAAAAF7X/Zo=")</f>
        <v>#VALUE!</v>
      </c>
      <c r="EZ105" t="e">
        <f>AND('Planilla_General_07-12-2012_8_3'!D1576,"AAAAAF7X/Zs=")</f>
        <v>#VALUE!</v>
      </c>
      <c r="FA105" t="e">
        <f>AND('Planilla_General_07-12-2012_8_3'!E1576,"AAAAAF7X/Zw=")</f>
        <v>#VALUE!</v>
      </c>
      <c r="FB105" t="e">
        <f>AND('Planilla_General_07-12-2012_8_3'!F1576,"AAAAAF7X/Z0=")</f>
        <v>#VALUE!</v>
      </c>
      <c r="FC105" t="e">
        <f>AND('Planilla_General_07-12-2012_8_3'!G1576,"AAAAAF7X/Z4=")</f>
        <v>#VALUE!</v>
      </c>
      <c r="FD105" t="e">
        <f>AND('Planilla_General_07-12-2012_8_3'!H1576,"AAAAAF7X/Z8=")</f>
        <v>#VALUE!</v>
      </c>
      <c r="FE105" t="e">
        <f>AND('Planilla_General_07-12-2012_8_3'!I1576,"AAAAAF7X/aA=")</f>
        <v>#VALUE!</v>
      </c>
      <c r="FF105" t="e">
        <f>AND('Planilla_General_07-12-2012_8_3'!J1576,"AAAAAF7X/aE=")</f>
        <v>#VALUE!</v>
      </c>
      <c r="FG105" t="e">
        <f>AND('Planilla_General_07-12-2012_8_3'!K1576,"AAAAAF7X/aI=")</f>
        <v>#VALUE!</v>
      </c>
      <c r="FH105" t="e">
        <f>AND('Planilla_General_07-12-2012_8_3'!L1576,"AAAAAF7X/aM=")</f>
        <v>#VALUE!</v>
      </c>
      <c r="FI105" t="e">
        <f>AND('Planilla_General_07-12-2012_8_3'!M1576,"AAAAAF7X/aQ=")</f>
        <v>#VALUE!</v>
      </c>
      <c r="FJ105" t="e">
        <f>AND('Planilla_General_07-12-2012_8_3'!N1576,"AAAAAF7X/aU=")</f>
        <v>#VALUE!</v>
      </c>
      <c r="FK105" t="e">
        <f>AND('Planilla_General_07-12-2012_8_3'!O1576,"AAAAAF7X/aY=")</f>
        <v>#VALUE!</v>
      </c>
      <c r="FL105" t="e">
        <f>AND('Planilla_General_07-12-2012_8_3'!P1576,"AAAAAF7X/ac=")</f>
        <v>#VALUE!</v>
      </c>
      <c r="FM105">
        <f>IF('Planilla_General_07-12-2012_8_3'!1577:1577,"AAAAAF7X/ag=",0)</f>
        <v>0</v>
      </c>
      <c r="FN105" t="e">
        <f>AND('Planilla_General_07-12-2012_8_3'!A1577,"AAAAAF7X/ak=")</f>
        <v>#VALUE!</v>
      </c>
      <c r="FO105" t="e">
        <f>AND('Planilla_General_07-12-2012_8_3'!B1577,"AAAAAF7X/ao=")</f>
        <v>#VALUE!</v>
      </c>
      <c r="FP105" t="e">
        <f>AND('Planilla_General_07-12-2012_8_3'!C1577,"AAAAAF7X/as=")</f>
        <v>#VALUE!</v>
      </c>
      <c r="FQ105" t="e">
        <f>AND('Planilla_General_07-12-2012_8_3'!D1577,"AAAAAF7X/aw=")</f>
        <v>#VALUE!</v>
      </c>
      <c r="FR105" t="e">
        <f>AND('Planilla_General_07-12-2012_8_3'!E1577,"AAAAAF7X/a0=")</f>
        <v>#VALUE!</v>
      </c>
      <c r="FS105" t="e">
        <f>AND('Planilla_General_07-12-2012_8_3'!F1577,"AAAAAF7X/a4=")</f>
        <v>#VALUE!</v>
      </c>
      <c r="FT105" t="e">
        <f>AND('Planilla_General_07-12-2012_8_3'!G1577,"AAAAAF7X/a8=")</f>
        <v>#VALUE!</v>
      </c>
      <c r="FU105" t="e">
        <f>AND('Planilla_General_07-12-2012_8_3'!H1577,"AAAAAF7X/bA=")</f>
        <v>#VALUE!</v>
      </c>
      <c r="FV105" t="e">
        <f>AND('Planilla_General_07-12-2012_8_3'!I1577,"AAAAAF7X/bE=")</f>
        <v>#VALUE!</v>
      </c>
      <c r="FW105" t="e">
        <f>AND('Planilla_General_07-12-2012_8_3'!J1577,"AAAAAF7X/bI=")</f>
        <v>#VALUE!</v>
      </c>
      <c r="FX105" t="e">
        <f>AND('Planilla_General_07-12-2012_8_3'!K1577,"AAAAAF7X/bM=")</f>
        <v>#VALUE!</v>
      </c>
      <c r="FY105" t="e">
        <f>AND('Planilla_General_07-12-2012_8_3'!L1577,"AAAAAF7X/bQ=")</f>
        <v>#VALUE!</v>
      </c>
      <c r="FZ105" t="e">
        <f>AND('Planilla_General_07-12-2012_8_3'!M1577,"AAAAAF7X/bU=")</f>
        <v>#VALUE!</v>
      </c>
      <c r="GA105" t="e">
        <f>AND('Planilla_General_07-12-2012_8_3'!N1577,"AAAAAF7X/bY=")</f>
        <v>#VALUE!</v>
      </c>
      <c r="GB105" t="e">
        <f>AND('Planilla_General_07-12-2012_8_3'!O1577,"AAAAAF7X/bc=")</f>
        <v>#VALUE!</v>
      </c>
      <c r="GC105" t="e">
        <f>AND('Planilla_General_07-12-2012_8_3'!P1577,"AAAAAF7X/bg=")</f>
        <v>#VALUE!</v>
      </c>
      <c r="GD105">
        <f>IF('Planilla_General_07-12-2012_8_3'!1578:1578,"AAAAAF7X/bk=",0)</f>
        <v>0</v>
      </c>
      <c r="GE105" t="e">
        <f>AND('Planilla_General_07-12-2012_8_3'!A1578,"AAAAAF7X/bo=")</f>
        <v>#VALUE!</v>
      </c>
      <c r="GF105" t="e">
        <f>AND('Planilla_General_07-12-2012_8_3'!B1578,"AAAAAF7X/bs=")</f>
        <v>#VALUE!</v>
      </c>
      <c r="GG105" t="e">
        <f>AND('Planilla_General_07-12-2012_8_3'!C1578,"AAAAAF7X/bw=")</f>
        <v>#VALUE!</v>
      </c>
      <c r="GH105" t="e">
        <f>AND('Planilla_General_07-12-2012_8_3'!D1578,"AAAAAF7X/b0=")</f>
        <v>#VALUE!</v>
      </c>
      <c r="GI105" t="e">
        <f>AND('Planilla_General_07-12-2012_8_3'!E1578,"AAAAAF7X/b4=")</f>
        <v>#VALUE!</v>
      </c>
      <c r="GJ105" t="e">
        <f>AND('Planilla_General_07-12-2012_8_3'!F1578,"AAAAAF7X/b8=")</f>
        <v>#VALUE!</v>
      </c>
      <c r="GK105" t="e">
        <f>AND('Planilla_General_07-12-2012_8_3'!G1578,"AAAAAF7X/cA=")</f>
        <v>#VALUE!</v>
      </c>
      <c r="GL105" t="e">
        <f>AND('Planilla_General_07-12-2012_8_3'!H1578,"AAAAAF7X/cE=")</f>
        <v>#VALUE!</v>
      </c>
      <c r="GM105" t="e">
        <f>AND('Planilla_General_07-12-2012_8_3'!I1578,"AAAAAF7X/cI=")</f>
        <v>#VALUE!</v>
      </c>
      <c r="GN105" t="e">
        <f>AND('Planilla_General_07-12-2012_8_3'!J1578,"AAAAAF7X/cM=")</f>
        <v>#VALUE!</v>
      </c>
      <c r="GO105" t="e">
        <f>AND('Planilla_General_07-12-2012_8_3'!K1578,"AAAAAF7X/cQ=")</f>
        <v>#VALUE!</v>
      </c>
      <c r="GP105" t="e">
        <f>AND('Planilla_General_07-12-2012_8_3'!L1578,"AAAAAF7X/cU=")</f>
        <v>#VALUE!</v>
      </c>
      <c r="GQ105" t="e">
        <f>AND('Planilla_General_07-12-2012_8_3'!M1578,"AAAAAF7X/cY=")</f>
        <v>#VALUE!</v>
      </c>
      <c r="GR105" t="e">
        <f>AND('Planilla_General_07-12-2012_8_3'!N1578,"AAAAAF7X/cc=")</f>
        <v>#VALUE!</v>
      </c>
      <c r="GS105" t="e">
        <f>AND('Planilla_General_07-12-2012_8_3'!O1578,"AAAAAF7X/cg=")</f>
        <v>#VALUE!</v>
      </c>
      <c r="GT105" t="e">
        <f>AND('Planilla_General_07-12-2012_8_3'!P1578,"AAAAAF7X/ck=")</f>
        <v>#VALUE!</v>
      </c>
      <c r="GU105">
        <f>IF('Planilla_General_07-12-2012_8_3'!1579:1579,"AAAAAF7X/co=",0)</f>
        <v>0</v>
      </c>
      <c r="GV105" t="e">
        <f>AND('Planilla_General_07-12-2012_8_3'!A1579,"AAAAAF7X/cs=")</f>
        <v>#VALUE!</v>
      </c>
      <c r="GW105" t="e">
        <f>AND('Planilla_General_07-12-2012_8_3'!B1579,"AAAAAF7X/cw=")</f>
        <v>#VALUE!</v>
      </c>
      <c r="GX105" t="e">
        <f>AND('Planilla_General_07-12-2012_8_3'!C1579,"AAAAAF7X/c0=")</f>
        <v>#VALUE!</v>
      </c>
      <c r="GY105" t="e">
        <f>AND('Planilla_General_07-12-2012_8_3'!D1579,"AAAAAF7X/c4=")</f>
        <v>#VALUE!</v>
      </c>
      <c r="GZ105" t="e">
        <f>AND('Planilla_General_07-12-2012_8_3'!E1579,"AAAAAF7X/c8=")</f>
        <v>#VALUE!</v>
      </c>
      <c r="HA105" t="e">
        <f>AND('Planilla_General_07-12-2012_8_3'!F1579,"AAAAAF7X/dA=")</f>
        <v>#VALUE!</v>
      </c>
      <c r="HB105" t="e">
        <f>AND('Planilla_General_07-12-2012_8_3'!G1579,"AAAAAF7X/dE=")</f>
        <v>#VALUE!</v>
      </c>
      <c r="HC105" t="e">
        <f>AND('Planilla_General_07-12-2012_8_3'!H1579,"AAAAAF7X/dI=")</f>
        <v>#VALUE!</v>
      </c>
      <c r="HD105" t="e">
        <f>AND('Planilla_General_07-12-2012_8_3'!I1579,"AAAAAF7X/dM=")</f>
        <v>#VALUE!</v>
      </c>
      <c r="HE105" t="e">
        <f>AND('Planilla_General_07-12-2012_8_3'!J1579,"AAAAAF7X/dQ=")</f>
        <v>#VALUE!</v>
      </c>
      <c r="HF105" t="e">
        <f>AND('Planilla_General_07-12-2012_8_3'!K1579,"AAAAAF7X/dU=")</f>
        <v>#VALUE!</v>
      </c>
      <c r="HG105" t="e">
        <f>AND('Planilla_General_07-12-2012_8_3'!L1579,"AAAAAF7X/dY=")</f>
        <v>#VALUE!</v>
      </c>
      <c r="HH105" t="e">
        <f>AND('Planilla_General_07-12-2012_8_3'!M1579,"AAAAAF7X/dc=")</f>
        <v>#VALUE!</v>
      </c>
      <c r="HI105" t="e">
        <f>AND('Planilla_General_07-12-2012_8_3'!N1579,"AAAAAF7X/dg=")</f>
        <v>#VALUE!</v>
      </c>
      <c r="HJ105" t="e">
        <f>AND('Planilla_General_07-12-2012_8_3'!O1579,"AAAAAF7X/dk=")</f>
        <v>#VALUE!</v>
      </c>
      <c r="HK105" t="e">
        <f>AND('Planilla_General_07-12-2012_8_3'!P1579,"AAAAAF7X/do=")</f>
        <v>#VALUE!</v>
      </c>
      <c r="HL105">
        <f>IF('Planilla_General_07-12-2012_8_3'!1580:1580,"AAAAAF7X/ds=",0)</f>
        <v>0</v>
      </c>
      <c r="HM105" t="e">
        <f>AND('Planilla_General_07-12-2012_8_3'!A1580,"AAAAAF7X/dw=")</f>
        <v>#VALUE!</v>
      </c>
      <c r="HN105" t="e">
        <f>AND('Planilla_General_07-12-2012_8_3'!B1580,"AAAAAF7X/d0=")</f>
        <v>#VALUE!</v>
      </c>
      <c r="HO105" t="e">
        <f>AND('Planilla_General_07-12-2012_8_3'!C1580,"AAAAAF7X/d4=")</f>
        <v>#VALUE!</v>
      </c>
      <c r="HP105" t="e">
        <f>AND('Planilla_General_07-12-2012_8_3'!D1580,"AAAAAF7X/d8=")</f>
        <v>#VALUE!</v>
      </c>
      <c r="HQ105" t="e">
        <f>AND('Planilla_General_07-12-2012_8_3'!E1580,"AAAAAF7X/eA=")</f>
        <v>#VALUE!</v>
      </c>
      <c r="HR105" t="e">
        <f>AND('Planilla_General_07-12-2012_8_3'!F1580,"AAAAAF7X/eE=")</f>
        <v>#VALUE!</v>
      </c>
      <c r="HS105" t="e">
        <f>AND('Planilla_General_07-12-2012_8_3'!G1580,"AAAAAF7X/eI=")</f>
        <v>#VALUE!</v>
      </c>
      <c r="HT105" t="e">
        <f>AND('Planilla_General_07-12-2012_8_3'!H1580,"AAAAAF7X/eM=")</f>
        <v>#VALUE!</v>
      </c>
      <c r="HU105" t="e">
        <f>AND('Planilla_General_07-12-2012_8_3'!I1580,"AAAAAF7X/eQ=")</f>
        <v>#VALUE!</v>
      </c>
      <c r="HV105" t="e">
        <f>AND('Planilla_General_07-12-2012_8_3'!J1580,"AAAAAF7X/eU=")</f>
        <v>#VALUE!</v>
      </c>
      <c r="HW105" t="e">
        <f>AND('Planilla_General_07-12-2012_8_3'!K1580,"AAAAAF7X/eY=")</f>
        <v>#VALUE!</v>
      </c>
      <c r="HX105" t="e">
        <f>AND('Planilla_General_07-12-2012_8_3'!L1580,"AAAAAF7X/ec=")</f>
        <v>#VALUE!</v>
      </c>
      <c r="HY105" t="e">
        <f>AND('Planilla_General_07-12-2012_8_3'!M1580,"AAAAAF7X/eg=")</f>
        <v>#VALUE!</v>
      </c>
      <c r="HZ105" t="e">
        <f>AND('Planilla_General_07-12-2012_8_3'!N1580,"AAAAAF7X/ek=")</f>
        <v>#VALUE!</v>
      </c>
      <c r="IA105" t="e">
        <f>AND('Planilla_General_07-12-2012_8_3'!O1580,"AAAAAF7X/eo=")</f>
        <v>#VALUE!</v>
      </c>
      <c r="IB105" t="e">
        <f>AND('Planilla_General_07-12-2012_8_3'!P1580,"AAAAAF7X/es=")</f>
        <v>#VALUE!</v>
      </c>
      <c r="IC105">
        <f>IF('Planilla_General_07-12-2012_8_3'!1581:1581,"AAAAAF7X/ew=",0)</f>
        <v>0</v>
      </c>
      <c r="ID105" t="e">
        <f>AND('Planilla_General_07-12-2012_8_3'!A1581,"AAAAAF7X/e0=")</f>
        <v>#VALUE!</v>
      </c>
      <c r="IE105" t="e">
        <f>AND('Planilla_General_07-12-2012_8_3'!B1581,"AAAAAF7X/e4=")</f>
        <v>#VALUE!</v>
      </c>
      <c r="IF105" t="e">
        <f>AND('Planilla_General_07-12-2012_8_3'!C1581,"AAAAAF7X/e8=")</f>
        <v>#VALUE!</v>
      </c>
      <c r="IG105" t="e">
        <f>AND('Planilla_General_07-12-2012_8_3'!D1581,"AAAAAF7X/fA=")</f>
        <v>#VALUE!</v>
      </c>
      <c r="IH105" t="e">
        <f>AND('Planilla_General_07-12-2012_8_3'!E1581,"AAAAAF7X/fE=")</f>
        <v>#VALUE!</v>
      </c>
      <c r="II105" t="e">
        <f>AND('Planilla_General_07-12-2012_8_3'!F1581,"AAAAAF7X/fI=")</f>
        <v>#VALUE!</v>
      </c>
      <c r="IJ105" t="e">
        <f>AND('Planilla_General_07-12-2012_8_3'!G1581,"AAAAAF7X/fM=")</f>
        <v>#VALUE!</v>
      </c>
      <c r="IK105" t="e">
        <f>AND('Planilla_General_07-12-2012_8_3'!H1581,"AAAAAF7X/fQ=")</f>
        <v>#VALUE!</v>
      </c>
      <c r="IL105" t="e">
        <f>AND('Planilla_General_07-12-2012_8_3'!I1581,"AAAAAF7X/fU=")</f>
        <v>#VALUE!</v>
      </c>
      <c r="IM105" t="e">
        <f>AND('Planilla_General_07-12-2012_8_3'!J1581,"AAAAAF7X/fY=")</f>
        <v>#VALUE!</v>
      </c>
      <c r="IN105" t="e">
        <f>AND('Planilla_General_07-12-2012_8_3'!K1581,"AAAAAF7X/fc=")</f>
        <v>#VALUE!</v>
      </c>
      <c r="IO105" t="e">
        <f>AND('Planilla_General_07-12-2012_8_3'!L1581,"AAAAAF7X/fg=")</f>
        <v>#VALUE!</v>
      </c>
      <c r="IP105" t="e">
        <f>AND('Planilla_General_07-12-2012_8_3'!M1581,"AAAAAF7X/fk=")</f>
        <v>#VALUE!</v>
      </c>
      <c r="IQ105" t="e">
        <f>AND('Planilla_General_07-12-2012_8_3'!N1581,"AAAAAF7X/fo=")</f>
        <v>#VALUE!</v>
      </c>
      <c r="IR105" t="e">
        <f>AND('Planilla_General_07-12-2012_8_3'!O1581,"AAAAAF7X/fs=")</f>
        <v>#VALUE!</v>
      </c>
      <c r="IS105" t="e">
        <f>AND('Planilla_General_07-12-2012_8_3'!P1581,"AAAAAF7X/fw=")</f>
        <v>#VALUE!</v>
      </c>
      <c r="IT105">
        <f>IF('Planilla_General_07-12-2012_8_3'!1582:1582,"AAAAAF7X/f0=",0)</f>
        <v>0</v>
      </c>
      <c r="IU105" t="e">
        <f>AND('Planilla_General_07-12-2012_8_3'!A1582,"AAAAAF7X/f4=")</f>
        <v>#VALUE!</v>
      </c>
      <c r="IV105" t="e">
        <f>AND('Planilla_General_07-12-2012_8_3'!B1582,"AAAAAF7X/f8=")</f>
        <v>#VALUE!</v>
      </c>
    </row>
    <row r="106" spans="1:256" x14ac:dyDescent="0.25">
      <c r="A106" t="e">
        <f>AND('Planilla_General_07-12-2012_8_3'!C1582,"AAAAAF/cHwA=")</f>
        <v>#VALUE!</v>
      </c>
      <c r="B106" t="e">
        <f>AND('Planilla_General_07-12-2012_8_3'!D1582,"AAAAAF/cHwE=")</f>
        <v>#VALUE!</v>
      </c>
      <c r="C106" t="e">
        <f>AND('Planilla_General_07-12-2012_8_3'!E1582,"AAAAAF/cHwI=")</f>
        <v>#VALUE!</v>
      </c>
      <c r="D106" t="e">
        <f>AND('Planilla_General_07-12-2012_8_3'!F1582,"AAAAAF/cHwM=")</f>
        <v>#VALUE!</v>
      </c>
      <c r="E106" t="e">
        <f>AND('Planilla_General_07-12-2012_8_3'!G1582,"AAAAAF/cHwQ=")</f>
        <v>#VALUE!</v>
      </c>
      <c r="F106" t="e">
        <f>AND('Planilla_General_07-12-2012_8_3'!H1582,"AAAAAF/cHwU=")</f>
        <v>#VALUE!</v>
      </c>
      <c r="G106" t="e">
        <f>AND('Planilla_General_07-12-2012_8_3'!I1582,"AAAAAF/cHwY=")</f>
        <v>#VALUE!</v>
      </c>
      <c r="H106" t="e">
        <f>AND('Planilla_General_07-12-2012_8_3'!J1582,"AAAAAF/cHwc=")</f>
        <v>#VALUE!</v>
      </c>
      <c r="I106" t="e">
        <f>AND('Planilla_General_07-12-2012_8_3'!K1582,"AAAAAF/cHwg=")</f>
        <v>#VALUE!</v>
      </c>
      <c r="J106" t="e">
        <f>AND('Planilla_General_07-12-2012_8_3'!L1582,"AAAAAF/cHwk=")</f>
        <v>#VALUE!</v>
      </c>
      <c r="K106" t="e">
        <f>AND('Planilla_General_07-12-2012_8_3'!M1582,"AAAAAF/cHwo=")</f>
        <v>#VALUE!</v>
      </c>
      <c r="L106" t="e">
        <f>AND('Planilla_General_07-12-2012_8_3'!N1582,"AAAAAF/cHws=")</f>
        <v>#VALUE!</v>
      </c>
      <c r="M106" t="e">
        <f>AND('Planilla_General_07-12-2012_8_3'!O1582,"AAAAAF/cHww=")</f>
        <v>#VALUE!</v>
      </c>
      <c r="N106" t="e">
        <f>AND('Planilla_General_07-12-2012_8_3'!P1582,"AAAAAF/cHw0=")</f>
        <v>#VALUE!</v>
      </c>
      <c r="O106" t="str">
        <f>IF('Planilla_General_07-12-2012_8_3'!1583:1583,"AAAAAF/cHw4=",0)</f>
        <v>AAAAAF/cHw4=</v>
      </c>
      <c r="P106" t="e">
        <f>AND('Planilla_General_07-12-2012_8_3'!A1583,"AAAAAF/cHw8=")</f>
        <v>#VALUE!</v>
      </c>
      <c r="Q106" t="e">
        <f>AND('Planilla_General_07-12-2012_8_3'!B1583,"AAAAAF/cHxA=")</f>
        <v>#VALUE!</v>
      </c>
      <c r="R106" t="e">
        <f>AND('Planilla_General_07-12-2012_8_3'!C1583,"AAAAAF/cHxE=")</f>
        <v>#VALUE!</v>
      </c>
      <c r="S106" t="e">
        <f>AND('Planilla_General_07-12-2012_8_3'!D1583,"AAAAAF/cHxI=")</f>
        <v>#VALUE!</v>
      </c>
      <c r="T106" t="e">
        <f>AND('Planilla_General_07-12-2012_8_3'!E1583,"AAAAAF/cHxM=")</f>
        <v>#VALUE!</v>
      </c>
      <c r="U106" t="e">
        <f>AND('Planilla_General_07-12-2012_8_3'!F1583,"AAAAAF/cHxQ=")</f>
        <v>#VALUE!</v>
      </c>
      <c r="V106" t="e">
        <f>AND('Planilla_General_07-12-2012_8_3'!G1583,"AAAAAF/cHxU=")</f>
        <v>#VALUE!</v>
      </c>
      <c r="W106" t="e">
        <f>AND('Planilla_General_07-12-2012_8_3'!H1583,"AAAAAF/cHxY=")</f>
        <v>#VALUE!</v>
      </c>
      <c r="X106" t="e">
        <f>AND('Planilla_General_07-12-2012_8_3'!I1583,"AAAAAF/cHxc=")</f>
        <v>#VALUE!</v>
      </c>
      <c r="Y106" t="e">
        <f>AND('Planilla_General_07-12-2012_8_3'!J1583,"AAAAAF/cHxg=")</f>
        <v>#VALUE!</v>
      </c>
      <c r="Z106" t="e">
        <f>AND('Planilla_General_07-12-2012_8_3'!K1583,"AAAAAF/cHxk=")</f>
        <v>#VALUE!</v>
      </c>
      <c r="AA106" t="e">
        <f>AND('Planilla_General_07-12-2012_8_3'!L1583,"AAAAAF/cHxo=")</f>
        <v>#VALUE!</v>
      </c>
      <c r="AB106" t="e">
        <f>AND('Planilla_General_07-12-2012_8_3'!M1583,"AAAAAF/cHxs=")</f>
        <v>#VALUE!</v>
      </c>
      <c r="AC106" t="e">
        <f>AND('Planilla_General_07-12-2012_8_3'!N1583,"AAAAAF/cHxw=")</f>
        <v>#VALUE!</v>
      </c>
      <c r="AD106" t="e">
        <f>AND('Planilla_General_07-12-2012_8_3'!O1583,"AAAAAF/cHx0=")</f>
        <v>#VALUE!</v>
      </c>
      <c r="AE106" t="e">
        <f>AND('Planilla_General_07-12-2012_8_3'!P1583,"AAAAAF/cHx4=")</f>
        <v>#VALUE!</v>
      </c>
      <c r="AF106">
        <f>IF('Planilla_General_07-12-2012_8_3'!1584:1584,"AAAAAF/cHx8=",0)</f>
        <v>0</v>
      </c>
      <c r="AG106" t="e">
        <f>AND('Planilla_General_07-12-2012_8_3'!A1584,"AAAAAF/cHyA=")</f>
        <v>#VALUE!</v>
      </c>
      <c r="AH106" t="e">
        <f>AND('Planilla_General_07-12-2012_8_3'!B1584,"AAAAAF/cHyE=")</f>
        <v>#VALUE!</v>
      </c>
      <c r="AI106" t="e">
        <f>AND('Planilla_General_07-12-2012_8_3'!C1584,"AAAAAF/cHyI=")</f>
        <v>#VALUE!</v>
      </c>
      <c r="AJ106" t="e">
        <f>AND('Planilla_General_07-12-2012_8_3'!D1584,"AAAAAF/cHyM=")</f>
        <v>#VALUE!</v>
      </c>
      <c r="AK106" t="e">
        <f>AND('Planilla_General_07-12-2012_8_3'!E1584,"AAAAAF/cHyQ=")</f>
        <v>#VALUE!</v>
      </c>
      <c r="AL106" t="e">
        <f>AND('Planilla_General_07-12-2012_8_3'!F1584,"AAAAAF/cHyU=")</f>
        <v>#VALUE!</v>
      </c>
      <c r="AM106" t="e">
        <f>AND('Planilla_General_07-12-2012_8_3'!G1584,"AAAAAF/cHyY=")</f>
        <v>#VALUE!</v>
      </c>
      <c r="AN106" t="e">
        <f>AND('Planilla_General_07-12-2012_8_3'!H1584,"AAAAAF/cHyc=")</f>
        <v>#VALUE!</v>
      </c>
      <c r="AO106" t="e">
        <f>AND('Planilla_General_07-12-2012_8_3'!I1584,"AAAAAF/cHyg=")</f>
        <v>#VALUE!</v>
      </c>
      <c r="AP106" t="e">
        <f>AND('Planilla_General_07-12-2012_8_3'!J1584,"AAAAAF/cHyk=")</f>
        <v>#VALUE!</v>
      </c>
      <c r="AQ106" t="e">
        <f>AND('Planilla_General_07-12-2012_8_3'!K1584,"AAAAAF/cHyo=")</f>
        <v>#VALUE!</v>
      </c>
      <c r="AR106" t="e">
        <f>AND('Planilla_General_07-12-2012_8_3'!L1584,"AAAAAF/cHys=")</f>
        <v>#VALUE!</v>
      </c>
      <c r="AS106" t="e">
        <f>AND('Planilla_General_07-12-2012_8_3'!M1584,"AAAAAF/cHyw=")</f>
        <v>#VALUE!</v>
      </c>
      <c r="AT106" t="e">
        <f>AND('Planilla_General_07-12-2012_8_3'!N1584,"AAAAAF/cHy0=")</f>
        <v>#VALUE!</v>
      </c>
      <c r="AU106" t="e">
        <f>AND('Planilla_General_07-12-2012_8_3'!O1584,"AAAAAF/cHy4=")</f>
        <v>#VALUE!</v>
      </c>
      <c r="AV106" t="e">
        <f>AND('Planilla_General_07-12-2012_8_3'!P1584,"AAAAAF/cHy8=")</f>
        <v>#VALUE!</v>
      </c>
      <c r="AW106">
        <f>IF('Planilla_General_07-12-2012_8_3'!1585:1585,"AAAAAF/cHzA=",0)</f>
        <v>0</v>
      </c>
      <c r="AX106" t="e">
        <f>AND('Planilla_General_07-12-2012_8_3'!A1585,"AAAAAF/cHzE=")</f>
        <v>#VALUE!</v>
      </c>
      <c r="AY106" t="e">
        <f>AND('Planilla_General_07-12-2012_8_3'!B1585,"AAAAAF/cHzI=")</f>
        <v>#VALUE!</v>
      </c>
      <c r="AZ106" t="e">
        <f>AND('Planilla_General_07-12-2012_8_3'!C1585,"AAAAAF/cHzM=")</f>
        <v>#VALUE!</v>
      </c>
      <c r="BA106" t="e">
        <f>AND('Planilla_General_07-12-2012_8_3'!D1585,"AAAAAF/cHzQ=")</f>
        <v>#VALUE!</v>
      </c>
      <c r="BB106" t="e">
        <f>AND('Planilla_General_07-12-2012_8_3'!E1585,"AAAAAF/cHzU=")</f>
        <v>#VALUE!</v>
      </c>
      <c r="BC106" t="e">
        <f>AND('Planilla_General_07-12-2012_8_3'!F1585,"AAAAAF/cHzY=")</f>
        <v>#VALUE!</v>
      </c>
      <c r="BD106" t="e">
        <f>AND('Planilla_General_07-12-2012_8_3'!G1585,"AAAAAF/cHzc=")</f>
        <v>#VALUE!</v>
      </c>
      <c r="BE106" t="e">
        <f>AND('Planilla_General_07-12-2012_8_3'!H1585,"AAAAAF/cHzg=")</f>
        <v>#VALUE!</v>
      </c>
      <c r="BF106" t="e">
        <f>AND('Planilla_General_07-12-2012_8_3'!I1585,"AAAAAF/cHzk=")</f>
        <v>#VALUE!</v>
      </c>
      <c r="BG106" t="e">
        <f>AND('Planilla_General_07-12-2012_8_3'!J1585,"AAAAAF/cHzo=")</f>
        <v>#VALUE!</v>
      </c>
      <c r="BH106" t="e">
        <f>AND('Planilla_General_07-12-2012_8_3'!K1585,"AAAAAF/cHzs=")</f>
        <v>#VALUE!</v>
      </c>
      <c r="BI106" t="e">
        <f>AND('Planilla_General_07-12-2012_8_3'!L1585,"AAAAAF/cHzw=")</f>
        <v>#VALUE!</v>
      </c>
      <c r="BJ106" t="e">
        <f>AND('Planilla_General_07-12-2012_8_3'!M1585,"AAAAAF/cHz0=")</f>
        <v>#VALUE!</v>
      </c>
      <c r="BK106" t="e">
        <f>AND('Planilla_General_07-12-2012_8_3'!N1585,"AAAAAF/cHz4=")</f>
        <v>#VALUE!</v>
      </c>
      <c r="BL106" t="e">
        <f>AND('Planilla_General_07-12-2012_8_3'!O1585,"AAAAAF/cHz8=")</f>
        <v>#VALUE!</v>
      </c>
      <c r="BM106" t="e">
        <f>AND('Planilla_General_07-12-2012_8_3'!P1585,"AAAAAF/cH0A=")</f>
        <v>#VALUE!</v>
      </c>
      <c r="BN106">
        <f>IF('Planilla_General_07-12-2012_8_3'!1586:1586,"AAAAAF/cH0E=",0)</f>
        <v>0</v>
      </c>
      <c r="BO106" t="e">
        <f>AND('Planilla_General_07-12-2012_8_3'!A1586,"AAAAAF/cH0I=")</f>
        <v>#VALUE!</v>
      </c>
      <c r="BP106" t="e">
        <f>AND('Planilla_General_07-12-2012_8_3'!B1586,"AAAAAF/cH0M=")</f>
        <v>#VALUE!</v>
      </c>
      <c r="BQ106" t="e">
        <f>AND('Planilla_General_07-12-2012_8_3'!C1586,"AAAAAF/cH0Q=")</f>
        <v>#VALUE!</v>
      </c>
      <c r="BR106" t="e">
        <f>AND('Planilla_General_07-12-2012_8_3'!D1586,"AAAAAF/cH0U=")</f>
        <v>#VALUE!</v>
      </c>
      <c r="BS106" t="e">
        <f>AND('Planilla_General_07-12-2012_8_3'!E1586,"AAAAAF/cH0Y=")</f>
        <v>#VALUE!</v>
      </c>
      <c r="BT106" t="e">
        <f>AND('Planilla_General_07-12-2012_8_3'!F1586,"AAAAAF/cH0c=")</f>
        <v>#VALUE!</v>
      </c>
      <c r="BU106" t="e">
        <f>AND('Planilla_General_07-12-2012_8_3'!G1586,"AAAAAF/cH0g=")</f>
        <v>#VALUE!</v>
      </c>
      <c r="BV106" t="e">
        <f>AND('Planilla_General_07-12-2012_8_3'!H1586,"AAAAAF/cH0k=")</f>
        <v>#VALUE!</v>
      </c>
      <c r="BW106" t="e">
        <f>AND('Planilla_General_07-12-2012_8_3'!I1586,"AAAAAF/cH0o=")</f>
        <v>#VALUE!</v>
      </c>
      <c r="BX106" t="e">
        <f>AND('Planilla_General_07-12-2012_8_3'!J1586,"AAAAAF/cH0s=")</f>
        <v>#VALUE!</v>
      </c>
      <c r="BY106" t="e">
        <f>AND('Planilla_General_07-12-2012_8_3'!K1586,"AAAAAF/cH0w=")</f>
        <v>#VALUE!</v>
      </c>
      <c r="BZ106" t="e">
        <f>AND('Planilla_General_07-12-2012_8_3'!L1586,"AAAAAF/cH00=")</f>
        <v>#VALUE!</v>
      </c>
      <c r="CA106" t="e">
        <f>AND('Planilla_General_07-12-2012_8_3'!M1586,"AAAAAF/cH04=")</f>
        <v>#VALUE!</v>
      </c>
      <c r="CB106" t="e">
        <f>AND('Planilla_General_07-12-2012_8_3'!N1586,"AAAAAF/cH08=")</f>
        <v>#VALUE!</v>
      </c>
      <c r="CC106" t="e">
        <f>AND('Planilla_General_07-12-2012_8_3'!O1586,"AAAAAF/cH1A=")</f>
        <v>#VALUE!</v>
      </c>
      <c r="CD106" t="e">
        <f>AND('Planilla_General_07-12-2012_8_3'!P1586,"AAAAAF/cH1E=")</f>
        <v>#VALUE!</v>
      </c>
      <c r="CE106">
        <f>IF('Planilla_General_07-12-2012_8_3'!1587:1587,"AAAAAF/cH1I=",0)</f>
        <v>0</v>
      </c>
      <c r="CF106" t="e">
        <f>AND('Planilla_General_07-12-2012_8_3'!A1587,"AAAAAF/cH1M=")</f>
        <v>#VALUE!</v>
      </c>
      <c r="CG106" t="e">
        <f>AND('Planilla_General_07-12-2012_8_3'!B1587,"AAAAAF/cH1Q=")</f>
        <v>#VALUE!</v>
      </c>
      <c r="CH106" t="e">
        <f>AND('Planilla_General_07-12-2012_8_3'!C1587,"AAAAAF/cH1U=")</f>
        <v>#VALUE!</v>
      </c>
      <c r="CI106" t="e">
        <f>AND('Planilla_General_07-12-2012_8_3'!D1587,"AAAAAF/cH1Y=")</f>
        <v>#VALUE!</v>
      </c>
      <c r="CJ106" t="e">
        <f>AND('Planilla_General_07-12-2012_8_3'!E1587,"AAAAAF/cH1c=")</f>
        <v>#VALUE!</v>
      </c>
      <c r="CK106" t="e">
        <f>AND('Planilla_General_07-12-2012_8_3'!F1587,"AAAAAF/cH1g=")</f>
        <v>#VALUE!</v>
      </c>
      <c r="CL106" t="e">
        <f>AND('Planilla_General_07-12-2012_8_3'!G1587,"AAAAAF/cH1k=")</f>
        <v>#VALUE!</v>
      </c>
      <c r="CM106" t="e">
        <f>AND('Planilla_General_07-12-2012_8_3'!H1587,"AAAAAF/cH1o=")</f>
        <v>#VALUE!</v>
      </c>
      <c r="CN106" t="e">
        <f>AND('Planilla_General_07-12-2012_8_3'!I1587,"AAAAAF/cH1s=")</f>
        <v>#VALUE!</v>
      </c>
      <c r="CO106" t="e">
        <f>AND('Planilla_General_07-12-2012_8_3'!J1587,"AAAAAF/cH1w=")</f>
        <v>#VALUE!</v>
      </c>
      <c r="CP106" t="e">
        <f>AND('Planilla_General_07-12-2012_8_3'!K1587,"AAAAAF/cH10=")</f>
        <v>#VALUE!</v>
      </c>
      <c r="CQ106" t="e">
        <f>AND('Planilla_General_07-12-2012_8_3'!L1587,"AAAAAF/cH14=")</f>
        <v>#VALUE!</v>
      </c>
      <c r="CR106" t="e">
        <f>AND('Planilla_General_07-12-2012_8_3'!M1587,"AAAAAF/cH18=")</f>
        <v>#VALUE!</v>
      </c>
      <c r="CS106" t="e">
        <f>AND('Planilla_General_07-12-2012_8_3'!N1587,"AAAAAF/cH2A=")</f>
        <v>#VALUE!</v>
      </c>
      <c r="CT106" t="e">
        <f>AND('Planilla_General_07-12-2012_8_3'!O1587,"AAAAAF/cH2E=")</f>
        <v>#VALUE!</v>
      </c>
      <c r="CU106" t="e">
        <f>AND('Planilla_General_07-12-2012_8_3'!P1587,"AAAAAF/cH2I=")</f>
        <v>#VALUE!</v>
      </c>
      <c r="CV106">
        <f>IF('Planilla_General_07-12-2012_8_3'!1588:1588,"AAAAAF/cH2M=",0)</f>
        <v>0</v>
      </c>
      <c r="CW106" t="e">
        <f>AND('Planilla_General_07-12-2012_8_3'!A1588,"AAAAAF/cH2Q=")</f>
        <v>#VALUE!</v>
      </c>
      <c r="CX106" t="e">
        <f>AND('Planilla_General_07-12-2012_8_3'!B1588,"AAAAAF/cH2U=")</f>
        <v>#VALUE!</v>
      </c>
      <c r="CY106" t="e">
        <f>AND('Planilla_General_07-12-2012_8_3'!C1588,"AAAAAF/cH2Y=")</f>
        <v>#VALUE!</v>
      </c>
      <c r="CZ106" t="e">
        <f>AND('Planilla_General_07-12-2012_8_3'!D1588,"AAAAAF/cH2c=")</f>
        <v>#VALUE!</v>
      </c>
      <c r="DA106" t="e">
        <f>AND('Planilla_General_07-12-2012_8_3'!E1588,"AAAAAF/cH2g=")</f>
        <v>#VALUE!</v>
      </c>
      <c r="DB106" t="e">
        <f>AND('Planilla_General_07-12-2012_8_3'!F1588,"AAAAAF/cH2k=")</f>
        <v>#VALUE!</v>
      </c>
      <c r="DC106" t="e">
        <f>AND('Planilla_General_07-12-2012_8_3'!G1588,"AAAAAF/cH2o=")</f>
        <v>#VALUE!</v>
      </c>
      <c r="DD106" t="e">
        <f>AND('Planilla_General_07-12-2012_8_3'!H1588,"AAAAAF/cH2s=")</f>
        <v>#VALUE!</v>
      </c>
      <c r="DE106" t="e">
        <f>AND('Planilla_General_07-12-2012_8_3'!I1588,"AAAAAF/cH2w=")</f>
        <v>#VALUE!</v>
      </c>
      <c r="DF106" t="e">
        <f>AND('Planilla_General_07-12-2012_8_3'!J1588,"AAAAAF/cH20=")</f>
        <v>#VALUE!</v>
      </c>
      <c r="DG106" t="e">
        <f>AND('Planilla_General_07-12-2012_8_3'!K1588,"AAAAAF/cH24=")</f>
        <v>#VALUE!</v>
      </c>
      <c r="DH106" t="e">
        <f>AND('Planilla_General_07-12-2012_8_3'!L1588,"AAAAAF/cH28=")</f>
        <v>#VALUE!</v>
      </c>
      <c r="DI106" t="e">
        <f>AND('Planilla_General_07-12-2012_8_3'!M1588,"AAAAAF/cH3A=")</f>
        <v>#VALUE!</v>
      </c>
      <c r="DJ106" t="e">
        <f>AND('Planilla_General_07-12-2012_8_3'!N1588,"AAAAAF/cH3E=")</f>
        <v>#VALUE!</v>
      </c>
      <c r="DK106" t="e">
        <f>AND('Planilla_General_07-12-2012_8_3'!O1588,"AAAAAF/cH3I=")</f>
        <v>#VALUE!</v>
      </c>
      <c r="DL106" t="e">
        <f>AND('Planilla_General_07-12-2012_8_3'!P1588,"AAAAAF/cH3M=")</f>
        <v>#VALUE!</v>
      </c>
      <c r="DM106">
        <f>IF('Planilla_General_07-12-2012_8_3'!1589:1589,"AAAAAF/cH3Q=",0)</f>
        <v>0</v>
      </c>
      <c r="DN106" t="e">
        <f>AND('Planilla_General_07-12-2012_8_3'!A1589,"AAAAAF/cH3U=")</f>
        <v>#VALUE!</v>
      </c>
      <c r="DO106" t="e">
        <f>AND('Planilla_General_07-12-2012_8_3'!B1589,"AAAAAF/cH3Y=")</f>
        <v>#VALUE!</v>
      </c>
      <c r="DP106" t="e">
        <f>AND('Planilla_General_07-12-2012_8_3'!C1589,"AAAAAF/cH3c=")</f>
        <v>#VALUE!</v>
      </c>
      <c r="DQ106" t="e">
        <f>AND('Planilla_General_07-12-2012_8_3'!D1589,"AAAAAF/cH3g=")</f>
        <v>#VALUE!</v>
      </c>
      <c r="DR106" t="e">
        <f>AND('Planilla_General_07-12-2012_8_3'!E1589,"AAAAAF/cH3k=")</f>
        <v>#VALUE!</v>
      </c>
      <c r="DS106" t="e">
        <f>AND('Planilla_General_07-12-2012_8_3'!F1589,"AAAAAF/cH3o=")</f>
        <v>#VALUE!</v>
      </c>
      <c r="DT106" t="e">
        <f>AND('Planilla_General_07-12-2012_8_3'!G1589,"AAAAAF/cH3s=")</f>
        <v>#VALUE!</v>
      </c>
      <c r="DU106" t="e">
        <f>AND('Planilla_General_07-12-2012_8_3'!H1589,"AAAAAF/cH3w=")</f>
        <v>#VALUE!</v>
      </c>
      <c r="DV106" t="e">
        <f>AND('Planilla_General_07-12-2012_8_3'!I1589,"AAAAAF/cH30=")</f>
        <v>#VALUE!</v>
      </c>
      <c r="DW106" t="e">
        <f>AND('Planilla_General_07-12-2012_8_3'!J1589,"AAAAAF/cH34=")</f>
        <v>#VALUE!</v>
      </c>
      <c r="DX106" t="e">
        <f>AND('Planilla_General_07-12-2012_8_3'!K1589,"AAAAAF/cH38=")</f>
        <v>#VALUE!</v>
      </c>
      <c r="DY106" t="e">
        <f>AND('Planilla_General_07-12-2012_8_3'!L1589,"AAAAAF/cH4A=")</f>
        <v>#VALUE!</v>
      </c>
      <c r="DZ106" t="e">
        <f>AND('Planilla_General_07-12-2012_8_3'!M1589,"AAAAAF/cH4E=")</f>
        <v>#VALUE!</v>
      </c>
      <c r="EA106" t="e">
        <f>AND('Planilla_General_07-12-2012_8_3'!N1589,"AAAAAF/cH4I=")</f>
        <v>#VALUE!</v>
      </c>
      <c r="EB106" t="e">
        <f>AND('Planilla_General_07-12-2012_8_3'!O1589,"AAAAAF/cH4M=")</f>
        <v>#VALUE!</v>
      </c>
      <c r="EC106" t="e">
        <f>AND('Planilla_General_07-12-2012_8_3'!P1589,"AAAAAF/cH4Q=")</f>
        <v>#VALUE!</v>
      </c>
      <c r="ED106">
        <f>IF('Planilla_General_07-12-2012_8_3'!1590:1590,"AAAAAF/cH4U=",0)</f>
        <v>0</v>
      </c>
      <c r="EE106" t="e">
        <f>AND('Planilla_General_07-12-2012_8_3'!A1590,"AAAAAF/cH4Y=")</f>
        <v>#VALUE!</v>
      </c>
      <c r="EF106" t="e">
        <f>AND('Planilla_General_07-12-2012_8_3'!B1590,"AAAAAF/cH4c=")</f>
        <v>#VALUE!</v>
      </c>
      <c r="EG106" t="e">
        <f>AND('Planilla_General_07-12-2012_8_3'!C1590,"AAAAAF/cH4g=")</f>
        <v>#VALUE!</v>
      </c>
      <c r="EH106" t="e">
        <f>AND('Planilla_General_07-12-2012_8_3'!D1590,"AAAAAF/cH4k=")</f>
        <v>#VALUE!</v>
      </c>
      <c r="EI106" t="e">
        <f>AND('Planilla_General_07-12-2012_8_3'!E1590,"AAAAAF/cH4o=")</f>
        <v>#VALUE!</v>
      </c>
      <c r="EJ106" t="e">
        <f>AND('Planilla_General_07-12-2012_8_3'!F1590,"AAAAAF/cH4s=")</f>
        <v>#VALUE!</v>
      </c>
      <c r="EK106" t="e">
        <f>AND('Planilla_General_07-12-2012_8_3'!G1590,"AAAAAF/cH4w=")</f>
        <v>#VALUE!</v>
      </c>
      <c r="EL106" t="e">
        <f>AND('Planilla_General_07-12-2012_8_3'!H1590,"AAAAAF/cH40=")</f>
        <v>#VALUE!</v>
      </c>
      <c r="EM106" t="e">
        <f>AND('Planilla_General_07-12-2012_8_3'!I1590,"AAAAAF/cH44=")</f>
        <v>#VALUE!</v>
      </c>
      <c r="EN106" t="e">
        <f>AND('Planilla_General_07-12-2012_8_3'!J1590,"AAAAAF/cH48=")</f>
        <v>#VALUE!</v>
      </c>
      <c r="EO106" t="e">
        <f>AND('Planilla_General_07-12-2012_8_3'!K1590,"AAAAAF/cH5A=")</f>
        <v>#VALUE!</v>
      </c>
      <c r="EP106" t="e">
        <f>AND('Planilla_General_07-12-2012_8_3'!L1590,"AAAAAF/cH5E=")</f>
        <v>#VALUE!</v>
      </c>
      <c r="EQ106" t="e">
        <f>AND('Planilla_General_07-12-2012_8_3'!M1590,"AAAAAF/cH5I=")</f>
        <v>#VALUE!</v>
      </c>
      <c r="ER106" t="e">
        <f>AND('Planilla_General_07-12-2012_8_3'!N1590,"AAAAAF/cH5M=")</f>
        <v>#VALUE!</v>
      </c>
      <c r="ES106" t="e">
        <f>AND('Planilla_General_07-12-2012_8_3'!O1590,"AAAAAF/cH5Q=")</f>
        <v>#VALUE!</v>
      </c>
      <c r="ET106" t="e">
        <f>AND('Planilla_General_07-12-2012_8_3'!P1590,"AAAAAF/cH5U=")</f>
        <v>#VALUE!</v>
      </c>
      <c r="EU106">
        <f>IF('Planilla_General_07-12-2012_8_3'!1591:1591,"AAAAAF/cH5Y=",0)</f>
        <v>0</v>
      </c>
      <c r="EV106" t="e">
        <f>AND('Planilla_General_07-12-2012_8_3'!A1591,"AAAAAF/cH5c=")</f>
        <v>#VALUE!</v>
      </c>
      <c r="EW106" t="e">
        <f>AND('Planilla_General_07-12-2012_8_3'!B1591,"AAAAAF/cH5g=")</f>
        <v>#VALUE!</v>
      </c>
      <c r="EX106" t="e">
        <f>AND('Planilla_General_07-12-2012_8_3'!C1591,"AAAAAF/cH5k=")</f>
        <v>#VALUE!</v>
      </c>
      <c r="EY106" t="e">
        <f>AND('Planilla_General_07-12-2012_8_3'!D1591,"AAAAAF/cH5o=")</f>
        <v>#VALUE!</v>
      </c>
      <c r="EZ106" t="e">
        <f>AND('Planilla_General_07-12-2012_8_3'!E1591,"AAAAAF/cH5s=")</f>
        <v>#VALUE!</v>
      </c>
      <c r="FA106" t="e">
        <f>AND('Planilla_General_07-12-2012_8_3'!F1591,"AAAAAF/cH5w=")</f>
        <v>#VALUE!</v>
      </c>
      <c r="FB106" t="e">
        <f>AND('Planilla_General_07-12-2012_8_3'!G1591,"AAAAAF/cH50=")</f>
        <v>#VALUE!</v>
      </c>
      <c r="FC106" t="e">
        <f>AND('Planilla_General_07-12-2012_8_3'!H1591,"AAAAAF/cH54=")</f>
        <v>#VALUE!</v>
      </c>
      <c r="FD106" t="e">
        <f>AND('Planilla_General_07-12-2012_8_3'!I1591,"AAAAAF/cH58=")</f>
        <v>#VALUE!</v>
      </c>
      <c r="FE106" t="e">
        <f>AND('Planilla_General_07-12-2012_8_3'!J1591,"AAAAAF/cH6A=")</f>
        <v>#VALUE!</v>
      </c>
      <c r="FF106" t="e">
        <f>AND('Planilla_General_07-12-2012_8_3'!K1591,"AAAAAF/cH6E=")</f>
        <v>#VALUE!</v>
      </c>
      <c r="FG106" t="e">
        <f>AND('Planilla_General_07-12-2012_8_3'!L1591,"AAAAAF/cH6I=")</f>
        <v>#VALUE!</v>
      </c>
      <c r="FH106" t="e">
        <f>AND('Planilla_General_07-12-2012_8_3'!M1591,"AAAAAF/cH6M=")</f>
        <v>#VALUE!</v>
      </c>
      <c r="FI106" t="e">
        <f>AND('Planilla_General_07-12-2012_8_3'!N1591,"AAAAAF/cH6Q=")</f>
        <v>#VALUE!</v>
      </c>
      <c r="FJ106" t="e">
        <f>AND('Planilla_General_07-12-2012_8_3'!O1591,"AAAAAF/cH6U=")</f>
        <v>#VALUE!</v>
      </c>
      <c r="FK106" t="e">
        <f>AND('Planilla_General_07-12-2012_8_3'!P1591,"AAAAAF/cH6Y=")</f>
        <v>#VALUE!</v>
      </c>
      <c r="FL106">
        <f>IF('Planilla_General_07-12-2012_8_3'!1592:1592,"AAAAAF/cH6c=",0)</f>
        <v>0</v>
      </c>
      <c r="FM106" t="e">
        <f>AND('Planilla_General_07-12-2012_8_3'!A1592,"AAAAAF/cH6g=")</f>
        <v>#VALUE!</v>
      </c>
      <c r="FN106" t="e">
        <f>AND('Planilla_General_07-12-2012_8_3'!B1592,"AAAAAF/cH6k=")</f>
        <v>#VALUE!</v>
      </c>
      <c r="FO106" t="e">
        <f>AND('Planilla_General_07-12-2012_8_3'!C1592,"AAAAAF/cH6o=")</f>
        <v>#VALUE!</v>
      </c>
      <c r="FP106" t="e">
        <f>AND('Planilla_General_07-12-2012_8_3'!D1592,"AAAAAF/cH6s=")</f>
        <v>#VALUE!</v>
      </c>
      <c r="FQ106" t="e">
        <f>AND('Planilla_General_07-12-2012_8_3'!E1592,"AAAAAF/cH6w=")</f>
        <v>#VALUE!</v>
      </c>
      <c r="FR106" t="e">
        <f>AND('Planilla_General_07-12-2012_8_3'!F1592,"AAAAAF/cH60=")</f>
        <v>#VALUE!</v>
      </c>
      <c r="FS106" t="e">
        <f>AND('Planilla_General_07-12-2012_8_3'!G1592,"AAAAAF/cH64=")</f>
        <v>#VALUE!</v>
      </c>
      <c r="FT106" t="e">
        <f>AND('Planilla_General_07-12-2012_8_3'!H1592,"AAAAAF/cH68=")</f>
        <v>#VALUE!</v>
      </c>
      <c r="FU106" t="e">
        <f>AND('Planilla_General_07-12-2012_8_3'!I1592,"AAAAAF/cH7A=")</f>
        <v>#VALUE!</v>
      </c>
      <c r="FV106" t="e">
        <f>AND('Planilla_General_07-12-2012_8_3'!J1592,"AAAAAF/cH7E=")</f>
        <v>#VALUE!</v>
      </c>
      <c r="FW106" t="e">
        <f>AND('Planilla_General_07-12-2012_8_3'!K1592,"AAAAAF/cH7I=")</f>
        <v>#VALUE!</v>
      </c>
      <c r="FX106" t="e">
        <f>AND('Planilla_General_07-12-2012_8_3'!L1592,"AAAAAF/cH7M=")</f>
        <v>#VALUE!</v>
      </c>
      <c r="FY106" t="e">
        <f>AND('Planilla_General_07-12-2012_8_3'!M1592,"AAAAAF/cH7Q=")</f>
        <v>#VALUE!</v>
      </c>
      <c r="FZ106" t="e">
        <f>AND('Planilla_General_07-12-2012_8_3'!N1592,"AAAAAF/cH7U=")</f>
        <v>#VALUE!</v>
      </c>
      <c r="GA106" t="e">
        <f>AND('Planilla_General_07-12-2012_8_3'!O1592,"AAAAAF/cH7Y=")</f>
        <v>#VALUE!</v>
      </c>
      <c r="GB106" t="e">
        <f>AND('Planilla_General_07-12-2012_8_3'!P1592,"AAAAAF/cH7c=")</f>
        <v>#VALUE!</v>
      </c>
      <c r="GC106">
        <f>IF('Planilla_General_07-12-2012_8_3'!1593:1593,"AAAAAF/cH7g=",0)</f>
        <v>0</v>
      </c>
      <c r="GD106" t="e">
        <f>AND('Planilla_General_07-12-2012_8_3'!A1593,"AAAAAF/cH7k=")</f>
        <v>#VALUE!</v>
      </c>
      <c r="GE106" t="e">
        <f>AND('Planilla_General_07-12-2012_8_3'!B1593,"AAAAAF/cH7o=")</f>
        <v>#VALUE!</v>
      </c>
      <c r="GF106" t="e">
        <f>AND('Planilla_General_07-12-2012_8_3'!C1593,"AAAAAF/cH7s=")</f>
        <v>#VALUE!</v>
      </c>
      <c r="GG106" t="e">
        <f>AND('Planilla_General_07-12-2012_8_3'!D1593,"AAAAAF/cH7w=")</f>
        <v>#VALUE!</v>
      </c>
      <c r="GH106" t="e">
        <f>AND('Planilla_General_07-12-2012_8_3'!E1593,"AAAAAF/cH70=")</f>
        <v>#VALUE!</v>
      </c>
      <c r="GI106" t="e">
        <f>AND('Planilla_General_07-12-2012_8_3'!F1593,"AAAAAF/cH74=")</f>
        <v>#VALUE!</v>
      </c>
      <c r="GJ106" t="e">
        <f>AND('Planilla_General_07-12-2012_8_3'!G1593,"AAAAAF/cH78=")</f>
        <v>#VALUE!</v>
      </c>
      <c r="GK106" t="e">
        <f>AND('Planilla_General_07-12-2012_8_3'!H1593,"AAAAAF/cH8A=")</f>
        <v>#VALUE!</v>
      </c>
      <c r="GL106" t="e">
        <f>AND('Planilla_General_07-12-2012_8_3'!I1593,"AAAAAF/cH8E=")</f>
        <v>#VALUE!</v>
      </c>
      <c r="GM106" t="e">
        <f>AND('Planilla_General_07-12-2012_8_3'!J1593,"AAAAAF/cH8I=")</f>
        <v>#VALUE!</v>
      </c>
      <c r="GN106" t="e">
        <f>AND('Planilla_General_07-12-2012_8_3'!K1593,"AAAAAF/cH8M=")</f>
        <v>#VALUE!</v>
      </c>
      <c r="GO106" t="e">
        <f>AND('Planilla_General_07-12-2012_8_3'!L1593,"AAAAAF/cH8Q=")</f>
        <v>#VALUE!</v>
      </c>
      <c r="GP106" t="e">
        <f>AND('Planilla_General_07-12-2012_8_3'!M1593,"AAAAAF/cH8U=")</f>
        <v>#VALUE!</v>
      </c>
      <c r="GQ106" t="e">
        <f>AND('Planilla_General_07-12-2012_8_3'!N1593,"AAAAAF/cH8Y=")</f>
        <v>#VALUE!</v>
      </c>
      <c r="GR106" t="e">
        <f>AND('Planilla_General_07-12-2012_8_3'!O1593,"AAAAAF/cH8c=")</f>
        <v>#VALUE!</v>
      </c>
      <c r="GS106" t="e">
        <f>AND('Planilla_General_07-12-2012_8_3'!P1593,"AAAAAF/cH8g=")</f>
        <v>#VALUE!</v>
      </c>
      <c r="GT106">
        <f>IF('Planilla_General_07-12-2012_8_3'!1594:1594,"AAAAAF/cH8k=",0)</f>
        <v>0</v>
      </c>
      <c r="GU106" t="e">
        <f>AND('Planilla_General_07-12-2012_8_3'!A1594,"AAAAAF/cH8o=")</f>
        <v>#VALUE!</v>
      </c>
      <c r="GV106" t="e">
        <f>AND('Planilla_General_07-12-2012_8_3'!B1594,"AAAAAF/cH8s=")</f>
        <v>#VALUE!</v>
      </c>
      <c r="GW106" t="e">
        <f>AND('Planilla_General_07-12-2012_8_3'!C1594,"AAAAAF/cH8w=")</f>
        <v>#VALUE!</v>
      </c>
      <c r="GX106" t="e">
        <f>AND('Planilla_General_07-12-2012_8_3'!D1594,"AAAAAF/cH80=")</f>
        <v>#VALUE!</v>
      </c>
      <c r="GY106" t="e">
        <f>AND('Planilla_General_07-12-2012_8_3'!E1594,"AAAAAF/cH84=")</f>
        <v>#VALUE!</v>
      </c>
      <c r="GZ106" t="e">
        <f>AND('Planilla_General_07-12-2012_8_3'!F1594,"AAAAAF/cH88=")</f>
        <v>#VALUE!</v>
      </c>
      <c r="HA106" t="e">
        <f>AND('Planilla_General_07-12-2012_8_3'!G1594,"AAAAAF/cH9A=")</f>
        <v>#VALUE!</v>
      </c>
      <c r="HB106" t="e">
        <f>AND('Planilla_General_07-12-2012_8_3'!H1594,"AAAAAF/cH9E=")</f>
        <v>#VALUE!</v>
      </c>
      <c r="HC106" t="e">
        <f>AND('Planilla_General_07-12-2012_8_3'!I1594,"AAAAAF/cH9I=")</f>
        <v>#VALUE!</v>
      </c>
      <c r="HD106" t="e">
        <f>AND('Planilla_General_07-12-2012_8_3'!J1594,"AAAAAF/cH9M=")</f>
        <v>#VALUE!</v>
      </c>
      <c r="HE106" t="e">
        <f>AND('Planilla_General_07-12-2012_8_3'!K1594,"AAAAAF/cH9Q=")</f>
        <v>#VALUE!</v>
      </c>
      <c r="HF106" t="e">
        <f>AND('Planilla_General_07-12-2012_8_3'!L1594,"AAAAAF/cH9U=")</f>
        <v>#VALUE!</v>
      </c>
      <c r="HG106" t="e">
        <f>AND('Planilla_General_07-12-2012_8_3'!M1594,"AAAAAF/cH9Y=")</f>
        <v>#VALUE!</v>
      </c>
      <c r="HH106" t="e">
        <f>AND('Planilla_General_07-12-2012_8_3'!N1594,"AAAAAF/cH9c=")</f>
        <v>#VALUE!</v>
      </c>
      <c r="HI106" t="e">
        <f>AND('Planilla_General_07-12-2012_8_3'!O1594,"AAAAAF/cH9g=")</f>
        <v>#VALUE!</v>
      </c>
      <c r="HJ106" t="e">
        <f>AND('Planilla_General_07-12-2012_8_3'!P1594,"AAAAAF/cH9k=")</f>
        <v>#VALUE!</v>
      </c>
      <c r="HK106">
        <f>IF('Planilla_General_07-12-2012_8_3'!1595:1595,"AAAAAF/cH9o=",0)</f>
        <v>0</v>
      </c>
      <c r="HL106" t="e">
        <f>AND('Planilla_General_07-12-2012_8_3'!A1595,"AAAAAF/cH9s=")</f>
        <v>#VALUE!</v>
      </c>
      <c r="HM106" t="e">
        <f>AND('Planilla_General_07-12-2012_8_3'!B1595,"AAAAAF/cH9w=")</f>
        <v>#VALUE!</v>
      </c>
      <c r="HN106" t="e">
        <f>AND('Planilla_General_07-12-2012_8_3'!C1595,"AAAAAF/cH90=")</f>
        <v>#VALUE!</v>
      </c>
      <c r="HO106" t="e">
        <f>AND('Planilla_General_07-12-2012_8_3'!D1595,"AAAAAF/cH94=")</f>
        <v>#VALUE!</v>
      </c>
      <c r="HP106" t="e">
        <f>AND('Planilla_General_07-12-2012_8_3'!E1595,"AAAAAF/cH98=")</f>
        <v>#VALUE!</v>
      </c>
      <c r="HQ106" t="e">
        <f>AND('Planilla_General_07-12-2012_8_3'!F1595,"AAAAAF/cH+A=")</f>
        <v>#VALUE!</v>
      </c>
      <c r="HR106" t="e">
        <f>AND('Planilla_General_07-12-2012_8_3'!G1595,"AAAAAF/cH+E=")</f>
        <v>#VALUE!</v>
      </c>
      <c r="HS106" t="e">
        <f>AND('Planilla_General_07-12-2012_8_3'!H1595,"AAAAAF/cH+I=")</f>
        <v>#VALUE!</v>
      </c>
      <c r="HT106" t="e">
        <f>AND('Planilla_General_07-12-2012_8_3'!I1595,"AAAAAF/cH+M=")</f>
        <v>#VALUE!</v>
      </c>
      <c r="HU106" t="e">
        <f>AND('Planilla_General_07-12-2012_8_3'!J1595,"AAAAAF/cH+Q=")</f>
        <v>#VALUE!</v>
      </c>
      <c r="HV106" t="e">
        <f>AND('Planilla_General_07-12-2012_8_3'!K1595,"AAAAAF/cH+U=")</f>
        <v>#VALUE!</v>
      </c>
      <c r="HW106" t="e">
        <f>AND('Planilla_General_07-12-2012_8_3'!L1595,"AAAAAF/cH+Y=")</f>
        <v>#VALUE!</v>
      </c>
      <c r="HX106" t="e">
        <f>AND('Planilla_General_07-12-2012_8_3'!M1595,"AAAAAF/cH+c=")</f>
        <v>#VALUE!</v>
      </c>
      <c r="HY106" t="e">
        <f>AND('Planilla_General_07-12-2012_8_3'!N1595,"AAAAAF/cH+g=")</f>
        <v>#VALUE!</v>
      </c>
      <c r="HZ106" t="e">
        <f>AND('Planilla_General_07-12-2012_8_3'!O1595,"AAAAAF/cH+k=")</f>
        <v>#VALUE!</v>
      </c>
      <c r="IA106" t="e">
        <f>AND('Planilla_General_07-12-2012_8_3'!P1595,"AAAAAF/cH+o=")</f>
        <v>#VALUE!</v>
      </c>
      <c r="IB106">
        <f>IF('Planilla_General_07-12-2012_8_3'!1596:1596,"AAAAAF/cH+s=",0)</f>
        <v>0</v>
      </c>
      <c r="IC106" t="e">
        <f>AND('Planilla_General_07-12-2012_8_3'!A1596,"AAAAAF/cH+w=")</f>
        <v>#VALUE!</v>
      </c>
      <c r="ID106" t="e">
        <f>AND('Planilla_General_07-12-2012_8_3'!B1596,"AAAAAF/cH+0=")</f>
        <v>#VALUE!</v>
      </c>
      <c r="IE106" t="e">
        <f>AND('Planilla_General_07-12-2012_8_3'!C1596,"AAAAAF/cH+4=")</f>
        <v>#VALUE!</v>
      </c>
      <c r="IF106" t="e">
        <f>AND('Planilla_General_07-12-2012_8_3'!D1596,"AAAAAF/cH+8=")</f>
        <v>#VALUE!</v>
      </c>
      <c r="IG106" t="e">
        <f>AND('Planilla_General_07-12-2012_8_3'!E1596,"AAAAAF/cH/A=")</f>
        <v>#VALUE!</v>
      </c>
      <c r="IH106" t="e">
        <f>AND('Planilla_General_07-12-2012_8_3'!F1596,"AAAAAF/cH/E=")</f>
        <v>#VALUE!</v>
      </c>
      <c r="II106" t="e">
        <f>AND('Planilla_General_07-12-2012_8_3'!G1596,"AAAAAF/cH/I=")</f>
        <v>#VALUE!</v>
      </c>
      <c r="IJ106" t="e">
        <f>AND('Planilla_General_07-12-2012_8_3'!H1596,"AAAAAF/cH/M=")</f>
        <v>#VALUE!</v>
      </c>
      <c r="IK106" t="e">
        <f>AND('Planilla_General_07-12-2012_8_3'!I1596,"AAAAAF/cH/Q=")</f>
        <v>#VALUE!</v>
      </c>
      <c r="IL106" t="e">
        <f>AND('Planilla_General_07-12-2012_8_3'!J1596,"AAAAAF/cH/U=")</f>
        <v>#VALUE!</v>
      </c>
      <c r="IM106" t="e">
        <f>AND('Planilla_General_07-12-2012_8_3'!K1596,"AAAAAF/cH/Y=")</f>
        <v>#VALUE!</v>
      </c>
      <c r="IN106" t="e">
        <f>AND('Planilla_General_07-12-2012_8_3'!L1596,"AAAAAF/cH/c=")</f>
        <v>#VALUE!</v>
      </c>
      <c r="IO106" t="e">
        <f>AND('Planilla_General_07-12-2012_8_3'!M1596,"AAAAAF/cH/g=")</f>
        <v>#VALUE!</v>
      </c>
      <c r="IP106" t="e">
        <f>AND('Planilla_General_07-12-2012_8_3'!N1596,"AAAAAF/cH/k=")</f>
        <v>#VALUE!</v>
      </c>
      <c r="IQ106" t="e">
        <f>AND('Planilla_General_07-12-2012_8_3'!O1596,"AAAAAF/cH/o=")</f>
        <v>#VALUE!</v>
      </c>
      <c r="IR106" t="e">
        <f>AND('Planilla_General_07-12-2012_8_3'!P1596,"AAAAAF/cH/s=")</f>
        <v>#VALUE!</v>
      </c>
      <c r="IS106">
        <f>IF('Planilla_General_07-12-2012_8_3'!1597:1597,"AAAAAF/cH/w=",0)</f>
        <v>0</v>
      </c>
      <c r="IT106" t="e">
        <f>AND('Planilla_General_07-12-2012_8_3'!A1597,"AAAAAF/cH/0=")</f>
        <v>#VALUE!</v>
      </c>
      <c r="IU106" t="e">
        <f>AND('Planilla_General_07-12-2012_8_3'!B1597,"AAAAAF/cH/4=")</f>
        <v>#VALUE!</v>
      </c>
      <c r="IV106" t="e">
        <f>AND('Planilla_General_07-12-2012_8_3'!C1597,"AAAAAF/cH/8=")</f>
        <v>#VALUE!</v>
      </c>
    </row>
    <row r="107" spans="1:256" x14ac:dyDescent="0.25">
      <c r="A107" t="e">
        <f>AND('Planilla_General_07-12-2012_8_3'!D1597,"AAAAAFfZ/QA=")</f>
        <v>#VALUE!</v>
      </c>
      <c r="B107" t="e">
        <f>AND('Planilla_General_07-12-2012_8_3'!E1597,"AAAAAFfZ/QE=")</f>
        <v>#VALUE!</v>
      </c>
      <c r="C107" t="e">
        <f>AND('Planilla_General_07-12-2012_8_3'!F1597,"AAAAAFfZ/QI=")</f>
        <v>#VALUE!</v>
      </c>
      <c r="D107" t="e">
        <f>AND('Planilla_General_07-12-2012_8_3'!G1597,"AAAAAFfZ/QM=")</f>
        <v>#VALUE!</v>
      </c>
      <c r="E107" t="e">
        <f>AND('Planilla_General_07-12-2012_8_3'!H1597,"AAAAAFfZ/QQ=")</f>
        <v>#VALUE!</v>
      </c>
      <c r="F107" t="e">
        <f>AND('Planilla_General_07-12-2012_8_3'!I1597,"AAAAAFfZ/QU=")</f>
        <v>#VALUE!</v>
      </c>
      <c r="G107" t="e">
        <f>AND('Planilla_General_07-12-2012_8_3'!J1597,"AAAAAFfZ/QY=")</f>
        <v>#VALUE!</v>
      </c>
      <c r="H107" t="e">
        <f>AND('Planilla_General_07-12-2012_8_3'!K1597,"AAAAAFfZ/Qc=")</f>
        <v>#VALUE!</v>
      </c>
      <c r="I107" t="e">
        <f>AND('Planilla_General_07-12-2012_8_3'!L1597,"AAAAAFfZ/Qg=")</f>
        <v>#VALUE!</v>
      </c>
      <c r="J107" t="e">
        <f>AND('Planilla_General_07-12-2012_8_3'!M1597,"AAAAAFfZ/Qk=")</f>
        <v>#VALUE!</v>
      </c>
      <c r="K107" t="e">
        <f>AND('Planilla_General_07-12-2012_8_3'!N1597,"AAAAAFfZ/Qo=")</f>
        <v>#VALUE!</v>
      </c>
      <c r="L107" t="e">
        <f>AND('Planilla_General_07-12-2012_8_3'!O1597,"AAAAAFfZ/Qs=")</f>
        <v>#VALUE!</v>
      </c>
      <c r="M107" t="e">
        <f>AND('Planilla_General_07-12-2012_8_3'!P1597,"AAAAAFfZ/Qw=")</f>
        <v>#VALUE!</v>
      </c>
      <c r="N107" t="str">
        <f>IF('Planilla_General_07-12-2012_8_3'!1598:1598,"AAAAAFfZ/Q0=",0)</f>
        <v>AAAAAFfZ/Q0=</v>
      </c>
      <c r="O107" t="e">
        <f>AND('Planilla_General_07-12-2012_8_3'!A1598,"AAAAAFfZ/Q4=")</f>
        <v>#VALUE!</v>
      </c>
      <c r="P107" t="e">
        <f>AND('Planilla_General_07-12-2012_8_3'!B1598,"AAAAAFfZ/Q8=")</f>
        <v>#VALUE!</v>
      </c>
      <c r="Q107" t="e">
        <f>AND('Planilla_General_07-12-2012_8_3'!C1598,"AAAAAFfZ/RA=")</f>
        <v>#VALUE!</v>
      </c>
      <c r="R107" t="e">
        <f>AND('Planilla_General_07-12-2012_8_3'!D1598,"AAAAAFfZ/RE=")</f>
        <v>#VALUE!</v>
      </c>
      <c r="S107" t="e">
        <f>AND('Planilla_General_07-12-2012_8_3'!E1598,"AAAAAFfZ/RI=")</f>
        <v>#VALUE!</v>
      </c>
      <c r="T107" t="e">
        <f>AND('Planilla_General_07-12-2012_8_3'!F1598,"AAAAAFfZ/RM=")</f>
        <v>#VALUE!</v>
      </c>
      <c r="U107" t="e">
        <f>AND('Planilla_General_07-12-2012_8_3'!G1598,"AAAAAFfZ/RQ=")</f>
        <v>#VALUE!</v>
      </c>
      <c r="V107" t="e">
        <f>AND('Planilla_General_07-12-2012_8_3'!H1598,"AAAAAFfZ/RU=")</f>
        <v>#VALUE!</v>
      </c>
      <c r="W107" t="e">
        <f>AND('Planilla_General_07-12-2012_8_3'!I1598,"AAAAAFfZ/RY=")</f>
        <v>#VALUE!</v>
      </c>
      <c r="X107" t="e">
        <f>AND('Planilla_General_07-12-2012_8_3'!J1598,"AAAAAFfZ/Rc=")</f>
        <v>#VALUE!</v>
      </c>
      <c r="Y107" t="e">
        <f>AND('Planilla_General_07-12-2012_8_3'!K1598,"AAAAAFfZ/Rg=")</f>
        <v>#VALUE!</v>
      </c>
      <c r="Z107" t="e">
        <f>AND('Planilla_General_07-12-2012_8_3'!L1598,"AAAAAFfZ/Rk=")</f>
        <v>#VALUE!</v>
      </c>
      <c r="AA107" t="e">
        <f>AND('Planilla_General_07-12-2012_8_3'!M1598,"AAAAAFfZ/Ro=")</f>
        <v>#VALUE!</v>
      </c>
      <c r="AB107" t="e">
        <f>AND('Planilla_General_07-12-2012_8_3'!N1598,"AAAAAFfZ/Rs=")</f>
        <v>#VALUE!</v>
      </c>
      <c r="AC107" t="e">
        <f>AND('Planilla_General_07-12-2012_8_3'!O1598,"AAAAAFfZ/Rw=")</f>
        <v>#VALUE!</v>
      </c>
      <c r="AD107" t="e">
        <f>AND('Planilla_General_07-12-2012_8_3'!P1598,"AAAAAFfZ/R0=")</f>
        <v>#VALUE!</v>
      </c>
      <c r="AE107">
        <f>IF('Planilla_General_07-12-2012_8_3'!1599:1599,"AAAAAFfZ/R4=",0)</f>
        <v>0</v>
      </c>
      <c r="AF107" t="e">
        <f>AND('Planilla_General_07-12-2012_8_3'!A1599,"AAAAAFfZ/R8=")</f>
        <v>#VALUE!</v>
      </c>
      <c r="AG107" t="e">
        <f>AND('Planilla_General_07-12-2012_8_3'!B1599,"AAAAAFfZ/SA=")</f>
        <v>#VALUE!</v>
      </c>
      <c r="AH107" t="e">
        <f>AND('Planilla_General_07-12-2012_8_3'!C1599,"AAAAAFfZ/SE=")</f>
        <v>#VALUE!</v>
      </c>
      <c r="AI107" t="e">
        <f>AND('Planilla_General_07-12-2012_8_3'!D1599,"AAAAAFfZ/SI=")</f>
        <v>#VALUE!</v>
      </c>
      <c r="AJ107" t="e">
        <f>AND('Planilla_General_07-12-2012_8_3'!E1599,"AAAAAFfZ/SM=")</f>
        <v>#VALUE!</v>
      </c>
      <c r="AK107" t="e">
        <f>AND('Planilla_General_07-12-2012_8_3'!F1599,"AAAAAFfZ/SQ=")</f>
        <v>#VALUE!</v>
      </c>
      <c r="AL107" t="e">
        <f>AND('Planilla_General_07-12-2012_8_3'!G1599,"AAAAAFfZ/SU=")</f>
        <v>#VALUE!</v>
      </c>
      <c r="AM107" t="e">
        <f>AND('Planilla_General_07-12-2012_8_3'!H1599,"AAAAAFfZ/SY=")</f>
        <v>#VALUE!</v>
      </c>
      <c r="AN107" t="e">
        <f>AND('Planilla_General_07-12-2012_8_3'!I1599,"AAAAAFfZ/Sc=")</f>
        <v>#VALUE!</v>
      </c>
      <c r="AO107" t="e">
        <f>AND('Planilla_General_07-12-2012_8_3'!J1599,"AAAAAFfZ/Sg=")</f>
        <v>#VALUE!</v>
      </c>
      <c r="AP107" t="e">
        <f>AND('Planilla_General_07-12-2012_8_3'!K1599,"AAAAAFfZ/Sk=")</f>
        <v>#VALUE!</v>
      </c>
      <c r="AQ107" t="e">
        <f>AND('Planilla_General_07-12-2012_8_3'!L1599,"AAAAAFfZ/So=")</f>
        <v>#VALUE!</v>
      </c>
      <c r="AR107" t="e">
        <f>AND('Planilla_General_07-12-2012_8_3'!M1599,"AAAAAFfZ/Ss=")</f>
        <v>#VALUE!</v>
      </c>
      <c r="AS107" t="e">
        <f>AND('Planilla_General_07-12-2012_8_3'!N1599,"AAAAAFfZ/Sw=")</f>
        <v>#VALUE!</v>
      </c>
      <c r="AT107" t="e">
        <f>AND('Planilla_General_07-12-2012_8_3'!O1599,"AAAAAFfZ/S0=")</f>
        <v>#VALUE!</v>
      </c>
      <c r="AU107" t="e">
        <f>AND('Planilla_General_07-12-2012_8_3'!P1599,"AAAAAFfZ/S4=")</f>
        <v>#VALUE!</v>
      </c>
      <c r="AV107">
        <f>IF('Planilla_General_07-12-2012_8_3'!1600:1600,"AAAAAFfZ/S8=",0)</f>
        <v>0</v>
      </c>
      <c r="AW107" t="e">
        <f>AND('Planilla_General_07-12-2012_8_3'!A1600,"AAAAAFfZ/TA=")</f>
        <v>#VALUE!</v>
      </c>
      <c r="AX107" t="e">
        <f>AND('Planilla_General_07-12-2012_8_3'!B1600,"AAAAAFfZ/TE=")</f>
        <v>#VALUE!</v>
      </c>
      <c r="AY107" t="e">
        <f>AND('Planilla_General_07-12-2012_8_3'!C1600,"AAAAAFfZ/TI=")</f>
        <v>#VALUE!</v>
      </c>
      <c r="AZ107" t="e">
        <f>AND('Planilla_General_07-12-2012_8_3'!D1600,"AAAAAFfZ/TM=")</f>
        <v>#VALUE!</v>
      </c>
      <c r="BA107" t="e">
        <f>AND('Planilla_General_07-12-2012_8_3'!E1600,"AAAAAFfZ/TQ=")</f>
        <v>#VALUE!</v>
      </c>
      <c r="BB107" t="e">
        <f>AND('Planilla_General_07-12-2012_8_3'!F1600,"AAAAAFfZ/TU=")</f>
        <v>#VALUE!</v>
      </c>
      <c r="BC107" t="e">
        <f>AND('Planilla_General_07-12-2012_8_3'!G1600,"AAAAAFfZ/TY=")</f>
        <v>#VALUE!</v>
      </c>
      <c r="BD107" t="e">
        <f>AND('Planilla_General_07-12-2012_8_3'!H1600,"AAAAAFfZ/Tc=")</f>
        <v>#VALUE!</v>
      </c>
      <c r="BE107" t="e">
        <f>AND('Planilla_General_07-12-2012_8_3'!I1600,"AAAAAFfZ/Tg=")</f>
        <v>#VALUE!</v>
      </c>
      <c r="BF107" t="e">
        <f>AND('Planilla_General_07-12-2012_8_3'!J1600,"AAAAAFfZ/Tk=")</f>
        <v>#VALUE!</v>
      </c>
      <c r="BG107" t="e">
        <f>AND('Planilla_General_07-12-2012_8_3'!K1600,"AAAAAFfZ/To=")</f>
        <v>#VALUE!</v>
      </c>
      <c r="BH107" t="e">
        <f>AND('Planilla_General_07-12-2012_8_3'!L1600,"AAAAAFfZ/Ts=")</f>
        <v>#VALUE!</v>
      </c>
      <c r="BI107" t="e">
        <f>AND('Planilla_General_07-12-2012_8_3'!M1600,"AAAAAFfZ/Tw=")</f>
        <v>#VALUE!</v>
      </c>
      <c r="BJ107" t="e">
        <f>AND('Planilla_General_07-12-2012_8_3'!N1600,"AAAAAFfZ/T0=")</f>
        <v>#VALUE!</v>
      </c>
      <c r="BK107" t="e">
        <f>AND('Planilla_General_07-12-2012_8_3'!O1600,"AAAAAFfZ/T4=")</f>
        <v>#VALUE!</v>
      </c>
      <c r="BL107" t="e">
        <f>AND('Planilla_General_07-12-2012_8_3'!P1600,"AAAAAFfZ/T8=")</f>
        <v>#VALUE!</v>
      </c>
      <c r="BM107">
        <f>IF('Planilla_General_07-12-2012_8_3'!1601:1601,"AAAAAFfZ/UA=",0)</f>
        <v>0</v>
      </c>
      <c r="BN107" t="e">
        <f>AND('Planilla_General_07-12-2012_8_3'!A1601,"AAAAAFfZ/UE=")</f>
        <v>#VALUE!</v>
      </c>
      <c r="BO107" t="e">
        <f>AND('Planilla_General_07-12-2012_8_3'!B1601,"AAAAAFfZ/UI=")</f>
        <v>#VALUE!</v>
      </c>
      <c r="BP107" t="e">
        <f>AND('Planilla_General_07-12-2012_8_3'!C1601,"AAAAAFfZ/UM=")</f>
        <v>#VALUE!</v>
      </c>
      <c r="BQ107" t="e">
        <f>AND('Planilla_General_07-12-2012_8_3'!D1601,"AAAAAFfZ/UQ=")</f>
        <v>#VALUE!</v>
      </c>
      <c r="BR107" t="e">
        <f>AND('Planilla_General_07-12-2012_8_3'!E1601,"AAAAAFfZ/UU=")</f>
        <v>#VALUE!</v>
      </c>
      <c r="BS107" t="e">
        <f>AND('Planilla_General_07-12-2012_8_3'!F1601,"AAAAAFfZ/UY=")</f>
        <v>#VALUE!</v>
      </c>
      <c r="BT107" t="e">
        <f>AND('Planilla_General_07-12-2012_8_3'!G1601,"AAAAAFfZ/Uc=")</f>
        <v>#VALUE!</v>
      </c>
      <c r="BU107" t="e">
        <f>AND('Planilla_General_07-12-2012_8_3'!H1601,"AAAAAFfZ/Ug=")</f>
        <v>#VALUE!</v>
      </c>
      <c r="BV107" t="e">
        <f>AND('Planilla_General_07-12-2012_8_3'!I1601,"AAAAAFfZ/Uk=")</f>
        <v>#VALUE!</v>
      </c>
      <c r="BW107" t="e">
        <f>AND('Planilla_General_07-12-2012_8_3'!J1601,"AAAAAFfZ/Uo=")</f>
        <v>#VALUE!</v>
      </c>
      <c r="BX107" t="e">
        <f>AND('Planilla_General_07-12-2012_8_3'!K1601,"AAAAAFfZ/Us=")</f>
        <v>#VALUE!</v>
      </c>
      <c r="BY107" t="e">
        <f>AND('Planilla_General_07-12-2012_8_3'!L1601,"AAAAAFfZ/Uw=")</f>
        <v>#VALUE!</v>
      </c>
      <c r="BZ107" t="e">
        <f>AND('Planilla_General_07-12-2012_8_3'!M1601,"AAAAAFfZ/U0=")</f>
        <v>#VALUE!</v>
      </c>
      <c r="CA107" t="e">
        <f>AND('Planilla_General_07-12-2012_8_3'!N1601,"AAAAAFfZ/U4=")</f>
        <v>#VALUE!</v>
      </c>
      <c r="CB107" t="e">
        <f>AND('Planilla_General_07-12-2012_8_3'!O1601,"AAAAAFfZ/U8=")</f>
        <v>#VALUE!</v>
      </c>
      <c r="CC107" t="e">
        <f>AND('Planilla_General_07-12-2012_8_3'!P1601,"AAAAAFfZ/VA=")</f>
        <v>#VALUE!</v>
      </c>
      <c r="CD107">
        <f>IF('Planilla_General_07-12-2012_8_3'!1602:1602,"AAAAAFfZ/VE=",0)</f>
        <v>0</v>
      </c>
      <c r="CE107" t="e">
        <f>AND('Planilla_General_07-12-2012_8_3'!A1602,"AAAAAFfZ/VI=")</f>
        <v>#VALUE!</v>
      </c>
      <c r="CF107" t="e">
        <f>AND('Planilla_General_07-12-2012_8_3'!B1602,"AAAAAFfZ/VM=")</f>
        <v>#VALUE!</v>
      </c>
      <c r="CG107" t="e">
        <f>AND('Planilla_General_07-12-2012_8_3'!C1602,"AAAAAFfZ/VQ=")</f>
        <v>#VALUE!</v>
      </c>
      <c r="CH107" t="e">
        <f>AND('Planilla_General_07-12-2012_8_3'!D1602,"AAAAAFfZ/VU=")</f>
        <v>#VALUE!</v>
      </c>
      <c r="CI107" t="e">
        <f>AND('Planilla_General_07-12-2012_8_3'!E1602,"AAAAAFfZ/VY=")</f>
        <v>#VALUE!</v>
      </c>
      <c r="CJ107" t="e">
        <f>AND('Planilla_General_07-12-2012_8_3'!F1602,"AAAAAFfZ/Vc=")</f>
        <v>#VALUE!</v>
      </c>
      <c r="CK107" t="e">
        <f>AND('Planilla_General_07-12-2012_8_3'!G1602,"AAAAAFfZ/Vg=")</f>
        <v>#VALUE!</v>
      </c>
      <c r="CL107" t="e">
        <f>AND('Planilla_General_07-12-2012_8_3'!H1602,"AAAAAFfZ/Vk=")</f>
        <v>#VALUE!</v>
      </c>
      <c r="CM107" t="e">
        <f>AND('Planilla_General_07-12-2012_8_3'!I1602,"AAAAAFfZ/Vo=")</f>
        <v>#VALUE!</v>
      </c>
      <c r="CN107" t="e">
        <f>AND('Planilla_General_07-12-2012_8_3'!J1602,"AAAAAFfZ/Vs=")</f>
        <v>#VALUE!</v>
      </c>
      <c r="CO107" t="e">
        <f>AND('Planilla_General_07-12-2012_8_3'!K1602,"AAAAAFfZ/Vw=")</f>
        <v>#VALUE!</v>
      </c>
      <c r="CP107" t="e">
        <f>AND('Planilla_General_07-12-2012_8_3'!L1602,"AAAAAFfZ/V0=")</f>
        <v>#VALUE!</v>
      </c>
      <c r="CQ107" t="e">
        <f>AND('Planilla_General_07-12-2012_8_3'!M1602,"AAAAAFfZ/V4=")</f>
        <v>#VALUE!</v>
      </c>
      <c r="CR107" t="e">
        <f>AND('Planilla_General_07-12-2012_8_3'!N1602,"AAAAAFfZ/V8=")</f>
        <v>#VALUE!</v>
      </c>
      <c r="CS107" t="e">
        <f>AND('Planilla_General_07-12-2012_8_3'!O1602,"AAAAAFfZ/WA=")</f>
        <v>#VALUE!</v>
      </c>
      <c r="CT107" t="e">
        <f>AND('Planilla_General_07-12-2012_8_3'!P1602,"AAAAAFfZ/WE=")</f>
        <v>#VALUE!</v>
      </c>
      <c r="CU107">
        <f>IF('Planilla_General_07-12-2012_8_3'!1603:1603,"AAAAAFfZ/WI=",0)</f>
        <v>0</v>
      </c>
      <c r="CV107" t="e">
        <f>AND('Planilla_General_07-12-2012_8_3'!A1603,"AAAAAFfZ/WM=")</f>
        <v>#VALUE!</v>
      </c>
      <c r="CW107" t="e">
        <f>AND('Planilla_General_07-12-2012_8_3'!B1603,"AAAAAFfZ/WQ=")</f>
        <v>#VALUE!</v>
      </c>
      <c r="CX107" t="e">
        <f>AND('Planilla_General_07-12-2012_8_3'!C1603,"AAAAAFfZ/WU=")</f>
        <v>#VALUE!</v>
      </c>
      <c r="CY107" t="e">
        <f>AND('Planilla_General_07-12-2012_8_3'!D1603,"AAAAAFfZ/WY=")</f>
        <v>#VALUE!</v>
      </c>
      <c r="CZ107" t="e">
        <f>AND('Planilla_General_07-12-2012_8_3'!E1603,"AAAAAFfZ/Wc=")</f>
        <v>#VALUE!</v>
      </c>
      <c r="DA107" t="e">
        <f>AND('Planilla_General_07-12-2012_8_3'!F1603,"AAAAAFfZ/Wg=")</f>
        <v>#VALUE!</v>
      </c>
      <c r="DB107" t="e">
        <f>AND('Planilla_General_07-12-2012_8_3'!G1603,"AAAAAFfZ/Wk=")</f>
        <v>#VALUE!</v>
      </c>
      <c r="DC107" t="e">
        <f>AND('Planilla_General_07-12-2012_8_3'!H1603,"AAAAAFfZ/Wo=")</f>
        <v>#VALUE!</v>
      </c>
      <c r="DD107" t="e">
        <f>AND('Planilla_General_07-12-2012_8_3'!I1603,"AAAAAFfZ/Ws=")</f>
        <v>#VALUE!</v>
      </c>
      <c r="DE107" t="e">
        <f>AND('Planilla_General_07-12-2012_8_3'!J1603,"AAAAAFfZ/Ww=")</f>
        <v>#VALUE!</v>
      </c>
      <c r="DF107" t="e">
        <f>AND('Planilla_General_07-12-2012_8_3'!K1603,"AAAAAFfZ/W0=")</f>
        <v>#VALUE!</v>
      </c>
      <c r="DG107" t="e">
        <f>AND('Planilla_General_07-12-2012_8_3'!L1603,"AAAAAFfZ/W4=")</f>
        <v>#VALUE!</v>
      </c>
      <c r="DH107" t="e">
        <f>AND('Planilla_General_07-12-2012_8_3'!M1603,"AAAAAFfZ/W8=")</f>
        <v>#VALUE!</v>
      </c>
      <c r="DI107" t="e">
        <f>AND('Planilla_General_07-12-2012_8_3'!N1603,"AAAAAFfZ/XA=")</f>
        <v>#VALUE!</v>
      </c>
      <c r="DJ107" t="e">
        <f>AND('Planilla_General_07-12-2012_8_3'!O1603,"AAAAAFfZ/XE=")</f>
        <v>#VALUE!</v>
      </c>
      <c r="DK107" t="e">
        <f>AND('Planilla_General_07-12-2012_8_3'!P1603,"AAAAAFfZ/XI=")</f>
        <v>#VALUE!</v>
      </c>
      <c r="DL107">
        <f>IF('Planilla_General_07-12-2012_8_3'!1604:1604,"AAAAAFfZ/XM=",0)</f>
        <v>0</v>
      </c>
      <c r="DM107" t="e">
        <f>AND('Planilla_General_07-12-2012_8_3'!A1604,"AAAAAFfZ/XQ=")</f>
        <v>#VALUE!</v>
      </c>
      <c r="DN107" t="e">
        <f>AND('Planilla_General_07-12-2012_8_3'!B1604,"AAAAAFfZ/XU=")</f>
        <v>#VALUE!</v>
      </c>
      <c r="DO107" t="e">
        <f>AND('Planilla_General_07-12-2012_8_3'!C1604,"AAAAAFfZ/XY=")</f>
        <v>#VALUE!</v>
      </c>
      <c r="DP107" t="e">
        <f>AND('Planilla_General_07-12-2012_8_3'!D1604,"AAAAAFfZ/Xc=")</f>
        <v>#VALUE!</v>
      </c>
      <c r="DQ107" t="e">
        <f>AND('Planilla_General_07-12-2012_8_3'!E1604,"AAAAAFfZ/Xg=")</f>
        <v>#VALUE!</v>
      </c>
      <c r="DR107" t="e">
        <f>AND('Planilla_General_07-12-2012_8_3'!F1604,"AAAAAFfZ/Xk=")</f>
        <v>#VALUE!</v>
      </c>
      <c r="DS107" t="e">
        <f>AND('Planilla_General_07-12-2012_8_3'!G1604,"AAAAAFfZ/Xo=")</f>
        <v>#VALUE!</v>
      </c>
      <c r="DT107" t="e">
        <f>AND('Planilla_General_07-12-2012_8_3'!H1604,"AAAAAFfZ/Xs=")</f>
        <v>#VALUE!</v>
      </c>
      <c r="DU107" t="e">
        <f>AND('Planilla_General_07-12-2012_8_3'!I1604,"AAAAAFfZ/Xw=")</f>
        <v>#VALUE!</v>
      </c>
      <c r="DV107" t="e">
        <f>AND('Planilla_General_07-12-2012_8_3'!J1604,"AAAAAFfZ/X0=")</f>
        <v>#VALUE!</v>
      </c>
      <c r="DW107" t="e">
        <f>AND('Planilla_General_07-12-2012_8_3'!K1604,"AAAAAFfZ/X4=")</f>
        <v>#VALUE!</v>
      </c>
      <c r="DX107" t="e">
        <f>AND('Planilla_General_07-12-2012_8_3'!L1604,"AAAAAFfZ/X8=")</f>
        <v>#VALUE!</v>
      </c>
      <c r="DY107" t="e">
        <f>AND('Planilla_General_07-12-2012_8_3'!M1604,"AAAAAFfZ/YA=")</f>
        <v>#VALUE!</v>
      </c>
      <c r="DZ107" t="e">
        <f>AND('Planilla_General_07-12-2012_8_3'!N1604,"AAAAAFfZ/YE=")</f>
        <v>#VALUE!</v>
      </c>
      <c r="EA107" t="e">
        <f>AND('Planilla_General_07-12-2012_8_3'!O1604,"AAAAAFfZ/YI=")</f>
        <v>#VALUE!</v>
      </c>
      <c r="EB107" t="e">
        <f>AND('Planilla_General_07-12-2012_8_3'!P1604,"AAAAAFfZ/YM=")</f>
        <v>#VALUE!</v>
      </c>
      <c r="EC107">
        <f>IF('Planilla_General_07-12-2012_8_3'!1605:1605,"AAAAAFfZ/YQ=",0)</f>
        <v>0</v>
      </c>
      <c r="ED107" t="e">
        <f>AND('Planilla_General_07-12-2012_8_3'!A1605,"AAAAAFfZ/YU=")</f>
        <v>#VALUE!</v>
      </c>
      <c r="EE107" t="e">
        <f>AND('Planilla_General_07-12-2012_8_3'!B1605,"AAAAAFfZ/YY=")</f>
        <v>#VALUE!</v>
      </c>
      <c r="EF107" t="e">
        <f>AND('Planilla_General_07-12-2012_8_3'!C1605,"AAAAAFfZ/Yc=")</f>
        <v>#VALUE!</v>
      </c>
      <c r="EG107" t="e">
        <f>AND('Planilla_General_07-12-2012_8_3'!D1605,"AAAAAFfZ/Yg=")</f>
        <v>#VALUE!</v>
      </c>
      <c r="EH107" t="e">
        <f>AND('Planilla_General_07-12-2012_8_3'!E1605,"AAAAAFfZ/Yk=")</f>
        <v>#VALUE!</v>
      </c>
      <c r="EI107" t="e">
        <f>AND('Planilla_General_07-12-2012_8_3'!F1605,"AAAAAFfZ/Yo=")</f>
        <v>#VALUE!</v>
      </c>
      <c r="EJ107" t="e">
        <f>AND('Planilla_General_07-12-2012_8_3'!G1605,"AAAAAFfZ/Ys=")</f>
        <v>#VALUE!</v>
      </c>
      <c r="EK107" t="e">
        <f>AND('Planilla_General_07-12-2012_8_3'!H1605,"AAAAAFfZ/Yw=")</f>
        <v>#VALUE!</v>
      </c>
      <c r="EL107" t="e">
        <f>AND('Planilla_General_07-12-2012_8_3'!I1605,"AAAAAFfZ/Y0=")</f>
        <v>#VALUE!</v>
      </c>
      <c r="EM107" t="e">
        <f>AND('Planilla_General_07-12-2012_8_3'!J1605,"AAAAAFfZ/Y4=")</f>
        <v>#VALUE!</v>
      </c>
      <c r="EN107" t="e">
        <f>AND('Planilla_General_07-12-2012_8_3'!K1605,"AAAAAFfZ/Y8=")</f>
        <v>#VALUE!</v>
      </c>
      <c r="EO107" t="e">
        <f>AND('Planilla_General_07-12-2012_8_3'!L1605,"AAAAAFfZ/ZA=")</f>
        <v>#VALUE!</v>
      </c>
      <c r="EP107" t="e">
        <f>AND('Planilla_General_07-12-2012_8_3'!M1605,"AAAAAFfZ/ZE=")</f>
        <v>#VALUE!</v>
      </c>
      <c r="EQ107" t="e">
        <f>AND('Planilla_General_07-12-2012_8_3'!N1605,"AAAAAFfZ/ZI=")</f>
        <v>#VALUE!</v>
      </c>
      <c r="ER107" t="e">
        <f>AND('Planilla_General_07-12-2012_8_3'!O1605,"AAAAAFfZ/ZM=")</f>
        <v>#VALUE!</v>
      </c>
      <c r="ES107" t="e">
        <f>AND('Planilla_General_07-12-2012_8_3'!P1605,"AAAAAFfZ/ZQ=")</f>
        <v>#VALUE!</v>
      </c>
      <c r="ET107">
        <f>IF('Planilla_General_07-12-2012_8_3'!1606:1606,"AAAAAFfZ/ZU=",0)</f>
        <v>0</v>
      </c>
      <c r="EU107" t="e">
        <f>AND('Planilla_General_07-12-2012_8_3'!A1606,"AAAAAFfZ/ZY=")</f>
        <v>#VALUE!</v>
      </c>
      <c r="EV107" t="e">
        <f>AND('Planilla_General_07-12-2012_8_3'!B1606,"AAAAAFfZ/Zc=")</f>
        <v>#VALUE!</v>
      </c>
      <c r="EW107" t="e">
        <f>AND('Planilla_General_07-12-2012_8_3'!C1606,"AAAAAFfZ/Zg=")</f>
        <v>#VALUE!</v>
      </c>
      <c r="EX107" t="e">
        <f>AND('Planilla_General_07-12-2012_8_3'!D1606,"AAAAAFfZ/Zk=")</f>
        <v>#VALUE!</v>
      </c>
      <c r="EY107" t="e">
        <f>AND('Planilla_General_07-12-2012_8_3'!E1606,"AAAAAFfZ/Zo=")</f>
        <v>#VALUE!</v>
      </c>
      <c r="EZ107" t="e">
        <f>AND('Planilla_General_07-12-2012_8_3'!F1606,"AAAAAFfZ/Zs=")</f>
        <v>#VALUE!</v>
      </c>
      <c r="FA107" t="e">
        <f>AND('Planilla_General_07-12-2012_8_3'!G1606,"AAAAAFfZ/Zw=")</f>
        <v>#VALUE!</v>
      </c>
      <c r="FB107" t="e">
        <f>AND('Planilla_General_07-12-2012_8_3'!H1606,"AAAAAFfZ/Z0=")</f>
        <v>#VALUE!</v>
      </c>
      <c r="FC107" t="e">
        <f>AND('Planilla_General_07-12-2012_8_3'!I1606,"AAAAAFfZ/Z4=")</f>
        <v>#VALUE!</v>
      </c>
      <c r="FD107" t="e">
        <f>AND('Planilla_General_07-12-2012_8_3'!J1606,"AAAAAFfZ/Z8=")</f>
        <v>#VALUE!</v>
      </c>
      <c r="FE107" t="e">
        <f>AND('Planilla_General_07-12-2012_8_3'!K1606,"AAAAAFfZ/aA=")</f>
        <v>#VALUE!</v>
      </c>
      <c r="FF107" t="e">
        <f>AND('Planilla_General_07-12-2012_8_3'!L1606,"AAAAAFfZ/aE=")</f>
        <v>#VALUE!</v>
      </c>
      <c r="FG107" t="e">
        <f>AND('Planilla_General_07-12-2012_8_3'!M1606,"AAAAAFfZ/aI=")</f>
        <v>#VALUE!</v>
      </c>
      <c r="FH107" t="e">
        <f>AND('Planilla_General_07-12-2012_8_3'!N1606,"AAAAAFfZ/aM=")</f>
        <v>#VALUE!</v>
      </c>
      <c r="FI107" t="e">
        <f>AND('Planilla_General_07-12-2012_8_3'!O1606,"AAAAAFfZ/aQ=")</f>
        <v>#VALUE!</v>
      </c>
      <c r="FJ107" t="e">
        <f>AND('Planilla_General_07-12-2012_8_3'!P1606,"AAAAAFfZ/aU=")</f>
        <v>#VALUE!</v>
      </c>
      <c r="FK107">
        <f>IF('Planilla_General_07-12-2012_8_3'!1607:1607,"AAAAAFfZ/aY=",0)</f>
        <v>0</v>
      </c>
      <c r="FL107" t="e">
        <f>AND('Planilla_General_07-12-2012_8_3'!A1607,"AAAAAFfZ/ac=")</f>
        <v>#VALUE!</v>
      </c>
      <c r="FM107" t="e">
        <f>AND('Planilla_General_07-12-2012_8_3'!B1607,"AAAAAFfZ/ag=")</f>
        <v>#VALUE!</v>
      </c>
      <c r="FN107" t="e">
        <f>AND('Planilla_General_07-12-2012_8_3'!C1607,"AAAAAFfZ/ak=")</f>
        <v>#VALUE!</v>
      </c>
      <c r="FO107" t="e">
        <f>AND('Planilla_General_07-12-2012_8_3'!D1607,"AAAAAFfZ/ao=")</f>
        <v>#VALUE!</v>
      </c>
      <c r="FP107" t="e">
        <f>AND('Planilla_General_07-12-2012_8_3'!E1607,"AAAAAFfZ/as=")</f>
        <v>#VALUE!</v>
      </c>
      <c r="FQ107" t="e">
        <f>AND('Planilla_General_07-12-2012_8_3'!F1607,"AAAAAFfZ/aw=")</f>
        <v>#VALUE!</v>
      </c>
      <c r="FR107" t="e">
        <f>AND('Planilla_General_07-12-2012_8_3'!G1607,"AAAAAFfZ/a0=")</f>
        <v>#VALUE!</v>
      </c>
      <c r="FS107" t="e">
        <f>AND('Planilla_General_07-12-2012_8_3'!H1607,"AAAAAFfZ/a4=")</f>
        <v>#VALUE!</v>
      </c>
      <c r="FT107" t="e">
        <f>AND('Planilla_General_07-12-2012_8_3'!I1607,"AAAAAFfZ/a8=")</f>
        <v>#VALUE!</v>
      </c>
      <c r="FU107" t="e">
        <f>AND('Planilla_General_07-12-2012_8_3'!J1607,"AAAAAFfZ/bA=")</f>
        <v>#VALUE!</v>
      </c>
      <c r="FV107" t="e">
        <f>AND('Planilla_General_07-12-2012_8_3'!K1607,"AAAAAFfZ/bE=")</f>
        <v>#VALUE!</v>
      </c>
      <c r="FW107" t="e">
        <f>AND('Planilla_General_07-12-2012_8_3'!L1607,"AAAAAFfZ/bI=")</f>
        <v>#VALUE!</v>
      </c>
      <c r="FX107" t="e">
        <f>AND('Planilla_General_07-12-2012_8_3'!M1607,"AAAAAFfZ/bM=")</f>
        <v>#VALUE!</v>
      </c>
      <c r="FY107" t="e">
        <f>AND('Planilla_General_07-12-2012_8_3'!N1607,"AAAAAFfZ/bQ=")</f>
        <v>#VALUE!</v>
      </c>
      <c r="FZ107" t="e">
        <f>AND('Planilla_General_07-12-2012_8_3'!O1607,"AAAAAFfZ/bU=")</f>
        <v>#VALUE!</v>
      </c>
      <c r="GA107" t="e">
        <f>AND('Planilla_General_07-12-2012_8_3'!P1607,"AAAAAFfZ/bY=")</f>
        <v>#VALUE!</v>
      </c>
      <c r="GB107">
        <f>IF('Planilla_General_07-12-2012_8_3'!1608:1608,"AAAAAFfZ/bc=",0)</f>
        <v>0</v>
      </c>
      <c r="GC107" t="e">
        <f>AND('Planilla_General_07-12-2012_8_3'!A1608,"AAAAAFfZ/bg=")</f>
        <v>#VALUE!</v>
      </c>
      <c r="GD107" t="e">
        <f>AND('Planilla_General_07-12-2012_8_3'!B1608,"AAAAAFfZ/bk=")</f>
        <v>#VALUE!</v>
      </c>
      <c r="GE107" t="e">
        <f>AND('Planilla_General_07-12-2012_8_3'!C1608,"AAAAAFfZ/bo=")</f>
        <v>#VALUE!</v>
      </c>
      <c r="GF107" t="e">
        <f>AND('Planilla_General_07-12-2012_8_3'!D1608,"AAAAAFfZ/bs=")</f>
        <v>#VALUE!</v>
      </c>
      <c r="GG107" t="e">
        <f>AND('Planilla_General_07-12-2012_8_3'!E1608,"AAAAAFfZ/bw=")</f>
        <v>#VALUE!</v>
      </c>
      <c r="GH107" t="e">
        <f>AND('Planilla_General_07-12-2012_8_3'!F1608,"AAAAAFfZ/b0=")</f>
        <v>#VALUE!</v>
      </c>
      <c r="GI107" t="e">
        <f>AND('Planilla_General_07-12-2012_8_3'!G1608,"AAAAAFfZ/b4=")</f>
        <v>#VALUE!</v>
      </c>
      <c r="GJ107" t="e">
        <f>AND('Planilla_General_07-12-2012_8_3'!H1608,"AAAAAFfZ/b8=")</f>
        <v>#VALUE!</v>
      </c>
      <c r="GK107" t="e">
        <f>AND('Planilla_General_07-12-2012_8_3'!I1608,"AAAAAFfZ/cA=")</f>
        <v>#VALUE!</v>
      </c>
      <c r="GL107" t="e">
        <f>AND('Planilla_General_07-12-2012_8_3'!J1608,"AAAAAFfZ/cE=")</f>
        <v>#VALUE!</v>
      </c>
      <c r="GM107" t="e">
        <f>AND('Planilla_General_07-12-2012_8_3'!K1608,"AAAAAFfZ/cI=")</f>
        <v>#VALUE!</v>
      </c>
      <c r="GN107" t="e">
        <f>AND('Planilla_General_07-12-2012_8_3'!L1608,"AAAAAFfZ/cM=")</f>
        <v>#VALUE!</v>
      </c>
      <c r="GO107" t="e">
        <f>AND('Planilla_General_07-12-2012_8_3'!M1608,"AAAAAFfZ/cQ=")</f>
        <v>#VALUE!</v>
      </c>
      <c r="GP107" t="e">
        <f>AND('Planilla_General_07-12-2012_8_3'!N1608,"AAAAAFfZ/cU=")</f>
        <v>#VALUE!</v>
      </c>
      <c r="GQ107" t="e">
        <f>AND('Planilla_General_07-12-2012_8_3'!O1608,"AAAAAFfZ/cY=")</f>
        <v>#VALUE!</v>
      </c>
      <c r="GR107" t="e">
        <f>AND('Planilla_General_07-12-2012_8_3'!P1608,"AAAAAFfZ/cc=")</f>
        <v>#VALUE!</v>
      </c>
      <c r="GS107">
        <f>IF('Planilla_General_07-12-2012_8_3'!1609:1609,"AAAAAFfZ/cg=",0)</f>
        <v>0</v>
      </c>
      <c r="GT107" t="e">
        <f>AND('Planilla_General_07-12-2012_8_3'!A1609,"AAAAAFfZ/ck=")</f>
        <v>#VALUE!</v>
      </c>
      <c r="GU107" t="e">
        <f>AND('Planilla_General_07-12-2012_8_3'!B1609,"AAAAAFfZ/co=")</f>
        <v>#VALUE!</v>
      </c>
      <c r="GV107" t="e">
        <f>AND('Planilla_General_07-12-2012_8_3'!C1609,"AAAAAFfZ/cs=")</f>
        <v>#VALUE!</v>
      </c>
      <c r="GW107" t="e">
        <f>AND('Planilla_General_07-12-2012_8_3'!D1609,"AAAAAFfZ/cw=")</f>
        <v>#VALUE!</v>
      </c>
      <c r="GX107" t="e">
        <f>AND('Planilla_General_07-12-2012_8_3'!E1609,"AAAAAFfZ/c0=")</f>
        <v>#VALUE!</v>
      </c>
      <c r="GY107" t="e">
        <f>AND('Planilla_General_07-12-2012_8_3'!F1609,"AAAAAFfZ/c4=")</f>
        <v>#VALUE!</v>
      </c>
      <c r="GZ107" t="e">
        <f>AND('Planilla_General_07-12-2012_8_3'!G1609,"AAAAAFfZ/c8=")</f>
        <v>#VALUE!</v>
      </c>
      <c r="HA107" t="e">
        <f>AND('Planilla_General_07-12-2012_8_3'!H1609,"AAAAAFfZ/dA=")</f>
        <v>#VALUE!</v>
      </c>
      <c r="HB107" t="e">
        <f>AND('Planilla_General_07-12-2012_8_3'!I1609,"AAAAAFfZ/dE=")</f>
        <v>#VALUE!</v>
      </c>
      <c r="HC107" t="e">
        <f>AND('Planilla_General_07-12-2012_8_3'!J1609,"AAAAAFfZ/dI=")</f>
        <v>#VALUE!</v>
      </c>
      <c r="HD107" t="e">
        <f>AND('Planilla_General_07-12-2012_8_3'!K1609,"AAAAAFfZ/dM=")</f>
        <v>#VALUE!</v>
      </c>
      <c r="HE107" t="e">
        <f>AND('Planilla_General_07-12-2012_8_3'!L1609,"AAAAAFfZ/dQ=")</f>
        <v>#VALUE!</v>
      </c>
      <c r="HF107" t="e">
        <f>AND('Planilla_General_07-12-2012_8_3'!M1609,"AAAAAFfZ/dU=")</f>
        <v>#VALUE!</v>
      </c>
      <c r="HG107" t="e">
        <f>AND('Planilla_General_07-12-2012_8_3'!N1609,"AAAAAFfZ/dY=")</f>
        <v>#VALUE!</v>
      </c>
      <c r="HH107" t="e">
        <f>AND('Planilla_General_07-12-2012_8_3'!O1609,"AAAAAFfZ/dc=")</f>
        <v>#VALUE!</v>
      </c>
      <c r="HI107" t="e">
        <f>AND('Planilla_General_07-12-2012_8_3'!P1609,"AAAAAFfZ/dg=")</f>
        <v>#VALUE!</v>
      </c>
      <c r="HJ107">
        <f>IF('Planilla_General_07-12-2012_8_3'!1610:1610,"AAAAAFfZ/dk=",0)</f>
        <v>0</v>
      </c>
      <c r="HK107" t="e">
        <f>AND('Planilla_General_07-12-2012_8_3'!A1610,"AAAAAFfZ/do=")</f>
        <v>#VALUE!</v>
      </c>
      <c r="HL107" t="e">
        <f>AND('Planilla_General_07-12-2012_8_3'!B1610,"AAAAAFfZ/ds=")</f>
        <v>#VALUE!</v>
      </c>
      <c r="HM107" t="e">
        <f>AND('Planilla_General_07-12-2012_8_3'!C1610,"AAAAAFfZ/dw=")</f>
        <v>#VALUE!</v>
      </c>
      <c r="HN107" t="e">
        <f>AND('Planilla_General_07-12-2012_8_3'!D1610,"AAAAAFfZ/d0=")</f>
        <v>#VALUE!</v>
      </c>
      <c r="HO107" t="e">
        <f>AND('Planilla_General_07-12-2012_8_3'!E1610,"AAAAAFfZ/d4=")</f>
        <v>#VALUE!</v>
      </c>
      <c r="HP107" t="e">
        <f>AND('Planilla_General_07-12-2012_8_3'!F1610,"AAAAAFfZ/d8=")</f>
        <v>#VALUE!</v>
      </c>
      <c r="HQ107" t="e">
        <f>AND('Planilla_General_07-12-2012_8_3'!G1610,"AAAAAFfZ/eA=")</f>
        <v>#VALUE!</v>
      </c>
      <c r="HR107" t="e">
        <f>AND('Planilla_General_07-12-2012_8_3'!H1610,"AAAAAFfZ/eE=")</f>
        <v>#VALUE!</v>
      </c>
      <c r="HS107" t="e">
        <f>AND('Planilla_General_07-12-2012_8_3'!I1610,"AAAAAFfZ/eI=")</f>
        <v>#VALUE!</v>
      </c>
      <c r="HT107" t="e">
        <f>AND('Planilla_General_07-12-2012_8_3'!J1610,"AAAAAFfZ/eM=")</f>
        <v>#VALUE!</v>
      </c>
      <c r="HU107" t="e">
        <f>AND('Planilla_General_07-12-2012_8_3'!K1610,"AAAAAFfZ/eQ=")</f>
        <v>#VALUE!</v>
      </c>
      <c r="HV107" t="e">
        <f>AND('Planilla_General_07-12-2012_8_3'!L1610,"AAAAAFfZ/eU=")</f>
        <v>#VALUE!</v>
      </c>
      <c r="HW107" t="e">
        <f>AND('Planilla_General_07-12-2012_8_3'!M1610,"AAAAAFfZ/eY=")</f>
        <v>#VALUE!</v>
      </c>
      <c r="HX107" t="e">
        <f>AND('Planilla_General_07-12-2012_8_3'!N1610,"AAAAAFfZ/ec=")</f>
        <v>#VALUE!</v>
      </c>
      <c r="HY107" t="e">
        <f>AND('Planilla_General_07-12-2012_8_3'!O1610,"AAAAAFfZ/eg=")</f>
        <v>#VALUE!</v>
      </c>
      <c r="HZ107" t="e">
        <f>AND('Planilla_General_07-12-2012_8_3'!P1610,"AAAAAFfZ/ek=")</f>
        <v>#VALUE!</v>
      </c>
      <c r="IA107">
        <f>IF('Planilla_General_07-12-2012_8_3'!1611:1611,"AAAAAFfZ/eo=",0)</f>
        <v>0</v>
      </c>
      <c r="IB107" t="e">
        <f>AND('Planilla_General_07-12-2012_8_3'!A1611,"AAAAAFfZ/es=")</f>
        <v>#VALUE!</v>
      </c>
      <c r="IC107" t="e">
        <f>AND('Planilla_General_07-12-2012_8_3'!B1611,"AAAAAFfZ/ew=")</f>
        <v>#VALUE!</v>
      </c>
      <c r="ID107" t="e">
        <f>AND('Planilla_General_07-12-2012_8_3'!C1611,"AAAAAFfZ/e0=")</f>
        <v>#VALUE!</v>
      </c>
      <c r="IE107" t="e">
        <f>AND('Planilla_General_07-12-2012_8_3'!D1611,"AAAAAFfZ/e4=")</f>
        <v>#VALUE!</v>
      </c>
      <c r="IF107" t="e">
        <f>AND('Planilla_General_07-12-2012_8_3'!E1611,"AAAAAFfZ/e8=")</f>
        <v>#VALUE!</v>
      </c>
      <c r="IG107" t="e">
        <f>AND('Planilla_General_07-12-2012_8_3'!F1611,"AAAAAFfZ/fA=")</f>
        <v>#VALUE!</v>
      </c>
      <c r="IH107" t="e">
        <f>AND('Planilla_General_07-12-2012_8_3'!G1611,"AAAAAFfZ/fE=")</f>
        <v>#VALUE!</v>
      </c>
      <c r="II107" t="e">
        <f>AND('Planilla_General_07-12-2012_8_3'!H1611,"AAAAAFfZ/fI=")</f>
        <v>#VALUE!</v>
      </c>
      <c r="IJ107" t="e">
        <f>AND('Planilla_General_07-12-2012_8_3'!I1611,"AAAAAFfZ/fM=")</f>
        <v>#VALUE!</v>
      </c>
      <c r="IK107" t="e">
        <f>AND('Planilla_General_07-12-2012_8_3'!J1611,"AAAAAFfZ/fQ=")</f>
        <v>#VALUE!</v>
      </c>
      <c r="IL107" t="e">
        <f>AND('Planilla_General_07-12-2012_8_3'!K1611,"AAAAAFfZ/fU=")</f>
        <v>#VALUE!</v>
      </c>
      <c r="IM107" t="e">
        <f>AND('Planilla_General_07-12-2012_8_3'!L1611,"AAAAAFfZ/fY=")</f>
        <v>#VALUE!</v>
      </c>
      <c r="IN107" t="e">
        <f>AND('Planilla_General_07-12-2012_8_3'!M1611,"AAAAAFfZ/fc=")</f>
        <v>#VALUE!</v>
      </c>
      <c r="IO107" t="e">
        <f>AND('Planilla_General_07-12-2012_8_3'!N1611,"AAAAAFfZ/fg=")</f>
        <v>#VALUE!</v>
      </c>
      <c r="IP107" t="e">
        <f>AND('Planilla_General_07-12-2012_8_3'!O1611,"AAAAAFfZ/fk=")</f>
        <v>#VALUE!</v>
      </c>
      <c r="IQ107" t="e">
        <f>AND('Planilla_General_07-12-2012_8_3'!P1611,"AAAAAFfZ/fo=")</f>
        <v>#VALUE!</v>
      </c>
      <c r="IR107">
        <f>IF('Planilla_General_07-12-2012_8_3'!1612:1612,"AAAAAFfZ/fs=",0)</f>
        <v>0</v>
      </c>
      <c r="IS107" t="e">
        <f>AND('Planilla_General_07-12-2012_8_3'!A1612,"AAAAAFfZ/fw=")</f>
        <v>#VALUE!</v>
      </c>
      <c r="IT107" t="e">
        <f>AND('Planilla_General_07-12-2012_8_3'!B1612,"AAAAAFfZ/f0=")</f>
        <v>#VALUE!</v>
      </c>
      <c r="IU107" t="e">
        <f>AND('Planilla_General_07-12-2012_8_3'!C1612,"AAAAAFfZ/f4=")</f>
        <v>#VALUE!</v>
      </c>
      <c r="IV107" t="e">
        <f>AND('Planilla_General_07-12-2012_8_3'!D1612,"AAAAAFfZ/f8=")</f>
        <v>#VALUE!</v>
      </c>
    </row>
    <row r="108" spans="1:256" x14ac:dyDescent="0.25">
      <c r="A108" t="e">
        <f>AND('Planilla_General_07-12-2012_8_3'!E1612,"AAAAAHWe/wA=")</f>
        <v>#VALUE!</v>
      </c>
      <c r="B108" t="e">
        <f>AND('Planilla_General_07-12-2012_8_3'!F1612,"AAAAAHWe/wE=")</f>
        <v>#VALUE!</v>
      </c>
      <c r="C108" t="e">
        <f>AND('Planilla_General_07-12-2012_8_3'!G1612,"AAAAAHWe/wI=")</f>
        <v>#VALUE!</v>
      </c>
      <c r="D108" t="e">
        <f>AND('Planilla_General_07-12-2012_8_3'!H1612,"AAAAAHWe/wM=")</f>
        <v>#VALUE!</v>
      </c>
      <c r="E108" t="e">
        <f>AND('Planilla_General_07-12-2012_8_3'!I1612,"AAAAAHWe/wQ=")</f>
        <v>#VALUE!</v>
      </c>
      <c r="F108" t="e">
        <f>AND('Planilla_General_07-12-2012_8_3'!J1612,"AAAAAHWe/wU=")</f>
        <v>#VALUE!</v>
      </c>
      <c r="G108" t="e">
        <f>AND('Planilla_General_07-12-2012_8_3'!K1612,"AAAAAHWe/wY=")</f>
        <v>#VALUE!</v>
      </c>
      <c r="H108" t="e">
        <f>AND('Planilla_General_07-12-2012_8_3'!L1612,"AAAAAHWe/wc=")</f>
        <v>#VALUE!</v>
      </c>
      <c r="I108" t="e">
        <f>AND('Planilla_General_07-12-2012_8_3'!M1612,"AAAAAHWe/wg=")</f>
        <v>#VALUE!</v>
      </c>
      <c r="J108" t="e">
        <f>AND('Planilla_General_07-12-2012_8_3'!N1612,"AAAAAHWe/wk=")</f>
        <v>#VALUE!</v>
      </c>
      <c r="K108" t="e">
        <f>AND('Planilla_General_07-12-2012_8_3'!O1612,"AAAAAHWe/wo=")</f>
        <v>#VALUE!</v>
      </c>
      <c r="L108" t="e">
        <f>AND('Planilla_General_07-12-2012_8_3'!P1612,"AAAAAHWe/ws=")</f>
        <v>#VALUE!</v>
      </c>
      <c r="M108" t="str">
        <f>IF('Planilla_General_07-12-2012_8_3'!1613:1613,"AAAAAHWe/ww=",0)</f>
        <v>AAAAAHWe/ww=</v>
      </c>
      <c r="N108" t="e">
        <f>AND('Planilla_General_07-12-2012_8_3'!A1613,"AAAAAHWe/w0=")</f>
        <v>#VALUE!</v>
      </c>
      <c r="O108" t="e">
        <f>AND('Planilla_General_07-12-2012_8_3'!B1613,"AAAAAHWe/w4=")</f>
        <v>#VALUE!</v>
      </c>
      <c r="P108" t="e">
        <f>AND('Planilla_General_07-12-2012_8_3'!C1613,"AAAAAHWe/w8=")</f>
        <v>#VALUE!</v>
      </c>
      <c r="Q108" t="e">
        <f>AND('Planilla_General_07-12-2012_8_3'!D1613,"AAAAAHWe/xA=")</f>
        <v>#VALUE!</v>
      </c>
      <c r="R108" t="e">
        <f>AND('Planilla_General_07-12-2012_8_3'!E1613,"AAAAAHWe/xE=")</f>
        <v>#VALUE!</v>
      </c>
      <c r="S108" t="e">
        <f>AND('Planilla_General_07-12-2012_8_3'!F1613,"AAAAAHWe/xI=")</f>
        <v>#VALUE!</v>
      </c>
      <c r="T108" t="e">
        <f>AND('Planilla_General_07-12-2012_8_3'!G1613,"AAAAAHWe/xM=")</f>
        <v>#VALUE!</v>
      </c>
      <c r="U108" t="e">
        <f>AND('Planilla_General_07-12-2012_8_3'!H1613,"AAAAAHWe/xQ=")</f>
        <v>#VALUE!</v>
      </c>
      <c r="V108" t="e">
        <f>AND('Planilla_General_07-12-2012_8_3'!I1613,"AAAAAHWe/xU=")</f>
        <v>#VALUE!</v>
      </c>
      <c r="W108" t="e">
        <f>AND('Planilla_General_07-12-2012_8_3'!J1613,"AAAAAHWe/xY=")</f>
        <v>#VALUE!</v>
      </c>
      <c r="X108" t="e">
        <f>AND('Planilla_General_07-12-2012_8_3'!K1613,"AAAAAHWe/xc=")</f>
        <v>#VALUE!</v>
      </c>
      <c r="Y108" t="e">
        <f>AND('Planilla_General_07-12-2012_8_3'!L1613,"AAAAAHWe/xg=")</f>
        <v>#VALUE!</v>
      </c>
      <c r="Z108" t="e">
        <f>AND('Planilla_General_07-12-2012_8_3'!M1613,"AAAAAHWe/xk=")</f>
        <v>#VALUE!</v>
      </c>
      <c r="AA108" t="e">
        <f>AND('Planilla_General_07-12-2012_8_3'!N1613,"AAAAAHWe/xo=")</f>
        <v>#VALUE!</v>
      </c>
      <c r="AB108" t="e">
        <f>AND('Planilla_General_07-12-2012_8_3'!O1613,"AAAAAHWe/xs=")</f>
        <v>#VALUE!</v>
      </c>
      <c r="AC108" t="e">
        <f>AND('Planilla_General_07-12-2012_8_3'!P1613,"AAAAAHWe/xw=")</f>
        <v>#VALUE!</v>
      </c>
      <c r="AD108">
        <f>IF('Planilla_General_07-12-2012_8_3'!1614:1614,"AAAAAHWe/x0=",0)</f>
        <v>0</v>
      </c>
      <c r="AE108" t="e">
        <f>AND('Planilla_General_07-12-2012_8_3'!A1614,"AAAAAHWe/x4=")</f>
        <v>#VALUE!</v>
      </c>
      <c r="AF108" t="e">
        <f>AND('Planilla_General_07-12-2012_8_3'!B1614,"AAAAAHWe/x8=")</f>
        <v>#VALUE!</v>
      </c>
      <c r="AG108" t="e">
        <f>AND('Planilla_General_07-12-2012_8_3'!C1614,"AAAAAHWe/yA=")</f>
        <v>#VALUE!</v>
      </c>
      <c r="AH108" t="e">
        <f>AND('Planilla_General_07-12-2012_8_3'!D1614,"AAAAAHWe/yE=")</f>
        <v>#VALUE!</v>
      </c>
      <c r="AI108" t="e">
        <f>AND('Planilla_General_07-12-2012_8_3'!E1614,"AAAAAHWe/yI=")</f>
        <v>#VALUE!</v>
      </c>
      <c r="AJ108" t="e">
        <f>AND('Planilla_General_07-12-2012_8_3'!F1614,"AAAAAHWe/yM=")</f>
        <v>#VALUE!</v>
      </c>
      <c r="AK108" t="e">
        <f>AND('Planilla_General_07-12-2012_8_3'!G1614,"AAAAAHWe/yQ=")</f>
        <v>#VALUE!</v>
      </c>
      <c r="AL108" t="e">
        <f>AND('Planilla_General_07-12-2012_8_3'!H1614,"AAAAAHWe/yU=")</f>
        <v>#VALUE!</v>
      </c>
      <c r="AM108" t="e">
        <f>AND('Planilla_General_07-12-2012_8_3'!I1614,"AAAAAHWe/yY=")</f>
        <v>#VALUE!</v>
      </c>
      <c r="AN108" t="e">
        <f>AND('Planilla_General_07-12-2012_8_3'!J1614,"AAAAAHWe/yc=")</f>
        <v>#VALUE!</v>
      </c>
      <c r="AO108" t="e">
        <f>AND('Planilla_General_07-12-2012_8_3'!K1614,"AAAAAHWe/yg=")</f>
        <v>#VALUE!</v>
      </c>
      <c r="AP108" t="e">
        <f>AND('Planilla_General_07-12-2012_8_3'!L1614,"AAAAAHWe/yk=")</f>
        <v>#VALUE!</v>
      </c>
      <c r="AQ108" t="e">
        <f>AND('Planilla_General_07-12-2012_8_3'!M1614,"AAAAAHWe/yo=")</f>
        <v>#VALUE!</v>
      </c>
      <c r="AR108" t="e">
        <f>AND('Planilla_General_07-12-2012_8_3'!N1614,"AAAAAHWe/ys=")</f>
        <v>#VALUE!</v>
      </c>
      <c r="AS108" t="e">
        <f>AND('Planilla_General_07-12-2012_8_3'!O1614,"AAAAAHWe/yw=")</f>
        <v>#VALUE!</v>
      </c>
      <c r="AT108" t="e">
        <f>AND('Planilla_General_07-12-2012_8_3'!P1614,"AAAAAHWe/y0=")</f>
        <v>#VALUE!</v>
      </c>
      <c r="AU108">
        <f>IF('Planilla_General_07-12-2012_8_3'!1615:1615,"AAAAAHWe/y4=",0)</f>
        <v>0</v>
      </c>
      <c r="AV108" t="e">
        <f>AND('Planilla_General_07-12-2012_8_3'!A1615,"AAAAAHWe/y8=")</f>
        <v>#VALUE!</v>
      </c>
      <c r="AW108" t="e">
        <f>AND('Planilla_General_07-12-2012_8_3'!B1615,"AAAAAHWe/zA=")</f>
        <v>#VALUE!</v>
      </c>
      <c r="AX108" t="e">
        <f>AND('Planilla_General_07-12-2012_8_3'!C1615,"AAAAAHWe/zE=")</f>
        <v>#VALUE!</v>
      </c>
      <c r="AY108" t="e">
        <f>AND('Planilla_General_07-12-2012_8_3'!D1615,"AAAAAHWe/zI=")</f>
        <v>#VALUE!</v>
      </c>
      <c r="AZ108" t="e">
        <f>AND('Planilla_General_07-12-2012_8_3'!E1615,"AAAAAHWe/zM=")</f>
        <v>#VALUE!</v>
      </c>
      <c r="BA108" t="e">
        <f>AND('Planilla_General_07-12-2012_8_3'!F1615,"AAAAAHWe/zQ=")</f>
        <v>#VALUE!</v>
      </c>
      <c r="BB108" t="e">
        <f>AND('Planilla_General_07-12-2012_8_3'!G1615,"AAAAAHWe/zU=")</f>
        <v>#VALUE!</v>
      </c>
      <c r="BC108" t="e">
        <f>AND('Planilla_General_07-12-2012_8_3'!H1615,"AAAAAHWe/zY=")</f>
        <v>#VALUE!</v>
      </c>
      <c r="BD108" t="e">
        <f>AND('Planilla_General_07-12-2012_8_3'!I1615,"AAAAAHWe/zc=")</f>
        <v>#VALUE!</v>
      </c>
      <c r="BE108" t="e">
        <f>AND('Planilla_General_07-12-2012_8_3'!J1615,"AAAAAHWe/zg=")</f>
        <v>#VALUE!</v>
      </c>
      <c r="BF108" t="e">
        <f>AND('Planilla_General_07-12-2012_8_3'!K1615,"AAAAAHWe/zk=")</f>
        <v>#VALUE!</v>
      </c>
      <c r="BG108" t="e">
        <f>AND('Planilla_General_07-12-2012_8_3'!L1615,"AAAAAHWe/zo=")</f>
        <v>#VALUE!</v>
      </c>
      <c r="BH108" t="e">
        <f>AND('Planilla_General_07-12-2012_8_3'!M1615,"AAAAAHWe/zs=")</f>
        <v>#VALUE!</v>
      </c>
      <c r="BI108" t="e">
        <f>AND('Planilla_General_07-12-2012_8_3'!N1615,"AAAAAHWe/zw=")</f>
        <v>#VALUE!</v>
      </c>
      <c r="BJ108" t="e">
        <f>AND('Planilla_General_07-12-2012_8_3'!O1615,"AAAAAHWe/z0=")</f>
        <v>#VALUE!</v>
      </c>
      <c r="BK108" t="e">
        <f>AND('Planilla_General_07-12-2012_8_3'!P1615,"AAAAAHWe/z4=")</f>
        <v>#VALUE!</v>
      </c>
      <c r="BL108">
        <f>IF('Planilla_General_07-12-2012_8_3'!1616:1616,"AAAAAHWe/z8=",0)</f>
        <v>0</v>
      </c>
      <c r="BM108" t="e">
        <f>AND('Planilla_General_07-12-2012_8_3'!A1616,"AAAAAHWe/0A=")</f>
        <v>#VALUE!</v>
      </c>
      <c r="BN108" t="e">
        <f>AND('Planilla_General_07-12-2012_8_3'!B1616,"AAAAAHWe/0E=")</f>
        <v>#VALUE!</v>
      </c>
      <c r="BO108" t="e">
        <f>AND('Planilla_General_07-12-2012_8_3'!C1616,"AAAAAHWe/0I=")</f>
        <v>#VALUE!</v>
      </c>
      <c r="BP108" t="e">
        <f>AND('Planilla_General_07-12-2012_8_3'!D1616,"AAAAAHWe/0M=")</f>
        <v>#VALUE!</v>
      </c>
      <c r="BQ108" t="e">
        <f>AND('Planilla_General_07-12-2012_8_3'!E1616,"AAAAAHWe/0Q=")</f>
        <v>#VALUE!</v>
      </c>
      <c r="BR108" t="e">
        <f>AND('Planilla_General_07-12-2012_8_3'!F1616,"AAAAAHWe/0U=")</f>
        <v>#VALUE!</v>
      </c>
      <c r="BS108" t="e">
        <f>AND('Planilla_General_07-12-2012_8_3'!G1616,"AAAAAHWe/0Y=")</f>
        <v>#VALUE!</v>
      </c>
      <c r="BT108" t="e">
        <f>AND('Planilla_General_07-12-2012_8_3'!H1616,"AAAAAHWe/0c=")</f>
        <v>#VALUE!</v>
      </c>
      <c r="BU108" t="e">
        <f>AND('Planilla_General_07-12-2012_8_3'!I1616,"AAAAAHWe/0g=")</f>
        <v>#VALUE!</v>
      </c>
      <c r="BV108" t="e">
        <f>AND('Planilla_General_07-12-2012_8_3'!J1616,"AAAAAHWe/0k=")</f>
        <v>#VALUE!</v>
      </c>
      <c r="BW108" t="e">
        <f>AND('Planilla_General_07-12-2012_8_3'!K1616,"AAAAAHWe/0o=")</f>
        <v>#VALUE!</v>
      </c>
      <c r="BX108" t="e">
        <f>AND('Planilla_General_07-12-2012_8_3'!L1616,"AAAAAHWe/0s=")</f>
        <v>#VALUE!</v>
      </c>
      <c r="BY108" t="e">
        <f>AND('Planilla_General_07-12-2012_8_3'!M1616,"AAAAAHWe/0w=")</f>
        <v>#VALUE!</v>
      </c>
      <c r="BZ108" t="e">
        <f>AND('Planilla_General_07-12-2012_8_3'!N1616,"AAAAAHWe/00=")</f>
        <v>#VALUE!</v>
      </c>
      <c r="CA108" t="e">
        <f>AND('Planilla_General_07-12-2012_8_3'!O1616,"AAAAAHWe/04=")</f>
        <v>#VALUE!</v>
      </c>
      <c r="CB108" t="e">
        <f>AND('Planilla_General_07-12-2012_8_3'!P1616,"AAAAAHWe/08=")</f>
        <v>#VALUE!</v>
      </c>
      <c r="CC108">
        <f>IF('Planilla_General_07-12-2012_8_3'!1617:1617,"AAAAAHWe/1A=",0)</f>
        <v>0</v>
      </c>
      <c r="CD108" t="e">
        <f>AND('Planilla_General_07-12-2012_8_3'!A1617,"AAAAAHWe/1E=")</f>
        <v>#VALUE!</v>
      </c>
      <c r="CE108" t="e">
        <f>AND('Planilla_General_07-12-2012_8_3'!B1617,"AAAAAHWe/1I=")</f>
        <v>#VALUE!</v>
      </c>
      <c r="CF108" t="e">
        <f>AND('Planilla_General_07-12-2012_8_3'!C1617,"AAAAAHWe/1M=")</f>
        <v>#VALUE!</v>
      </c>
      <c r="CG108" t="e">
        <f>AND('Planilla_General_07-12-2012_8_3'!D1617,"AAAAAHWe/1Q=")</f>
        <v>#VALUE!</v>
      </c>
      <c r="CH108" t="e">
        <f>AND('Planilla_General_07-12-2012_8_3'!E1617,"AAAAAHWe/1U=")</f>
        <v>#VALUE!</v>
      </c>
      <c r="CI108" t="e">
        <f>AND('Planilla_General_07-12-2012_8_3'!F1617,"AAAAAHWe/1Y=")</f>
        <v>#VALUE!</v>
      </c>
      <c r="CJ108" t="e">
        <f>AND('Planilla_General_07-12-2012_8_3'!G1617,"AAAAAHWe/1c=")</f>
        <v>#VALUE!</v>
      </c>
      <c r="CK108" t="e">
        <f>AND('Planilla_General_07-12-2012_8_3'!H1617,"AAAAAHWe/1g=")</f>
        <v>#VALUE!</v>
      </c>
      <c r="CL108" t="e">
        <f>AND('Planilla_General_07-12-2012_8_3'!I1617,"AAAAAHWe/1k=")</f>
        <v>#VALUE!</v>
      </c>
      <c r="CM108" t="e">
        <f>AND('Planilla_General_07-12-2012_8_3'!J1617,"AAAAAHWe/1o=")</f>
        <v>#VALUE!</v>
      </c>
      <c r="CN108" t="e">
        <f>AND('Planilla_General_07-12-2012_8_3'!K1617,"AAAAAHWe/1s=")</f>
        <v>#VALUE!</v>
      </c>
      <c r="CO108" t="e">
        <f>AND('Planilla_General_07-12-2012_8_3'!L1617,"AAAAAHWe/1w=")</f>
        <v>#VALUE!</v>
      </c>
      <c r="CP108" t="e">
        <f>AND('Planilla_General_07-12-2012_8_3'!M1617,"AAAAAHWe/10=")</f>
        <v>#VALUE!</v>
      </c>
      <c r="CQ108" t="e">
        <f>AND('Planilla_General_07-12-2012_8_3'!N1617,"AAAAAHWe/14=")</f>
        <v>#VALUE!</v>
      </c>
      <c r="CR108" t="e">
        <f>AND('Planilla_General_07-12-2012_8_3'!O1617,"AAAAAHWe/18=")</f>
        <v>#VALUE!</v>
      </c>
      <c r="CS108" t="e">
        <f>AND('Planilla_General_07-12-2012_8_3'!P1617,"AAAAAHWe/2A=")</f>
        <v>#VALUE!</v>
      </c>
      <c r="CT108">
        <f>IF('Planilla_General_07-12-2012_8_3'!1618:1618,"AAAAAHWe/2E=",0)</f>
        <v>0</v>
      </c>
      <c r="CU108" t="e">
        <f>AND('Planilla_General_07-12-2012_8_3'!A1618,"AAAAAHWe/2I=")</f>
        <v>#VALUE!</v>
      </c>
      <c r="CV108" t="e">
        <f>AND('Planilla_General_07-12-2012_8_3'!B1618,"AAAAAHWe/2M=")</f>
        <v>#VALUE!</v>
      </c>
      <c r="CW108" t="e">
        <f>AND('Planilla_General_07-12-2012_8_3'!C1618,"AAAAAHWe/2Q=")</f>
        <v>#VALUE!</v>
      </c>
      <c r="CX108" t="e">
        <f>AND('Planilla_General_07-12-2012_8_3'!D1618,"AAAAAHWe/2U=")</f>
        <v>#VALUE!</v>
      </c>
      <c r="CY108" t="e">
        <f>AND('Planilla_General_07-12-2012_8_3'!E1618,"AAAAAHWe/2Y=")</f>
        <v>#VALUE!</v>
      </c>
      <c r="CZ108" t="e">
        <f>AND('Planilla_General_07-12-2012_8_3'!F1618,"AAAAAHWe/2c=")</f>
        <v>#VALUE!</v>
      </c>
      <c r="DA108" t="e">
        <f>AND('Planilla_General_07-12-2012_8_3'!G1618,"AAAAAHWe/2g=")</f>
        <v>#VALUE!</v>
      </c>
      <c r="DB108" t="e">
        <f>AND('Planilla_General_07-12-2012_8_3'!H1618,"AAAAAHWe/2k=")</f>
        <v>#VALUE!</v>
      </c>
      <c r="DC108" t="e">
        <f>AND('Planilla_General_07-12-2012_8_3'!I1618,"AAAAAHWe/2o=")</f>
        <v>#VALUE!</v>
      </c>
      <c r="DD108" t="e">
        <f>AND('Planilla_General_07-12-2012_8_3'!J1618,"AAAAAHWe/2s=")</f>
        <v>#VALUE!</v>
      </c>
      <c r="DE108" t="e">
        <f>AND('Planilla_General_07-12-2012_8_3'!K1618,"AAAAAHWe/2w=")</f>
        <v>#VALUE!</v>
      </c>
      <c r="DF108" t="e">
        <f>AND('Planilla_General_07-12-2012_8_3'!L1618,"AAAAAHWe/20=")</f>
        <v>#VALUE!</v>
      </c>
      <c r="DG108" t="e">
        <f>AND('Planilla_General_07-12-2012_8_3'!M1618,"AAAAAHWe/24=")</f>
        <v>#VALUE!</v>
      </c>
      <c r="DH108" t="e">
        <f>AND('Planilla_General_07-12-2012_8_3'!N1618,"AAAAAHWe/28=")</f>
        <v>#VALUE!</v>
      </c>
      <c r="DI108" t="e">
        <f>AND('Planilla_General_07-12-2012_8_3'!O1618,"AAAAAHWe/3A=")</f>
        <v>#VALUE!</v>
      </c>
      <c r="DJ108" t="e">
        <f>AND('Planilla_General_07-12-2012_8_3'!P1618,"AAAAAHWe/3E=")</f>
        <v>#VALUE!</v>
      </c>
      <c r="DK108">
        <f>IF('Planilla_General_07-12-2012_8_3'!1619:1619,"AAAAAHWe/3I=",0)</f>
        <v>0</v>
      </c>
      <c r="DL108" t="e">
        <f>AND('Planilla_General_07-12-2012_8_3'!A1619,"AAAAAHWe/3M=")</f>
        <v>#VALUE!</v>
      </c>
      <c r="DM108" t="e">
        <f>AND('Planilla_General_07-12-2012_8_3'!B1619,"AAAAAHWe/3Q=")</f>
        <v>#VALUE!</v>
      </c>
      <c r="DN108" t="e">
        <f>AND('Planilla_General_07-12-2012_8_3'!C1619,"AAAAAHWe/3U=")</f>
        <v>#VALUE!</v>
      </c>
      <c r="DO108" t="e">
        <f>AND('Planilla_General_07-12-2012_8_3'!D1619,"AAAAAHWe/3Y=")</f>
        <v>#VALUE!</v>
      </c>
      <c r="DP108" t="e">
        <f>AND('Planilla_General_07-12-2012_8_3'!E1619,"AAAAAHWe/3c=")</f>
        <v>#VALUE!</v>
      </c>
      <c r="DQ108" t="e">
        <f>AND('Planilla_General_07-12-2012_8_3'!F1619,"AAAAAHWe/3g=")</f>
        <v>#VALUE!</v>
      </c>
      <c r="DR108" t="e">
        <f>AND('Planilla_General_07-12-2012_8_3'!G1619,"AAAAAHWe/3k=")</f>
        <v>#VALUE!</v>
      </c>
      <c r="DS108" t="e">
        <f>AND('Planilla_General_07-12-2012_8_3'!H1619,"AAAAAHWe/3o=")</f>
        <v>#VALUE!</v>
      </c>
      <c r="DT108" t="e">
        <f>AND('Planilla_General_07-12-2012_8_3'!I1619,"AAAAAHWe/3s=")</f>
        <v>#VALUE!</v>
      </c>
      <c r="DU108" t="e">
        <f>AND('Planilla_General_07-12-2012_8_3'!J1619,"AAAAAHWe/3w=")</f>
        <v>#VALUE!</v>
      </c>
      <c r="DV108" t="e">
        <f>AND('Planilla_General_07-12-2012_8_3'!K1619,"AAAAAHWe/30=")</f>
        <v>#VALUE!</v>
      </c>
      <c r="DW108" t="e">
        <f>AND('Planilla_General_07-12-2012_8_3'!L1619,"AAAAAHWe/34=")</f>
        <v>#VALUE!</v>
      </c>
      <c r="DX108" t="e">
        <f>AND('Planilla_General_07-12-2012_8_3'!M1619,"AAAAAHWe/38=")</f>
        <v>#VALUE!</v>
      </c>
      <c r="DY108" t="e">
        <f>AND('Planilla_General_07-12-2012_8_3'!N1619,"AAAAAHWe/4A=")</f>
        <v>#VALUE!</v>
      </c>
      <c r="DZ108" t="e">
        <f>AND('Planilla_General_07-12-2012_8_3'!O1619,"AAAAAHWe/4E=")</f>
        <v>#VALUE!</v>
      </c>
      <c r="EA108" t="e">
        <f>AND('Planilla_General_07-12-2012_8_3'!P1619,"AAAAAHWe/4I=")</f>
        <v>#VALUE!</v>
      </c>
      <c r="EB108">
        <f>IF('Planilla_General_07-12-2012_8_3'!1620:1620,"AAAAAHWe/4M=",0)</f>
        <v>0</v>
      </c>
      <c r="EC108" t="e">
        <f>AND('Planilla_General_07-12-2012_8_3'!A1620,"AAAAAHWe/4Q=")</f>
        <v>#VALUE!</v>
      </c>
      <c r="ED108" t="e">
        <f>AND('Planilla_General_07-12-2012_8_3'!B1620,"AAAAAHWe/4U=")</f>
        <v>#VALUE!</v>
      </c>
      <c r="EE108" t="e">
        <f>AND('Planilla_General_07-12-2012_8_3'!C1620,"AAAAAHWe/4Y=")</f>
        <v>#VALUE!</v>
      </c>
      <c r="EF108" t="e">
        <f>AND('Planilla_General_07-12-2012_8_3'!D1620,"AAAAAHWe/4c=")</f>
        <v>#VALUE!</v>
      </c>
      <c r="EG108" t="e">
        <f>AND('Planilla_General_07-12-2012_8_3'!E1620,"AAAAAHWe/4g=")</f>
        <v>#VALUE!</v>
      </c>
      <c r="EH108" t="e">
        <f>AND('Planilla_General_07-12-2012_8_3'!F1620,"AAAAAHWe/4k=")</f>
        <v>#VALUE!</v>
      </c>
      <c r="EI108" t="e">
        <f>AND('Planilla_General_07-12-2012_8_3'!G1620,"AAAAAHWe/4o=")</f>
        <v>#VALUE!</v>
      </c>
      <c r="EJ108" t="e">
        <f>AND('Planilla_General_07-12-2012_8_3'!H1620,"AAAAAHWe/4s=")</f>
        <v>#VALUE!</v>
      </c>
      <c r="EK108" t="e">
        <f>AND('Planilla_General_07-12-2012_8_3'!I1620,"AAAAAHWe/4w=")</f>
        <v>#VALUE!</v>
      </c>
      <c r="EL108" t="e">
        <f>AND('Planilla_General_07-12-2012_8_3'!J1620,"AAAAAHWe/40=")</f>
        <v>#VALUE!</v>
      </c>
      <c r="EM108" t="e">
        <f>AND('Planilla_General_07-12-2012_8_3'!K1620,"AAAAAHWe/44=")</f>
        <v>#VALUE!</v>
      </c>
      <c r="EN108" t="e">
        <f>AND('Planilla_General_07-12-2012_8_3'!L1620,"AAAAAHWe/48=")</f>
        <v>#VALUE!</v>
      </c>
      <c r="EO108" t="e">
        <f>AND('Planilla_General_07-12-2012_8_3'!M1620,"AAAAAHWe/5A=")</f>
        <v>#VALUE!</v>
      </c>
      <c r="EP108" t="e">
        <f>AND('Planilla_General_07-12-2012_8_3'!N1620,"AAAAAHWe/5E=")</f>
        <v>#VALUE!</v>
      </c>
      <c r="EQ108" t="e">
        <f>AND('Planilla_General_07-12-2012_8_3'!O1620,"AAAAAHWe/5I=")</f>
        <v>#VALUE!</v>
      </c>
      <c r="ER108" t="e">
        <f>AND('Planilla_General_07-12-2012_8_3'!P1620,"AAAAAHWe/5M=")</f>
        <v>#VALUE!</v>
      </c>
      <c r="ES108">
        <f>IF('Planilla_General_07-12-2012_8_3'!1621:1621,"AAAAAHWe/5Q=",0)</f>
        <v>0</v>
      </c>
      <c r="ET108" t="e">
        <f>AND('Planilla_General_07-12-2012_8_3'!A1621,"AAAAAHWe/5U=")</f>
        <v>#VALUE!</v>
      </c>
      <c r="EU108" t="e">
        <f>AND('Planilla_General_07-12-2012_8_3'!B1621,"AAAAAHWe/5Y=")</f>
        <v>#VALUE!</v>
      </c>
      <c r="EV108" t="e">
        <f>AND('Planilla_General_07-12-2012_8_3'!C1621,"AAAAAHWe/5c=")</f>
        <v>#VALUE!</v>
      </c>
      <c r="EW108" t="e">
        <f>AND('Planilla_General_07-12-2012_8_3'!D1621,"AAAAAHWe/5g=")</f>
        <v>#VALUE!</v>
      </c>
      <c r="EX108" t="e">
        <f>AND('Planilla_General_07-12-2012_8_3'!E1621,"AAAAAHWe/5k=")</f>
        <v>#VALUE!</v>
      </c>
      <c r="EY108" t="e">
        <f>AND('Planilla_General_07-12-2012_8_3'!F1621,"AAAAAHWe/5o=")</f>
        <v>#VALUE!</v>
      </c>
      <c r="EZ108" t="e">
        <f>AND('Planilla_General_07-12-2012_8_3'!G1621,"AAAAAHWe/5s=")</f>
        <v>#VALUE!</v>
      </c>
      <c r="FA108" t="e">
        <f>AND('Planilla_General_07-12-2012_8_3'!H1621,"AAAAAHWe/5w=")</f>
        <v>#VALUE!</v>
      </c>
      <c r="FB108" t="e">
        <f>AND('Planilla_General_07-12-2012_8_3'!I1621,"AAAAAHWe/50=")</f>
        <v>#VALUE!</v>
      </c>
      <c r="FC108" t="e">
        <f>AND('Planilla_General_07-12-2012_8_3'!J1621,"AAAAAHWe/54=")</f>
        <v>#VALUE!</v>
      </c>
      <c r="FD108" t="e">
        <f>AND('Planilla_General_07-12-2012_8_3'!K1621,"AAAAAHWe/58=")</f>
        <v>#VALUE!</v>
      </c>
      <c r="FE108" t="e">
        <f>AND('Planilla_General_07-12-2012_8_3'!L1621,"AAAAAHWe/6A=")</f>
        <v>#VALUE!</v>
      </c>
      <c r="FF108" t="e">
        <f>AND('Planilla_General_07-12-2012_8_3'!M1621,"AAAAAHWe/6E=")</f>
        <v>#VALUE!</v>
      </c>
      <c r="FG108" t="e">
        <f>AND('Planilla_General_07-12-2012_8_3'!N1621,"AAAAAHWe/6I=")</f>
        <v>#VALUE!</v>
      </c>
      <c r="FH108" t="e">
        <f>AND('Planilla_General_07-12-2012_8_3'!O1621,"AAAAAHWe/6M=")</f>
        <v>#VALUE!</v>
      </c>
      <c r="FI108" t="e">
        <f>AND('Planilla_General_07-12-2012_8_3'!P1621,"AAAAAHWe/6Q=")</f>
        <v>#VALUE!</v>
      </c>
      <c r="FJ108">
        <f>IF('Planilla_General_07-12-2012_8_3'!1622:1622,"AAAAAHWe/6U=",0)</f>
        <v>0</v>
      </c>
      <c r="FK108" t="e">
        <f>AND('Planilla_General_07-12-2012_8_3'!A1622,"AAAAAHWe/6Y=")</f>
        <v>#VALUE!</v>
      </c>
      <c r="FL108" t="e">
        <f>AND('Planilla_General_07-12-2012_8_3'!B1622,"AAAAAHWe/6c=")</f>
        <v>#VALUE!</v>
      </c>
      <c r="FM108" t="e">
        <f>AND('Planilla_General_07-12-2012_8_3'!C1622,"AAAAAHWe/6g=")</f>
        <v>#VALUE!</v>
      </c>
      <c r="FN108" t="e">
        <f>AND('Planilla_General_07-12-2012_8_3'!D1622,"AAAAAHWe/6k=")</f>
        <v>#VALUE!</v>
      </c>
      <c r="FO108" t="e">
        <f>AND('Planilla_General_07-12-2012_8_3'!E1622,"AAAAAHWe/6o=")</f>
        <v>#VALUE!</v>
      </c>
      <c r="FP108" t="e">
        <f>AND('Planilla_General_07-12-2012_8_3'!F1622,"AAAAAHWe/6s=")</f>
        <v>#VALUE!</v>
      </c>
      <c r="FQ108" t="e">
        <f>AND('Planilla_General_07-12-2012_8_3'!G1622,"AAAAAHWe/6w=")</f>
        <v>#VALUE!</v>
      </c>
      <c r="FR108" t="e">
        <f>AND('Planilla_General_07-12-2012_8_3'!H1622,"AAAAAHWe/60=")</f>
        <v>#VALUE!</v>
      </c>
      <c r="FS108" t="e">
        <f>AND('Planilla_General_07-12-2012_8_3'!I1622,"AAAAAHWe/64=")</f>
        <v>#VALUE!</v>
      </c>
      <c r="FT108" t="e">
        <f>AND('Planilla_General_07-12-2012_8_3'!J1622,"AAAAAHWe/68=")</f>
        <v>#VALUE!</v>
      </c>
      <c r="FU108" t="e">
        <f>AND('Planilla_General_07-12-2012_8_3'!K1622,"AAAAAHWe/7A=")</f>
        <v>#VALUE!</v>
      </c>
      <c r="FV108" t="e">
        <f>AND('Planilla_General_07-12-2012_8_3'!L1622,"AAAAAHWe/7E=")</f>
        <v>#VALUE!</v>
      </c>
      <c r="FW108" t="e">
        <f>AND('Planilla_General_07-12-2012_8_3'!M1622,"AAAAAHWe/7I=")</f>
        <v>#VALUE!</v>
      </c>
      <c r="FX108" t="e">
        <f>AND('Planilla_General_07-12-2012_8_3'!N1622,"AAAAAHWe/7M=")</f>
        <v>#VALUE!</v>
      </c>
      <c r="FY108" t="e">
        <f>AND('Planilla_General_07-12-2012_8_3'!O1622,"AAAAAHWe/7Q=")</f>
        <v>#VALUE!</v>
      </c>
      <c r="FZ108" t="e">
        <f>AND('Planilla_General_07-12-2012_8_3'!P1622,"AAAAAHWe/7U=")</f>
        <v>#VALUE!</v>
      </c>
      <c r="GA108">
        <f>IF('Planilla_General_07-12-2012_8_3'!1623:1623,"AAAAAHWe/7Y=",0)</f>
        <v>0</v>
      </c>
      <c r="GB108" t="e">
        <f>AND('Planilla_General_07-12-2012_8_3'!A1623,"AAAAAHWe/7c=")</f>
        <v>#VALUE!</v>
      </c>
      <c r="GC108" t="e">
        <f>AND('Planilla_General_07-12-2012_8_3'!B1623,"AAAAAHWe/7g=")</f>
        <v>#VALUE!</v>
      </c>
      <c r="GD108" t="e">
        <f>AND('Planilla_General_07-12-2012_8_3'!C1623,"AAAAAHWe/7k=")</f>
        <v>#VALUE!</v>
      </c>
      <c r="GE108" t="e">
        <f>AND('Planilla_General_07-12-2012_8_3'!D1623,"AAAAAHWe/7o=")</f>
        <v>#VALUE!</v>
      </c>
      <c r="GF108" t="e">
        <f>AND('Planilla_General_07-12-2012_8_3'!E1623,"AAAAAHWe/7s=")</f>
        <v>#VALUE!</v>
      </c>
      <c r="GG108" t="e">
        <f>AND('Planilla_General_07-12-2012_8_3'!F1623,"AAAAAHWe/7w=")</f>
        <v>#VALUE!</v>
      </c>
      <c r="GH108" t="e">
        <f>AND('Planilla_General_07-12-2012_8_3'!G1623,"AAAAAHWe/70=")</f>
        <v>#VALUE!</v>
      </c>
      <c r="GI108" t="e">
        <f>AND('Planilla_General_07-12-2012_8_3'!H1623,"AAAAAHWe/74=")</f>
        <v>#VALUE!</v>
      </c>
      <c r="GJ108" t="e">
        <f>AND('Planilla_General_07-12-2012_8_3'!I1623,"AAAAAHWe/78=")</f>
        <v>#VALUE!</v>
      </c>
      <c r="GK108" t="e">
        <f>AND('Planilla_General_07-12-2012_8_3'!J1623,"AAAAAHWe/8A=")</f>
        <v>#VALUE!</v>
      </c>
      <c r="GL108" t="e">
        <f>AND('Planilla_General_07-12-2012_8_3'!K1623,"AAAAAHWe/8E=")</f>
        <v>#VALUE!</v>
      </c>
      <c r="GM108" t="e">
        <f>AND('Planilla_General_07-12-2012_8_3'!L1623,"AAAAAHWe/8I=")</f>
        <v>#VALUE!</v>
      </c>
      <c r="GN108" t="e">
        <f>AND('Planilla_General_07-12-2012_8_3'!M1623,"AAAAAHWe/8M=")</f>
        <v>#VALUE!</v>
      </c>
      <c r="GO108" t="e">
        <f>AND('Planilla_General_07-12-2012_8_3'!N1623,"AAAAAHWe/8Q=")</f>
        <v>#VALUE!</v>
      </c>
      <c r="GP108" t="e">
        <f>AND('Planilla_General_07-12-2012_8_3'!O1623,"AAAAAHWe/8U=")</f>
        <v>#VALUE!</v>
      </c>
      <c r="GQ108" t="e">
        <f>AND('Planilla_General_07-12-2012_8_3'!P1623,"AAAAAHWe/8Y=")</f>
        <v>#VALUE!</v>
      </c>
      <c r="GR108">
        <f>IF('Planilla_General_07-12-2012_8_3'!1624:1624,"AAAAAHWe/8c=",0)</f>
        <v>0</v>
      </c>
      <c r="GS108" t="e">
        <f>AND('Planilla_General_07-12-2012_8_3'!A1624,"AAAAAHWe/8g=")</f>
        <v>#VALUE!</v>
      </c>
      <c r="GT108" t="e">
        <f>AND('Planilla_General_07-12-2012_8_3'!B1624,"AAAAAHWe/8k=")</f>
        <v>#VALUE!</v>
      </c>
      <c r="GU108" t="e">
        <f>AND('Planilla_General_07-12-2012_8_3'!C1624,"AAAAAHWe/8o=")</f>
        <v>#VALUE!</v>
      </c>
      <c r="GV108" t="e">
        <f>AND('Planilla_General_07-12-2012_8_3'!D1624,"AAAAAHWe/8s=")</f>
        <v>#VALUE!</v>
      </c>
      <c r="GW108" t="e">
        <f>AND('Planilla_General_07-12-2012_8_3'!E1624,"AAAAAHWe/8w=")</f>
        <v>#VALUE!</v>
      </c>
      <c r="GX108" t="e">
        <f>AND('Planilla_General_07-12-2012_8_3'!F1624,"AAAAAHWe/80=")</f>
        <v>#VALUE!</v>
      </c>
      <c r="GY108" t="e">
        <f>AND('Planilla_General_07-12-2012_8_3'!G1624,"AAAAAHWe/84=")</f>
        <v>#VALUE!</v>
      </c>
      <c r="GZ108" t="e">
        <f>AND('Planilla_General_07-12-2012_8_3'!H1624,"AAAAAHWe/88=")</f>
        <v>#VALUE!</v>
      </c>
      <c r="HA108" t="e">
        <f>AND('Planilla_General_07-12-2012_8_3'!I1624,"AAAAAHWe/9A=")</f>
        <v>#VALUE!</v>
      </c>
      <c r="HB108" t="e">
        <f>AND('Planilla_General_07-12-2012_8_3'!J1624,"AAAAAHWe/9E=")</f>
        <v>#VALUE!</v>
      </c>
      <c r="HC108" t="e">
        <f>AND('Planilla_General_07-12-2012_8_3'!K1624,"AAAAAHWe/9I=")</f>
        <v>#VALUE!</v>
      </c>
      <c r="HD108" t="e">
        <f>AND('Planilla_General_07-12-2012_8_3'!L1624,"AAAAAHWe/9M=")</f>
        <v>#VALUE!</v>
      </c>
      <c r="HE108" t="e">
        <f>AND('Planilla_General_07-12-2012_8_3'!M1624,"AAAAAHWe/9Q=")</f>
        <v>#VALUE!</v>
      </c>
      <c r="HF108" t="e">
        <f>AND('Planilla_General_07-12-2012_8_3'!N1624,"AAAAAHWe/9U=")</f>
        <v>#VALUE!</v>
      </c>
      <c r="HG108" t="e">
        <f>AND('Planilla_General_07-12-2012_8_3'!O1624,"AAAAAHWe/9Y=")</f>
        <v>#VALUE!</v>
      </c>
      <c r="HH108" t="e">
        <f>AND('Planilla_General_07-12-2012_8_3'!P1624,"AAAAAHWe/9c=")</f>
        <v>#VALUE!</v>
      </c>
      <c r="HI108">
        <f>IF('Planilla_General_07-12-2012_8_3'!1625:1625,"AAAAAHWe/9g=",0)</f>
        <v>0</v>
      </c>
      <c r="HJ108" t="e">
        <f>AND('Planilla_General_07-12-2012_8_3'!A1625,"AAAAAHWe/9k=")</f>
        <v>#VALUE!</v>
      </c>
      <c r="HK108" t="e">
        <f>AND('Planilla_General_07-12-2012_8_3'!B1625,"AAAAAHWe/9o=")</f>
        <v>#VALUE!</v>
      </c>
      <c r="HL108" t="e">
        <f>AND('Planilla_General_07-12-2012_8_3'!C1625,"AAAAAHWe/9s=")</f>
        <v>#VALUE!</v>
      </c>
      <c r="HM108" t="e">
        <f>AND('Planilla_General_07-12-2012_8_3'!D1625,"AAAAAHWe/9w=")</f>
        <v>#VALUE!</v>
      </c>
      <c r="HN108" t="e">
        <f>AND('Planilla_General_07-12-2012_8_3'!E1625,"AAAAAHWe/90=")</f>
        <v>#VALUE!</v>
      </c>
      <c r="HO108" t="e">
        <f>AND('Planilla_General_07-12-2012_8_3'!F1625,"AAAAAHWe/94=")</f>
        <v>#VALUE!</v>
      </c>
      <c r="HP108" t="e">
        <f>AND('Planilla_General_07-12-2012_8_3'!G1625,"AAAAAHWe/98=")</f>
        <v>#VALUE!</v>
      </c>
      <c r="HQ108" t="e">
        <f>AND('Planilla_General_07-12-2012_8_3'!H1625,"AAAAAHWe/+A=")</f>
        <v>#VALUE!</v>
      </c>
      <c r="HR108" t="e">
        <f>AND('Planilla_General_07-12-2012_8_3'!I1625,"AAAAAHWe/+E=")</f>
        <v>#VALUE!</v>
      </c>
      <c r="HS108" t="e">
        <f>AND('Planilla_General_07-12-2012_8_3'!J1625,"AAAAAHWe/+I=")</f>
        <v>#VALUE!</v>
      </c>
      <c r="HT108" t="e">
        <f>AND('Planilla_General_07-12-2012_8_3'!K1625,"AAAAAHWe/+M=")</f>
        <v>#VALUE!</v>
      </c>
      <c r="HU108" t="e">
        <f>AND('Planilla_General_07-12-2012_8_3'!L1625,"AAAAAHWe/+Q=")</f>
        <v>#VALUE!</v>
      </c>
      <c r="HV108" t="e">
        <f>AND('Planilla_General_07-12-2012_8_3'!M1625,"AAAAAHWe/+U=")</f>
        <v>#VALUE!</v>
      </c>
      <c r="HW108" t="e">
        <f>AND('Planilla_General_07-12-2012_8_3'!N1625,"AAAAAHWe/+Y=")</f>
        <v>#VALUE!</v>
      </c>
      <c r="HX108" t="e">
        <f>AND('Planilla_General_07-12-2012_8_3'!O1625,"AAAAAHWe/+c=")</f>
        <v>#VALUE!</v>
      </c>
      <c r="HY108" t="e">
        <f>AND('Planilla_General_07-12-2012_8_3'!P1625,"AAAAAHWe/+g=")</f>
        <v>#VALUE!</v>
      </c>
      <c r="HZ108">
        <f>IF('Planilla_General_07-12-2012_8_3'!1626:1626,"AAAAAHWe/+k=",0)</f>
        <v>0</v>
      </c>
      <c r="IA108" t="e">
        <f>AND('Planilla_General_07-12-2012_8_3'!A1626,"AAAAAHWe/+o=")</f>
        <v>#VALUE!</v>
      </c>
      <c r="IB108" t="e">
        <f>AND('Planilla_General_07-12-2012_8_3'!B1626,"AAAAAHWe/+s=")</f>
        <v>#VALUE!</v>
      </c>
      <c r="IC108" t="e">
        <f>AND('Planilla_General_07-12-2012_8_3'!C1626,"AAAAAHWe/+w=")</f>
        <v>#VALUE!</v>
      </c>
      <c r="ID108" t="e">
        <f>AND('Planilla_General_07-12-2012_8_3'!D1626,"AAAAAHWe/+0=")</f>
        <v>#VALUE!</v>
      </c>
      <c r="IE108" t="e">
        <f>AND('Planilla_General_07-12-2012_8_3'!E1626,"AAAAAHWe/+4=")</f>
        <v>#VALUE!</v>
      </c>
      <c r="IF108" t="e">
        <f>AND('Planilla_General_07-12-2012_8_3'!F1626,"AAAAAHWe/+8=")</f>
        <v>#VALUE!</v>
      </c>
      <c r="IG108" t="e">
        <f>AND('Planilla_General_07-12-2012_8_3'!G1626,"AAAAAHWe//A=")</f>
        <v>#VALUE!</v>
      </c>
      <c r="IH108" t="e">
        <f>AND('Planilla_General_07-12-2012_8_3'!H1626,"AAAAAHWe//E=")</f>
        <v>#VALUE!</v>
      </c>
      <c r="II108" t="e">
        <f>AND('Planilla_General_07-12-2012_8_3'!I1626,"AAAAAHWe//I=")</f>
        <v>#VALUE!</v>
      </c>
      <c r="IJ108" t="e">
        <f>AND('Planilla_General_07-12-2012_8_3'!J1626,"AAAAAHWe//M=")</f>
        <v>#VALUE!</v>
      </c>
      <c r="IK108" t="e">
        <f>AND('Planilla_General_07-12-2012_8_3'!K1626,"AAAAAHWe//Q=")</f>
        <v>#VALUE!</v>
      </c>
      <c r="IL108" t="e">
        <f>AND('Planilla_General_07-12-2012_8_3'!L1626,"AAAAAHWe//U=")</f>
        <v>#VALUE!</v>
      </c>
      <c r="IM108" t="e">
        <f>AND('Planilla_General_07-12-2012_8_3'!M1626,"AAAAAHWe//Y=")</f>
        <v>#VALUE!</v>
      </c>
      <c r="IN108" t="e">
        <f>AND('Planilla_General_07-12-2012_8_3'!N1626,"AAAAAHWe//c=")</f>
        <v>#VALUE!</v>
      </c>
      <c r="IO108" t="e">
        <f>AND('Planilla_General_07-12-2012_8_3'!O1626,"AAAAAHWe//g=")</f>
        <v>#VALUE!</v>
      </c>
      <c r="IP108" t="e">
        <f>AND('Planilla_General_07-12-2012_8_3'!P1626,"AAAAAHWe//k=")</f>
        <v>#VALUE!</v>
      </c>
      <c r="IQ108">
        <f>IF('Planilla_General_07-12-2012_8_3'!1627:1627,"AAAAAHWe//o=",0)</f>
        <v>0</v>
      </c>
      <c r="IR108" t="e">
        <f>AND('Planilla_General_07-12-2012_8_3'!A1627,"AAAAAHWe//s=")</f>
        <v>#VALUE!</v>
      </c>
      <c r="IS108" t="e">
        <f>AND('Planilla_General_07-12-2012_8_3'!B1627,"AAAAAHWe//w=")</f>
        <v>#VALUE!</v>
      </c>
      <c r="IT108" t="e">
        <f>AND('Planilla_General_07-12-2012_8_3'!C1627,"AAAAAHWe//0=")</f>
        <v>#VALUE!</v>
      </c>
      <c r="IU108" t="e">
        <f>AND('Planilla_General_07-12-2012_8_3'!D1627,"AAAAAHWe//4=")</f>
        <v>#VALUE!</v>
      </c>
      <c r="IV108" t="e">
        <f>AND('Planilla_General_07-12-2012_8_3'!E1627,"AAAAAHWe//8=")</f>
        <v>#VALUE!</v>
      </c>
    </row>
    <row r="109" spans="1:256" x14ac:dyDescent="0.25">
      <c r="A109" t="e">
        <f>AND('Planilla_General_07-12-2012_8_3'!F1627,"AAAAAHfP/gA=")</f>
        <v>#VALUE!</v>
      </c>
      <c r="B109" t="e">
        <f>AND('Planilla_General_07-12-2012_8_3'!G1627,"AAAAAHfP/gE=")</f>
        <v>#VALUE!</v>
      </c>
      <c r="C109" t="e">
        <f>AND('Planilla_General_07-12-2012_8_3'!H1627,"AAAAAHfP/gI=")</f>
        <v>#VALUE!</v>
      </c>
      <c r="D109" t="e">
        <f>AND('Planilla_General_07-12-2012_8_3'!I1627,"AAAAAHfP/gM=")</f>
        <v>#VALUE!</v>
      </c>
      <c r="E109" t="e">
        <f>AND('Planilla_General_07-12-2012_8_3'!J1627,"AAAAAHfP/gQ=")</f>
        <v>#VALUE!</v>
      </c>
      <c r="F109" t="e">
        <f>AND('Planilla_General_07-12-2012_8_3'!K1627,"AAAAAHfP/gU=")</f>
        <v>#VALUE!</v>
      </c>
      <c r="G109" t="e">
        <f>AND('Planilla_General_07-12-2012_8_3'!L1627,"AAAAAHfP/gY=")</f>
        <v>#VALUE!</v>
      </c>
      <c r="H109" t="e">
        <f>AND('Planilla_General_07-12-2012_8_3'!M1627,"AAAAAHfP/gc=")</f>
        <v>#VALUE!</v>
      </c>
      <c r="I109" t="e">
        <f>AND('Planilla_General_07-12-2012_8_3'!N1627,"AAAAAHfP/gg=")</f>
        <v>#VALUE!</v>
      </c>
      <c r="J109" t="e">
        <f>AND('Planilla_General_07-12-2012_8_3'!O1627,"AAAAAHfP/gk=")</f>
        <v>#VALUE!</v>
      </c>
      <c r="K109" t="e">
        <f>AND('Planilla_General_07-12-2012_8_3'!P1627,"AAAAAHfP/go=")</f>
        <v>#VALUE!</v>
      </c>
      <c r="L109" t="str">
        <f>IF('Planilla_General_07-12-2012_8_3'!1628:1628,"AAAAAHfP/gs=",0)</f>
        <v>AAAAAHfP/gs=</v>
      </c>
      <c r="M109" t="e">
        <f>AND('Planilla_General_07-12-2012_8_3'!A1628,"AAAAAHfP/gw=")</f>
        <v>#VALUE!</v>
      </c>
      <c r="N109" t="e">
        <f>AND('Planilla_General_07-12-2012_8_3'!B1628,"AAAAAHfP/g0=")</f>
        <v>#VALUE!</v>
      </c>
      <c r="O109" t="e">
        <f>AND('Planilla_General_07-12-2012_8_3'!C1628,"AAAAAHfP/g4=")</f>
        <v>#VALUE!</v>
      </c>
      <c r="P109" t="e">
        <f>AND('Planilla_General_07-12-2012_8_3'!D1628,"AAAAAHfP/g8=")</f>
        <v>#VALUE!</v>
      </c>
      <c r="Q109" t="e">
        <f>AND('Planilla_General_07-12-2012_8_3'!E1628,"AAAAAHfP/hA=")</f>
        <v>#VALUE!</v>
      </c>
      <c r="R109" t="e">
        <f>AND('Planilla_General_07-12-2012_8_3'!F1628,"AAAAAHfP/hE=")</f>
        <v>#VALUE!</v>
      </c>
      <c r="S109" t="e">
        <f>AND('Planilla_General_07-12-2012_8_3'!G1628,"AAAAAHfP/hI=")</f>
        <v>#VALUE!</v>
      </c>
      <c r="T109" t="e">
        <f>AND('Planilla_General_07-12-2012_8_3'!H1628,"AAAAAHfP/hM=")</f>
        <v>#VALUE!</v>
      </c>
      <c r="U109" t="e">
        <f>AND('Planilla_General_07-12-2012_8_3'!I1628,"AAAAAHfP/hQ=")</f>
        <v>#VALUE!</v>
      </c>
      <c r="V109" t="e">
        <f>AND('Planilla_General_07-12-2012_8_3'!J1628,"AAAAAHfP/hU=")</f>
        <v>#VALUE!</v>
      </c>
      <c r="W109" t="e">
        <f>AND('Planilla_General_07-12-2012_8_3'!K1628,"AAAAAHfP/hY=")</f>
        <v>#VALUE!</v>
      </c>
      <c r="X109" t="e">
        <f>AND('Planilla_General_07-12-2012_8_3'!L1628,"AAAAAHfP/hc=")</f>
        <v>#VALUE!</v>
      </c>
      <c r="Y109" t="e">
        <f>AND('Planilla_General_07-12-2012_8_3'!M1628,"AAAAAHfP/hg=")</f>
        <v>#VALUE!</v>
      </c>
      <c r="Z109" t="e">
        <f>AND('Planilla_General_07-12-2012_8_3'!N1628,"AAAAAHfP/hk=")</f>
        <v>#VALUE!</v>
      </c>
      <c r="AA109" t="e">
        <f>AND('Planilla_General_07-12-2012_8_3'!O1628,"AAAAAHfP/ho=")</f>
        <v>#VALUE!</v>
      </c>
      <c r="AB109" t="e">
        <f>AND('Planilla_General_07-12-2012_8_3'!P1628,"AAAAAHfP/hs=")</f>
        <v>#VALUE!</v>
      </c>
      <c r="AC109">
        <f>IF('Planilla_General_07-12-2012_8_3'!1629:1629,"AAAAAHfP/hw=",0)</f>
        <v>0</v>
      </c>
      <c r="AD109" t="e">
        <f>AND('Planilla_General_07-12-2012_8_3'!A1629,"AAAAAHfP/h0=")</f>
        <v>#VALUE!</v>
      </c>
      <c r="AE109" t="e">
        <f>AND('Planilla_General_07-12-2012_8_3'!B1629,"AAAAAHfP/h4=")</f>
        <v>#VALUE!</v>
      </c>
      <c r="AF109" t="e">
        <f>AND('Planilla_General_07-12-2012_8_3'!C1629,"AAAAAHfP/h8=")</f>
        <v>#VALUE!</v>
      </c>
      <c r="AG109" t="e">
        <f>AND('Planilla_General_07-12-2012_8_3'!D1629,"AAAAAHfP/iA=")</f>
        <v>#VALUE!</v>
      </c>
      <c r="AH109" t="e">
        <f>AND('Planilla_General_07-12-2012_8_3'!E1629,"AAAAAHfP/iE=")</f>
        <v>#VALUE!</v>
      </c>
      <c r="AI109" t="e">
        <f>AND('Planilla_General_07-12-2012_8_3'!F1629,"AAAAAHfP/iI=")</f>
        <v>#VALUE!</v>
      </c>
      <c r="AJ109" t="e">
        <f>AND('Planilla_General_07-12-2012_8_3'!G1629,"AAAAAHfP/iM=")</f>
        <v>#VALUE!</v>
      </c>
      <c r="AK109" t="e">
        <f>AND('Planilla_General_07-12-2012_8_3'!H1629,"AAAAAHfP/iQ=")</f>
        <v>#VALUE!</v>
      </c>
      <c r="AL109" t="e">
        <f>AND('Planilla_General_07-12-2012_8_3'!I1629,"AAAAAHfP/iU=")</f>
        <v>#VALUE!</v>
      </c>
      <c r="AM109" t="e">
        <f>AND('Planilla_General_07-12-2012_8_3'!J1629,"AAAAAHfP/iY=")</f>
        <v>#VALUE!</v>
      </c>
      <c r="AN109" t="e">
        <f>AND('Planilla_General_07-12-2012_8_3'!K1629,"AAAAAHfP/ic=")</f>
        <v>#VALUE!</v>
      </c>
      <c r="AO109" t="e">
        <f>AND('Planilla_General_07-12-2012_8_3'!L1629,"AAAAAHfP/ig=")</f>
        <v>#VALUE!</v>
      </c>
      <c r="AP109" t="e">
        <f>AND('Planilla_General_07-12-2012_8_3'!M1629,"AAAAAHfP/ik=")</f>
        <v>#VALUE!</v>
      </c>
      <c r="AQ109" t="e">
        <f>AND('Planilla_General_07-12-2012_8_3'!N1629,"AAAAAHfP/io=")</f>
        <v>#VALUE!</v>
      </c>
      <c r="AR109" t="e">
        <f>AND('Planilla_General_07-12-2012_8_3'!O1629,"AAAAAHfP/is=")</f>
        <v>#VALUE!</v>
      </c>
      <c r="AS109" t="e">
        <f>AND('Planilla_General_07-12-2012_8_3'!P1629,"AAAAAHfP/iw=")</f>
        <v>#VALUE!</v>
      </c>
      <c r="AT109">
        <f>IF('Planilla_General_07-12-2012_8_3'!1630:1630,"AAAAAHfP/i0=",0)</f>
        <v>0</v>
      </c>
      <c r="AU109" t="e">
        <f>AND('Planilla_General_07-12-2012_8_3'!A1630,"AAAAAHfP/i4=")</f>
        <v>#VALUE!</v>
      </c>
      <c r="AV109" t="e">
        <f>AND('Planilla_General_07-12-2012_8_3'!B1630,"AAAAAHfP/i8=")</f>
        <v>#VALUE!</v>
      </c>
      <c r="AW109" t="e">
        <f>AND('Planilla_General_07-12-2012_8_3'!C1630,"AAAAAHfP/jA=")</f>
        <v>#VALUE!</v>
      </c>
      <c r="AX109" t="e">
        <f>AND('Planilla_General_07-12-2012_8_3'!D1630,"AAAAAHfP/jE=")</f>
        <v>#VALUE!</v>
      </c>
      <c r="AY109" t="e">
        <f>AND('Planilla_General_07-12-2012_8_3'!E1630,"AAAAAHfP/jI=")</f>
        <v>#VALUE!</v>
      </c>
      <c r="AZ109" t="e">
        <f>AND('Planilla_General_07-12-2012_8_3'!F1630,"AAAAAHfP/jM=")</f>
        <v>#VALUE!</v>
      </c>
      <c r="BA109" t="e">
        <f>AND('Planilla_General_07-12-2012_8_3'!G1630,"AAAAAHfP/jQ=")</f>
        <v>#VALUE!</v>
      </c>
      <c r="BB109" t="e">
        <f>AND('Planilla_General_07-12-2012_8_3'!H1630,"AAAAAHfP/jU=")</f>
        <v>#VALUE!</v>
      </c>
      <c r="BC109" t="e">
        <f>AND('Planilla_General_07-12-2012_8_3'!I1630,"AAAAAHfP/jY=")</f>
        <v>#VALUE!</v>
      </c>
      <c r="BD109" t="e">
        <f>AND('Planilla_General_07-12-2012_8_3'!J1630,"AAAAAHfP/jc=")</f>
        <v>#VALUE!</v>
      </c>
      <c r="BE109" t="e">
        <f>AND('Planilla_General_07-12-2012_8_3'!K1630,"AAAAAHfP/jg=")</f>
        <v>#VALUE!</v>
      </c>
      <c r="BF109" t="e">
        <f>AND('Planilla_General_07-12-2012_8_3'!L1630,"AAAAAHfP/jk=")</f>
        <v>#VALUE!</v>
      </c>
      <c r="BG109" t="e">
        <f>AND('Planilla_General_07-12-2012_8_3'!M1630,"AAAAAHfP/jo=")</f>
        <v>#VALUE!</v>
      </c>
      <c r="BH109" t="e">
        <f>AND('Planilla_General_07-12-2012_8_3'!N1630,"AAAAAHfP/js=")</f>
        <v>#VALUE!</v>
      </c>
      <c r="BI109" t="e">
        <f>AND('Planilla_General_07-12-2012_8_3'!O1630,"AAAAAHfP/jw=")</f>
        <v>#VALUE!</v>
      </c>
      <c r="BJ109" t="e">
        <f>AND('Planilla_General_07-12-2012_8_3'!P1630,"AAAAAHfP/j0=")</f>
        <v>#VALUE!</v>
      </c>
      <c r="BK109">
        <f>IF('Planilla_General_07-12-2012_8_3'!1631:1631,"AAAAAHfP/j4=",0)</f>
        <v>0</v>
      </c>
      <c r="BL109" t="e">
        <f>AND('Planilla_General_07-12-2012_8_3'!A1631,"AAAAAHfP/j8=")</f>
        <v>#VALUE!</v>
      </c>
      <c r="BM109" t="e">
        <f>AND('Planilla_General_07-12-2012_8_3'!B1631,"AAAAAHfP/kA=")</f>
        <v>#VALUE!</v>
      </c>
      <c r="BN109" t="e">
        <f>AND('Planilla_General_07-12-2012_8_3'!C1631,"AAAAAHfP/kE=")</f>
        <v>#VALUE!</v>
      </c>
      <c r="BO109" t="e">
        <f>AND('Planilla_General_07-12-2012_8_3'!D1631,"AAAAAHfP/kI=")</f>
        <v>#VALUE!</v>
      </c>
      <c r="BP109" t="e">
        <f>AND('Planilla_General_07-12-2012_8_3'!E1631,"AAAAAHfP/kM=")</f>
        <v>#VALUE!</v>
      </c>
      <c r="BQ109" t="e">
        <f>AND('Planilla_General_07-12-2012_8_3'!F1631,"AAAAAHfP/kQ=")</f>
        <v>#VALUE!</v>
      </c>
      <c r="BR109" t="e">
        <f>AND('Planilla_General_07-12-2012_8_3'!G1631,"AAAAAHfP/kU=")</f>
        <v>#VALUE!</v>
      </c>
      <c r="BS109" t="e">
        <f>AND('Planilla_General_07-12-2012_8_3'!H1631,"AAAAAHfP/kY=")</f>
        <v>#VALUE!</v>
      </c>
      <c r="BT109" t="e">
        <f>AND('Planilla_General_07-12-2012_8_3'!I1631,"AAAAAHfP/kc=")</f>
        <v>#VALUE!</v>
      </c>
      <c r="BU109" t="e">
        <f>AND('Planilla_General_07-12-2012_8_3'!J1631,"AAAAAHfP/kg=")</f>
        <v>#VALUE!</v>
      </c>
      <c r="BV109" t="e">
        <f>AND('Planilla_General_07-12-2012_8_3'!K1631,"AAAAAHfP/kk=")</f>
        <v>#VALUE!</v>
      </c>
      <c r="BW109" t="e">
        <f>AND('Planilla_General_07-12-2012_8_3'!L1631,"AAAAAHfP/ko=")</f>
        <v>#VALUE!</v>
      </c>
      <c r="BX109" t="e">
        <f>AND('Planilla_General_07-12-2012_8_3'!M1631,"AAAAAHfP/ks=")</f>
        <v>#VALUE!</v>
      </c>
      <c r="BY109" t="e">
        <f>AND('Planilla_General_07-12-2012_8_3'!N1631,"AAAAAHfP/kw=")</f>
        <v>#VALUE!</v>
      </c>
      <c r="BZ109" t="e">
        <f>AND('Planilla_General_07-12-2012_8_3'!O1631,"AAAAAHfP/k0=")</f>
        <v>#VALUE!</v>
      </c>
      <c r="CA109" t="e">
        <f>AND('Planilla_General_07-12-2012_8_3'!P1631,"AAAAAHfP/k4=")</f>
        <v>#VALUE!</v>
      </c>
      <c r="CB109">
        <f>IF('Planilla_General_07-12-2012_8_3'!1632:1632,"AAAAAHfP/k8=",0)</f>
        <v>0</v>
      </c>
      <c r="CC109" t="e">
        <f>AND('Planilla_General_07-12-2012_8_3'!A1632,"AAAAAHfP/lA=")</f>
        <v>#VALUE!</v>
      </c>
      <c r="CD109" t="e">
        <f>AND('Planilla_General_07-12-2012_8_3'!B1632,"AAAAAHfP/lE=")</f>
        <v>#VALUE!</v>
      </c>
      <c r="CE109" t="e">
        <f>AND('Planilla_General_07-12-2012_8_3'!C1632,"AAAAAHfP/lI=")</f>
        <v>#VALUE!</v>
      </c>
      <c r="CF109" t="e">
        <f>AND('Planilla_General_07-12-2012_8_3'!D1632,"AAAAAHfP/lM=")</f>
        <v>#VALUE!</v>
      </c>
      <c r="CG109" t="e">
        <f>AND('Planilla_General_07-12-2012_8_3'!E1632,"AAAAAHfP/lQ=")</f>
        <v>#VALUE!</v>
      </c>
      <c r="CH109" t="e">
        <f>AND('Planilla_General_07-12-2012_8_3'!F1632,"AAAAAHfP/lU=")</f>
        <v>#VALUE!</v>
      </c>
      <c r="CI109" t="e">
        <f>AND('Planilla_General_07-12-2012_8_3'!G1632,"AAAAAHfP/lY=")</f>
        <v>#VALUE!</v>
      </c>
      <c r="CJ109" t="e">
        <f>AND('Planilla_General_07-12-2012_8_3'!H1632,"AAAAAHfP/lc=")</f>
        <v>#VALUE!</v>
      </c>
      <c r="CK109" t="e">
        <f>AND('Planilla_General_07-12-2012_8_3'!I1632,"AAAAAHfP/lg=")</f>
        <v>#VALUE!</v>
      </c>
      <c r="CL109" t="e">
        <f>AND('Planilla_General_07-12-2012_8_3'!J1632,"AAAAAHfP/lk=")</f>
        <v>#VALUE!</v>
      </c>
      <c r="CM109" t="e">
        <f>AND('Planilla_General_07-12-2012_8_3'!K1632,"AAAAAHfP/lo=")</f>
        <v>#VALUE!</v>
      </c>
      <c r="CN109" t="e">
        <f>AND('Planilla_General_07-12-2012_8_3'!L1632,"AAAAAHfP/ls=")</f>
        <v>#VALUE!</v>
      </c>
      <c r="CO109" t="e">
        <f>AND('Planilla_General_07-12-2012_8_3'!M1632,"AAAAAHfP/lw=")</f>
        <v>#VALUE!</v>
      </c>
      <c r="CP109" t="e">
        <f>AND('Planilla_General_07-12-2012_8_3'!N1632,"AAAAAHfP/l0=")</f>
        <v>#VALUE!</v>
      </c>
      <c r="CQ109" t="e">
        <f>AND('Planilla_General_07-12-2012_8_3'!O1632,"AAAAAHfP/l4=")</f>
        <v>#VALUE!</v>
      </c>
      <c r="CR109" t="e">
        <f>AND('Planilla_General_07-12-2012_8_3'!P1632,"AAAAAHfP/l8=")</f>
        <v>#VALUE!</v>
      </c>
      <c r="CS109">
        <f>IF('Planilla_General_07-12-2012_8_3'!1633:1633,"AAAAAHfP/mA=",0)</f>
        <v>0</v>
      </c>
      <c r="CT109" t="e">
        <f>AND('Planilla_General_07-12-2012_8_3'!A1633,"AAAAAHfP/mE=")</f>
        <v>#VALUE!</v>
      </c>
      <c r="CU109" t="e">
        <f>AND('Planilla_General_07-12-2012_8_3'!B1633,"AAAAAHfP/mI=")</f>
        <v>#VALUE!</v>
      </c>
      <c r="CV109" t="e">
        <f>AND('Planilla_General_07-12-2012_8_3'!C1633,"AAAAAHfP/mM=")</f>
        <v>#VALUE!</v>
      </c>
      <c r="CW109" t="e">
        <f>AND('Planilla_General_07-12-2012_8_3'!D1633,"AAAAAHfP/mQ=")</f>
        <v>#VALUE!</v>
      </c>
      <c r="CX109" t="e">
        <f>AND('Planilla_General_07-12-2012_8_3'!E1633,"AAAAAHfP/mU=")</f>
        <v>#VALUE!</v>
      </c>
      <c r="CY109" t="e">
        <f>AND('Planilla_General_07-12-2012_8_3'!F1633,"AAAAAHfP/mY=")</f>
        <v>#VALUE!</v>
      </c>
      <c r="CZ109" t="e">
        <f>AND('Planilla_General_07-12-2012_8_3'!G1633,"AAAAAHfP/mc=")</f>
        <v>#VALUE!</v>
      </c>
      <c r="DA109" t="e">
        <f>AND('Planilla_General_07-12-2012_8_3'!H1633,"AAAAAHfP/mg=")</f>
        <v>#VALUE!</v>
      </c>
      <c r="DB109" t="e">
        <f>AND('Planilla_General_07-12-2012_8_3'!I1633,"AAAAAHfP/mk=")</f>
        <v>#VALUE!</v>
      </c>
      <c r="DC109" t="e">
        <f>AND('Planilla_General_07-12-2012_8_3'!J1633,"AAAAAHfP/mo=")</f>
        <v>#VALUE!</v>
      </c>
      <c r="DD109" t="e">
        <f>AND('Planilla_General_07-12-2012_8_3'!K1633,"AAAAAHfP/ms=")</f>
        <v>#VALUE!</v>
      </c>
      <c r="DE109" t="e">
        <f>AND('Planilla_General_07-12-2012_8_3'!L1633,"AAAAAHfP/mw=")</f>
        <v>#VALUE!</v>
      </c>
      <c r="DF109" t="e">
        <f>AND('Planilla_General_07-12-2012_8_3'!M1633,"AAAAAHfP/m0=")</f>
        <v>#VALUE!</v>
      </c>
      <c r="DG109" t="e">
        <f>AND('Planilla_General_07-12-2012_8_3'!N1633,"AAAAAHfP/m4=")</f>
        <v>#VALUE!</v>
      </c>
      <c r="DH109" t="e">
        <f>AND('Planilla_General_07-12-2012_8_3'!O1633,"AAAAAHfP/m8=")</f>
        <v>#VALUE!</v>
      </c>
      <c r="DI109" t="e">
        <f>AND('Planilla_General_07-12-2012_8_3'!P1633,"AAAAAHfP/nA=")</f>
        <v>#VALUE!</v>
      </c>
      <c r="DJ109">
        <f>IF('Planilla_General_07-12-2012_8_3'!1634:1634,"AAAAAHfP/nE=",0)</f>
        <v>0</v>
      </c>
      <c r="DK109" t="e">
        <f>AND('Planilla_General_07-12-2012_8_3'!A1634,"AAAAAHfP/nI=")</f>
        <v>#VALUE!</v>
      </c>
      <c r="DL109" t="e">
        <f>AND('Planilla_General_07-12-2012_8_3'!B1634,"AAAAAHfP/nM=")</f>
        <v>#VALUE!</v>
      </c>
      <c r="DM109" t="e">
        <f>AND('Planilla_General_07-12-2012_8_3'!C1634,"AAAAAHfP/nQ=")</f>
        <v>#VALUE!</v>
      </c>
      <c r="DN109" t="e">
        <f>AND('Planilla_General_07-12-2012_8_3'!D1634,"AAAAAHfP/nU=")</f>
        <v>#VALUE!</v>
      </c>
      <c r="DO109" t="e">
        <f>AND('Planilla_General_07-12-2012_8_3'!E1634,"AAAAAHfP/nY=")</f>
        <v>#VALUE!</v>
      </c>
      <c r="DP109" t="e">
        <f>AND('Planilla_General_07-12-2012_8_3'!F1634,"AAAAAHfP/nc=")</f>
        <v>#VALUE!</v>
      </c>
      <c r="DQ109" t="e">
        <f>AND('Planilla_General_07-12-2012_8_3'!G1634,"AAAAAHfP/ng=")</f>
        <v>#VALUE!</v>
      </c>
      <c r="DR109" t="e">
        <f>AND('Planilla_General_07-12-2012_8_3'!H1634,"AAAAAHfP/nk=")</f>
        <v>#VALUE!</v>
      </c>
      <c r="DS109" t="e">
        <f>AND('Planilla_General_07-12-2012_8_3'!I1634,"AAAAAHfP/no=")</f>
        <v>#VALUE!</v>
      </c>
      <c r="DT109" t="e">
        <f>AND('Planilla_General_07-12-2012_8_3'!J1634,"AAAAAHfP/ns=")</f>
        <v>#VALUE!</v>
      </c>
      <c r="DU109" t="e">
        <f>AND('Planilla_General_07-12-2012_8_3'!K1634,"AAAAAHfP/nw=")</f>
        <v>#VALUE!</v>
      </c>
      <c r="DV109" t="e">
        <f>AND('Planilla_General_07-12-2012_8_3'!L1634,"AAAAAHfP/n0=")</f>
        <v>#VALUE!</v>
      </c>
      <c r="DW109" t="e">
        <f>AND('Planilla_General_07-12-2012_8_3'!M1634,"AAAAAHfP/n4=")</f>
        <v>#VALUE!</v>
      </c>
      <c r="DX109" t="e">
        <f>AND('Planilla_General_07-12-2012_8_3'!N1634,"AAAAAHfP/n8=")</f>
        <v>#VALUE!</v>
      </c>
      <c r="DY109" t="e">
        <f>AND('Planilla_General_07-12-2012_8_3'!O1634,"AAAAAHfP/oA=")</f>
        <v>#VALUE!</v>
      </c>
      <c r="DZ109" t="e">
        <f>AND('Planilla_General_07-12-2012_8_3'!P1634,"AAAAAHfP/oE=")</f>
        <v>#VALUE!</v>
      </c>
      <c r="EA109">
        <f>IF('Planilla_General_07-12-2012_8_3'!1635:1635,"AAAAAHfP/oI=",0)</f>
        <v>0</v>
      </c>
      <c r="EB109" t="e">
        <f>AND('Planilla_General_07-12-2012_8_3'!A1635,"AAAAAHfP/oM=")</f>
        <v>#VALUE!</v>
      </c>
      <c r="EC109" t="e">
        <f>AND('Planilla_General_07-12-2012_8_3'!B1635,"AAAAAHfP/oQ=")</f>
        <v>#VALUE!</v>
      </c>
      <c r="ED109" t="e">
        <f>AND('Planilla_General_07-12-2012_8_3'!C1635,"AAAAAHfP/oU=")</f>
        <v>#VALUE!</v>
      </c>
      <c r="EE109" t="e">
        <f>AND('Planilla_General_07-12-2012_8_3'!D1635,"AAAAAHfP/oY=")</f>
        <v>#VALUE!</v>
      </c>
      <c r="EF109" t="e">
        <f>AND('Planilla_General_07-12-2012_8_3'!E1635,"AAAAAHfP/oc=")</f>
        <v>#VALUE!</v>
      </c>
      <c r="EG109" t="e">
        <f>AND('Planilla_General_07-12-2012_8_3'!F1635,"AAAAAHfP/og=")</f>
        <v>#VALUE!</v>
      </c>
      <c r="EH109" t="e">
        <f>AND('Planilla_General_07-12-2012_8_3'!G1635,"AAAAAHfP/ok=")</f>
        <v>#VALUE!</v>
      </c>
      <c r="EI109" t="e">
        <f>AND('Planilla_General_07-12-2012_8_3'!H1635,"AAAAAHfP/oo=")</f>
        <v>#VALUE!</v>
      </c>
      <c r="EJ109" t="e">
        <f>AND('Planilla_General_07-12-2012_8_3'!I1635,"AAAAAHfP/os=")</f>
        <v>#VALUE!</v>
      </c>
      <c r="EK109" t="e">
        <f>AND('Planilla_General_07-12-2012_8_3'!J1635,"AAAAAHfP/ow=")</f>
        <v>#VALUE!</v>
      </c>
      <c r="EL109" t="e">
        <f>AND('Planilla_General_07-12-2012_8_3'!K1635,"AAAAAHfP/o0=")</f>
        <v>#VALUE!</v>
      </c>
      <c r="EM109" t="e">
        <f>AND('Planilla_General_07-12-2012_8_3'!L1635,"AAAAAHfP/o4=")</f>
        <v>#VALUE!</v>
      </c>
      <c r="EN109" t="e">
        <f>AND('Planilla_General_07-12-2012_8_3'!M1635,"AAAAAHfP/o8=")</f>
        <v>#VALUE!</v>
      </c>
      <c r="EO109" t="e">
        <f>AND('Planilla_General_07-12-2012_8_3'!N1635,"AAAAAHfP/pA=")</f>
        <v>#VALUE!</v>
      </c>
      <c r="EP109" t="e">
        <f>AND('Planilla_General_07-12-2012_8_3'!O1635,"AAAAAHfP/pE=")</f>
        <v>#VALUE!</v>
      </c>
      <c r="EQ109" t="e">
        <f>AND('Planilla_General_07-12-2012_8_3'!P1635,"AAAAAHfP/pI=")</f>
        <v>#VALUE!</v>
      </c>
      <c r="ER109">
        <f>IF('Planilla_General_07-12-2012_8_3'!1636:1636,"AAAAAHfP/pM=",0)</f>
        <v>0</v>
      </c>
      <c r="ES109" t="e">
        <f>AND('Planilla_General_07-12-2012_8_3'!A1636,"AAAAAHfP/pQ=")</f>
        <v>#VALUE!</v>
      </c>
      <c r="ET109" t="e">
        <f>AND('Planilla_General_07-12-2012_8_3'!B1636,"AAAAAHfP/pU=")</f>
        <v>#VALUE!</v>
      </c>
      <c r="EU109" t="e">
        <f>AND('Planilla_General_07-12-2012_8_3'!C1636,"AAAAAHfP/pY=")</f>
        <v>#VALUE!</v>
      </c>
      <c r="EV109" t="e">
        <f>AND('Planilla_General_07-12-2012_8_3'!D1636,"AAAAAHfP/pc=")</f>
        <v>#VALUE!</v>
      </c>
      <c r="EW109" t="e">
        <f>AND('Planilla_General_07-12-2012_8_3'!E1636,"AAAAAHfP/pg=")</f>
        <v>#VALUE!</v>
      </c>
      <c r="EX109" t="e">
        <f>AND('Planilla_General_07-12-2012_8_3'!F1636,"AAAAAHfP/pk=")</f>
        <v>#VALUE!</v>
      </c>
      <c r="EY109" t="e">
        <f>AND('Planilla_General_07-12-2012_8_3'!G1636,"AAAAAHfP/po=")</f>
        <v>#VALUE!</v>
      </c>
      <c r="EZ109" t="e">
        <f>AND('Planilla_General_07-12-2012_8_3'!H1636,"AAAAAHfP/ps=")</f>
        <v>#VALUE!</v>
      </c>
      <c r="FA109" t="e">
        <f>AND('Planilla_General_07-12-2012_8_3'!I1636,"AAAAAHfP/pw=")</f>
        <v>#VALUE!</v>
      </c>
      <c r="FB109" t="e">
        <f>AND('Planilla_General_07-12-2012_8_3'!J1636,"AAAAAHfP/p0=")</f>
        <v>#VALUE!</v>
      </c>
      <c r="FC109" t="e">
        <f>AND('Planilla_General_07-12-2012_8_3'!K1636,"AAAAAHfP/p4=")</f>
        <v>#VALUE!</v>
      </c>
      <c r="FD109" t="e">
        <f>AND('Planilla_General_07-12-2012_8_3'!L1636,"AAAAAHfP/p8=")</f>
        <v>#VALUE!</v>
      </c>
      <c r="FE109" t="e">
        <f>AND('Planilla_General_07-12-2012_8_3'!M1636,"AAAAAHfP/qA=")</f>
        <v>#VALUE!</v>
      </c>
      <c r="FF109" t="e">
        <f>AND('Planilla_General_07-12-2012_8_3'!N1636,"AAAAAHfP/qE=")</f>
        <v>#VALUE!</v>
      </c>
      <c r="FG109" t="e">
        <f>AND('Planilla_General_07-12-2012_8_3'!O1636,"AAAAAHfP/qI=")</f>
        <v>#VALUE!</v>
      </c>
      <c r="FH109" t="e">
        <f>AND('Planilla_General_07-12-2012_8_3'!P1636,"AAAAAHfP/qM=")</f>
        <v>#VALUE!</v>
      </c>
      <c r="FI109">
        <f>IF('Planilla_General_07-12-2012_8_3'!1637:1637,"AAAAAHfP/qQ=",0)</f>
        <v>0</v>
      </c>
      <c r="FJ109" t="e">
        <f>AND('Planilla_General_07-12-2012_8_3'!A1637,"AAAAAHfP/qU=")</f>
        <v>#VALUE!</v>
      </c>
      <c r="FK109" t="e">
        <f>AND('Planilla_General_07-12-2012_8_3'!B1637,"AAAAAHfP/qY=")</f>
        <v>#VALUE!</v>
      </c>
      <c r="FL109" t="e">
        <f>AND('Planilla_General_07-12-2012_8_3'!C1637,"AAAAAHfP/qc=")</f>
        <v>#VALUE!</v>
      </c>
      <c r="FM109" t="e">
        <f>AND('Planilla_General_07-12-2012_8_3'!D1637,"AAAAAHfP/qg=")</f>
        <v>#VALUE!</v>
      </c>
      <c r="FN109" t="e">
        <f>AND('Planilla_General_07-12-2012_8_3'!E1637,"AAAAAHfP/qk=")</f>
        <v>#VALUE!</v>
      </c>
      <c r="FO109" t="e">
        <f>AND('Planilla_General_07-12-2012_8_3'!F1637,"AAAAAHfP/qo=")</f>
        <v>#VALUE!</v>
      </c>
      <c r="FP109" t="e">
        <f>AND('Planilla_General_07-12-2012_8_3'!G1637,"AAAAAHfP/qs=")</f>
        <v>#VALUE!</v>
      </c>
      <c r="FQ109" t="e">
        <f>AND('Planilla_General_07-12-2012_8_3'!H1637,"AAAAAHfP/qw=")</f>
        <v>#VALUE!</v>
      </c>
      <c r="FR109" t="e">
        <f>AND('Planilla_General_07-12-2012_8_3'!I1637,"AAAAAHfP/q0=")</f>
        <v>#VALUE!</v>
      </c>
      <c r="FS109" t="e">
        <f>AND('Planilla_General_07-12-2012_8_3'!J1637,"AAAAAHfP/q4=")</f>
        <v>#VALUE!</v>
      </c>
      <c r="FT109" t="e">
        <f>AND('Planilla_General_07-12-2012_8_3'!K1637,"AAAAAHfP/q8=")</f>
        <v>#VALUE!</v>
      </c>
      <c r="FU109" t="e">
        <f>AND('Planilla_General_07-12-2012_8_3'!L1637,"AAAAAHfP/rA=")</f>
        <v>#VALUE!</v>
      </c>
      <c r="FV109" t="e">
        <f>AND('Planilla_General_07-12-2012_8_3'!M1637,"AAAAAHfP/rE=")</f>
        <v>#VALUE!</v>
      </c>
      <c r="FW109" t="e">
        <f>AND('Planilla_General_07-12-2012_8_3'!N1637,"AAAAAHfP/rI=")</f>
        <v>#VALUE!</v>
      </c>
      <c r="FX109" t="e">
        <f>AND('Planilla_General_07-12-2012_8_3'!O1637,"AAAAAHfP/rM=")</f>
        <v>#VALUE!</v>
      </c>
      <c r="FY109" t="e">
        <f>AND('Planilla_General_07-12-2012_8_3'!P1637,"AAAAAHfP/rQ=")</f>
        <v>#VALUE!</v>
      </c>
      <c r="FZ109">
        <f>IF('Planilla_General_07-12-2012_8_3'!1638:1638,"AAAAAHfP/rU=",0)</f>
        <v>0</v>
      </c>
      <c r="GA109" t="e">
        <f>AND('Planilla_General_07-12-2012_8_3'!A1638,"AAAAAHfP/rY=")</f>
        <v>#VALUE!</v>
      </c>
      <c r="GB109" t="e">
        <f>AND('Planilla_General_07-12-2012_8_3'!B1638,"AAAAAHfP/rc=")</f>
        <v>#VALUE!</v>
      </c>
      <c r="GC109" t="e">
        <f>AND('Planilla_General_07-12-2012_8_3'!C1638,"AAAAAHfP/rg=")</f>
        <v>#VALUE!</v>
      </c>
      <c r="GD109" t="e">
        <f>AND('Planilla_General_07-12-2012_8_3'!D1638,"AAAAAHfP/rk=")</f>
        <v>#VALUE!</v>
      </c>
      <c r="GE109" t="e">
        <f>AND('Planilla_General_07-12-2012_8_3'!E1638,"AAAAAHfP/ro=")</f>
        <v>#VALUE!</v>
      </c>
      <c r="GF109" t="e">
        <f>AND('Planilla_General_07-12-2012_8_3'!F1638,"AAAAAHfP/rs=")</f>
        <v>#VALUE!</v>
      </c>
      <c r="GG109" t="e">
        <f>AND('Planilla_General_07-12-2012_8_3'!G1638,"AAAAAHfP/rw=")</f>
        <v>#VALUE!</v>
      </c>
      <c r="GH109" t="e">
        <f>AND('Planilla_General_07-12-2012_8_3'!H1638,"AAAAAHfP/r0=")</f>
        <v>#VALUE!</v>
      </c>
      <c r="GI109" t="e">
        <f>AND('Planilla_General_07-12-2012_8_3'!I1638,"AAAAAHfP/r4=")</f>
        <v>#VALUE!</v>
      </c>
      <c r="GJ109" t="e">
        <f>AND('Planilla_General_07-12-2012_8_3'!J1638,"AAAAAHfP/r8=")</f>
        <v>#VALUE!</v>
      </c>
      <c r="GK109" t="e">
        <f>AND('Planilla_General_07-12-2012_8_3'!K1638,"AAAAAHfP/sA=")</f>
        <v>#VALUE!</v>
      </c>
      <c r="GL109" t="e">
        <f>AND('Planilla_General_07-12-2012_8_3'!L1638,"AAAAAHfP/sE=")</f>
        <v>#VALUE!</v>
      </c>
      <c r="GM109" t="e">
        <f>AND('Planilla_General_07-12-2012_8_3'!M1638,"AAAAAHfP/sI=")</f>
        <v>#VALUE!</v>
      </c>
      <c r="GN109" t="e">
        <f>AND('Planilla_General_07-12-2012_8_3'!N1638,"AAAAAHfP/sM=")</f>
        <v>#VALUE!</v>
      </c>
      <c r="GO109" t="e">
        <f>AND('Planilla_General_07-12-2012_8_3'!O1638,"AAAAAHfP/sQ=")</f>
        <v>#VALUE!</v>
      </c>
      <c r="GP109" t="e">
        <f>AND('Planilla_General_07-12-2012_8_3'!P1638,"AAAAAHfP/sU=")</f>
        <v>#VALUE!</v>
      </c>
      <c r="GQ109">
        <f>IF('Planilla_General_07-12-2012_8_3'!1639:1639,"AAAAAHfP/sY=",0)</f>
        <v>0</v>
      </c>
      <c r="GR109" t="e">
        <f>AND('Planilla_General_07-12-2012_8_3'!A1639,"AAAAAHfP/sc=")</f>
        <v>#VALUE!</v>
      </c>
      <c r="GS109" t="e">
        <f>AND('Planilla_General_07-12-2012_8_3'!B1639,"AAAAAHfP/sg=")</f>
        <v>#VALUE!</v>
      </c>
      <c r="GT109" t="e">
        <f>AND('Planilla_General_07-12-2012_8_3'!C1639,"AAAAAHfP/sk=")</f>
        <v>#VALUE!</v>
      </c>
      <c r="GU109" t="e">
        <f>AND('Planilla_General_07-12-2012_8_3'!D1639,"AAAAAHfP/so=")</f>
        <v>#VALUE!</v>
      </c>
      <c r="GV109" t="e">
        <f>AND('Planilla_General_07-12-2012_8_3'!E1639,"AAAAAHfP/ss=")</f>
        <v>#VALUE!</v>
      </c>
      <c r="GW109" t="e">
        <f>AND('Planilla_General_07-12-2012_8_3'!F1639,"AAAAAHfP/sw=")</f>
        <v>#VALUE!</v>
      </c>
      <c r="GX109" t="e">
        <f>AND('Planilla_General_07-12-2012_8_3'!G1639,"AAAAAHfP/s0=")</f>
        <v>#VALUE!</v>
      </c>
      <c r="GY109" t="e">
        <f>AND('Planilla_General_07-12-2012_8_3'!H1639,"AAAAAHfP/s4=")</f>
        <v>#VALUE!</v>
      </c>
      <c r="GZ109" t="e">
        <f>AND('Planilla_General_07-12-2012_8_3'!I1639,"AAAAAHfP/s8=")</f>
        <v>#VALUE!</v>
      </c>
      <c r="HA109" t="e">
        <f>AND('Planilla_General_07-12-2012_8_3'!J1639,"AAAAAHfP/tA=")</f>
        <v>#VALUE!</v>
      </c>
      <c r="HB109" t="e">
        <f>AND('Planilla_General_07-12-2012_8_3'!K1639,"AAAAAHfP/tE=")</f>
        <v>#VALUE!</v>
      </c>
      <c r="HC109" t="e">
        <f>AND('Planilla_General_07-12-2012_8_3'!L1639,"AAAAAHfP/tI=")</f>
        <v>#VALUE!</v>
      </c>
      <c r="HD109" t="e">
        <f>AND('Planilla_General_07-12-2012_8_3'!M1639,"AAAAAHfP/tM=")</f>
        <v>#VALUE!</v>
      </c>
      <c r="HE109" t="e">
        <f>AND('Planilla_General_07-12-2012_8_3'!N1639,"AAAAAHfP/tQ=")</f>
        <v>#VALUE!</v>
      </c>
      <c r="HF109" t="e">
        <f>AND('Planilla_General_07-12-2012_8_3'!O1639,"AAAAAHfP/tU=")</f>
        <v>#VALUE!</v>
      </c>
      <c r="HG109" t="e">
        <f>AND('Planilla_General_07-12-2012_8_3'!P1639,"AAAAAHfP/tY=")</f>
        <v>#VALUE!</v>
      </c>
      <c r="HH109">
        <f>IF('Planilla_General_07-12-2012_8_3'!1640:1640,"AAAAAHfP/tc=",0)</f>
        <v>0</v>
      </c>
      <c r="HI109" t="e">
        <f>AND('Planilla_General_07-12-2012_8_3'!A1640,"AAAAAHfP/tg=")</f>
        <v>#VALUE!</v>
      </c>
      <c r="HJ109" t="e">
        <f>AND('Planilla_General_07-12-2012_8_3'!B1640,"AAAAAHfP/tk=")</f>
        <v>#VALUE!</v>
      </c>
      <c r="HK109" t="e">
        <f>AND('Planilla_General_07-12-2012_8_3'!C1640,"AAAAAHfP/to=")</f>
        <v>#VALUE!</v>
      </c>
      <c r="HL109" t="e">
        <f>AND('Planilla_General_07-12-2012_8_3'!D1640,"AAAAAHfP/ts=")</f>
        <v>#VALUE!</v>
      </c>
      <c r="HM109" t="e">
        <f>AND('Planilla_General_07-12-2012_8_3'!E1640,"AAAAAHfP/tw=")</f>
        <v>#VALUE!</v>
      </c>
      <c r="HN109" t="e">
        <f>AND('Planilla_General_07-12-2012_8_3'!F1640,"AAAAAHfP/t0=")</f>
        <v>#VALUE!</v>
      </c>
      <c r="HO109" t="e">
        <f>AND('Planilla_General_07-12-2012_8_3'!G1640,"AAAAAHfP/t4=")</f>
        <v>#VALUE!</v>
      </c>
      <c r="HP109" t="e">
        <f>AND('Planilla_General_07-12-2012_8_3'!H1640,"AAAAAHfP/t8=")</f>
        <v>#VALUE!</v>
      </c>
      <c r="HQ109" t="e">
        <f>AND('Planilla_General_07-12-2012_8_3'!I1640,"AAAAAHfP/uA=")</f>
        <v>#VALUE!</v>
      </c>
      <c r="HR109" t="e">
        <f>AND('Planilla_General_07-12-2012_8_3'!J1640,"AAAAAHfP/uE=")</f>
        <v>#VALUE!</v>
      </c>
      <c r="HS109" t="e">
        <f>AND('Planilla_General_07-12-2012_8_3'!K1640,"AAAAAHfP/uI=")</f>
        <v>#VALUE!</v>
      </c>
      <c r="HT109" t="e">
        <f>AND('Planilla_General_07-12-2012_8_3'!L1640,"AAAAAHfP/uM=")</f>
        <v>#VALUE!</v>
      </c>
      <c r="HU109" t="e">
        <f>AND('Planilla_General_07-12-2012_8_3'!M1640,"AAAAAHfP/uQ=")</f>
        <v>#VALUE!</v>
      </c>
      <c r="HV109" t="e">
        <f>AND('Planilla_General_07-12-2012_8_3'!N1640,"AAAAAHfP/uU=")</f>
        <v>#VALUE!</v>
      </c>
      <c r="HW109" t="e">
        <f>AND('Planilla_General_07-12-2012_8_3'!O1640,"AAAAAHfP/uY=")</f>
        <v>#VALUE!</v>
      </c>
      <c r="HX109" t="e">
        <f>AND('Planilla_General_07-12-2012_8_3'!P1640,"AAAAAHfP/uc=")</f>
        <v>#VALUE!</v>
      </c>
      <c r="HY109">
        <f>IF('Planilla_General_07-12-2012_8_3'!1641:1641,"AAAAAHfP/ug=",0)</f>
        <v>0</v>
      </c>
      <c r="HZ109" t="e">
        <f>AND('Planilla_General_07-12-2012_8_3'!A1641,"AAAAAHfP/uk=")</f>
        <v>#VALUE!</v>
      </c>
      <c r="IA109" t="e">
        <f>AND('Planilla_General_07-12-2012_8_3'!B1641,"AAAAAHfP/uo=")</f>
        <v>#VALUE!</v>
      </c>
      <c r="IB109" t="e">
        <f>AND('Planilla_General_07-12-2012_8_3'!C1641,"AAAAAHfP/us=")</f>
        <v>#VALUE!</v>
      </c>
      <c r="IC109" t="e">
        <f>AND('Planilla_General_07-12-2012_8_3'!D1641,"AAAAAHfP/uw=")</f>
        <v>#VALUE!</v>
      </c>
      <c r="ID109" t="e">
        <f>AND('Planilla_General_07-12-2012_8_3'!E1641,"AAAAAHfP/u0=")</f>
        <v>#VALUE!</v>
      </c>
      <c r="IE109" t="e">
        <f>AND('Planilla_General_07-12-2012_8_3'!F1641,"AAAAAHfP/u4=")</f>
        <v>#VALUE!</v>
      </c>
      <c r="IF109" t="e">
        <f>AND('Planilla_General_07-12-2012_8_3'!G1641,"AAAAAHfP/u8=")</f>
        <v>#VALUE!</v>
      </c>
      <c r="IG109" t="e">
        <f>AND('Planilla_General_07-12-2012_8_3'!H1641,"AAAAAHfP/vA=")</f>
        <v>#VALUE!</v>
      </c>
      <c r="IH109" t="e">
        <f>AND('Planilla_General_07-12-2012_8_3'!I1641,"AAAAAHfP/vE=")</f>
        <v>#VALUE!</v>
      </c>
      <c r="II109" t="e">
        <f>AND('Planilla_General_07-12-2012_8_3'!J1641,"AAAAAHfP/vI=")</f>
        <v>#VALUE!</v>
      </c>
      <c r="IJ109" t="e">
        <f>AND('Planilla_General_07-12-2012_8_3'!K1641,"AAAAAHfP/vM=")</f>
        <v>#VALUE!</v>
      </c>
      <c r="IK109" t="e">
        <f>AND('Planilla_General_07-12-2012_8_3'!L1641,"AAAAAHfP/vQ=")</f>
        <v>#VALUE!</v>
      </c>
      <c r="IL109" t="e">
        <f>AND('Planilla_General_07-12-2012_8_3'!M1641,"AAAAAHfP/vU=")</f>
        <v>#VALUE!</v>
      </c>
      <c r="IM109" t="e">
        <f>AND('Planilla_General_07-12-2012_8_3'!N1641,"AAAAAHfP/vY=")</f>
        <v>#VALUE!</v>
      </c>
      <c r="IN109" t="e">
        <f>AND('Planilla_General_07-12-2012_8_3'!O1641,"AAAAAHfP/vc=")</f>
        <v>#VALUE!</v>
      </c>
      <c r="IO109" t="e">
        <f>AND('Planilla_General_07-12-2012_8_3'!P1641,"AAAAAHfP/vg=")</f>
        <v>#VALUE!</v>
      </c>
      <c r="IP109">
        <f>IF('Planilla_General_07-12-2012_8_3'!1642:1642,"AAAAAHfP/vk=",0)</f>
        <v>0</v>
      </c>
      <c r="IQ109" t="e">
        <f>AND('Planilla_General_07-12-2012_8_3'!A1642,"AAAAAHfP/vo=")</f>
        <v>#VALUE!</v>
      </c>
      <c r="IR109" t="e">
        <f>AND('Planilla_General_07-12-2012_8_3'!B1642,"AAAAAHfP/vs=")</f>
        <v>#VALUE!</v>
      </c>
      <c r="IS109" t="e">
        <f>AND('Planilla_General_07-12-2012_8_3'!C1642,"AAAAAHfP/vw=")</f>
        <v>#VALUE!</v>
      </c>
      <c r="IT109" t="e">
        <f>AND('Planilla_General_07-12-2012_8_3'!D1642,"AAAAAHfP/v0=")</f>
        <v>#VALUE!</v>
      </c>
      <c r="IU109" t="e">
        <f>AND('Planilla_General_07-12-2012_8_3'!E1642,"AAAAAHfP/v4=")</f>
        <v>#VALUE!</v>
      </c>
      <c r="IV109" t="e">
        <f>AND('Planilla_General_07-12-2012_8_3'!F1642,"AAAAAHfP/v8=")</f>
        <v>#VALUE!</v>
      </c>
    </row>
    <row r="110" spans="1:256" x14ac:dyDescent="0.25">
      <c r="A110" t="e">
        <f>AND('Planilla_General_07-12-2012_8_3'!G1642,"AAAAAHunpwA=")</f>
        <v>#VALUE!</v>
      </c>
      <c r="B110" t="e">
        <f>AND('Planilla_General_07-12-2012_8_3'!H1642,"AAAAAHunpwE=")</f>
        <v>#VALUE!</v>
      </c>
      <c r="C110" t="e">
        <f>AND('Planilla_General_07-12-2012_8_3'!I1642,"AAAAAHunpwI=")</f>
        <v>#VALUE!</v>
      </c>
      <c r="D110" t="e">
        <f>AND('Planilla_General_07-12-2012_8_3'!J1642,"AAAAAHunpwM=")</f>
        <v>#VALUE!</v>
      </c>
      <c r="E110" t="e">
        <f>AND('Planilla_General_07-12-2012_8_3'!K1642,"AAAAAHunpwQ=")</f>
        <v>#VALUE!</v>
      </c>
      <c r="F110" t="e">
        <f>AND('Planilla_General_07-12-2012_8_3'!L1642,"AAAAAHunpwU=")</f>
        <v>#VALUE!</v>
      </c>
      <c r="G110" t="e">
        <f>AND('Planilla_General_07-12-2012_8_3'!M1642,"AAAAAHunpwY=")</f>
        <v>#VALUE!</v>
      </c>
      <c r="H110" t="e">
        <f>AND('Planilla_General_07-12-2012_8_3'!N1642,"AAAAAHunpwc=")</f>
        <v>#VALUE!</v>
      </c>
      <c r="I110" t="e">
        <f>AND('Planilla_General_07-12-2012_8_3'!O1642,"AAAAAHunpwg=")</f>
        <v>#VALUE!</v>
      </c>
      <c r="J110" t="e">
        <f>AND('Planilla_General_07-12-2012_8_3'!P1642,"AAAAAHunpwk=")</f>
        <v>#VALUE!</v>
      </c>
      <c r="K110" t="str">
        <f>IF('Planilla_General_07-12-2012_8_3'!1643:1643,"AAAAAHunpwo=",0)</f>
        <v>AAAAAHunpwo=</v>
      </c>
      <c r="L110" t="e">
        <f>AND('Planilla_General_07-12-2012_8_3'!A1643,"AAAAAHunpws=")</f>
        <v>#VALUE!</v>
      </c>
      <c r="M110" t="e">
        <f>AND('Planilla_General_07-12-2012_8_3'!B1643,"AAAAAHunpww=")</f>
        <v>#VALUE!</v>
      </c>
      <c r="N110" t="e">
        <f>AND('Planilla_General_07-12-2012_8_3'!C1643,"AAAAAHunpw0=")</f>
        <v>#VALUE!</v>
      </c>
      <c r="O110" t="e">
        <f>AND('Planilla_General_07-12-2012_8_3'!D1643,"AAAAAHunpw4=")</f>
        <v>#VALUE!</v>
      </c>
      <c r="P110" t="e">
        <f>AND('Planilla_General_07-12-2012_8_3'!E1643,"AAAAAHunpw8=")</f>
        <v>#VALUE!</v>
      </c>
      <c r="Q110" t="e">
        <f>AND('Planilla_General_07-12-2012_8_3'!F1643,"AAAAAHunpxA=")</f>
        <v>#VALUE!</v>
      </c>
      <c r="R110" t="e">
        <f>AND('Planilla_General_07-12-2012_8_3'!G1643,"AAAAAHunpxE=")</f>
        <v>#VALUE!</v>
      </c>
      <c r="S110" t="e">
        <f>AND('Planilla_General_07-12-2012_8_3'!H1643,"AAAAAHunpxI=")</f>
        <v>#VALUE!</v>
      </c>
      <c r="T110" t="e">
        <f>AND('Planilla_General_07-12-2012_8_3'!I1643,"AAAAAHunpxM=")</f>
        <v>#VALUE!</v>
      </c>
      <c r="U110" t="e">
        <f>AND('Planilla_General_07-12-2012_8_3'!J1643,"AAAAAHunpxQ=")</f>
        <v>#VALUE!</v>
      </c>
      <c r="V110" t="e">
        <f>AND('Planilla_General_07-12-2012_8_3'!K1643,"AAAAAHunpxU=")</f>
        <v>#VALUE!</v>
      </c>
      <c r="W110" t="e">
        <f>AND('Planilla_General_07-12-2012_8_3'!L1643,"AAAAAHunpxY=")</f>
        <v>#VALUE!</v>
      </c>
      <c r="X110" t="e">
        <f>AND('Planilla_General_07-12-2012_8_3'!M1643,"AAAAAHunpxc=")</f>
        <v>#VALUE!</v>
      </c>
      <c r="Y110" t="e">
        <f>AND('Planilla_General_07-12-2012_8_3'!N1643,"AAAAAHunpxg=")</f>
        <v>#VALUE!</v>
      </c>
      <c r="Z110" t="e">
        <f>AND('Planilla_General_07-12-2012_8_3'!O1643,"AAAAAHunpxk=")</f>
        <v>#VALUE!</v>
      </c>
      <c r="AA110" t="e">
        <f>AND('Planilla_General_07-12-2012_8_3'!P1643,"AAAAAHunpxo=")</f>
        <v>#VALUE!</v>
      </c>
      <c r="AB110">
        <f>IF('Planilla_General_07-12-2012_8_3'!1644:1644,"AAAAAHunpxs=",0)</f>
        <v>0</v>
      </c>
      <c r="AC110" t="e">
        <f>AND('Planilla_General_07-12-2012_8_3'!A1644,"AAAAAHunpxw=")</f>
        <v>#VALUE!</v>
      </c>
      <c r="AD110" t="e">
        <f>AND('Planilla_General_07-12-2012_8_3'!B1644,"AAAAAHunpx0=")</f>
        <v>#VALUE!</v>
      </c>
      <c r="AE110" t="e">
        <f>AND('Planilla_General_07-12-2012_8_3'!C1644,"AAAAAHunpx4=")</f>
        <v>#VALUE!</v>
      </c>
      <c r="AF110" t="e">
        <f>AND('Planilla_General_07-12-2012_8_3'!D1644,"AAAAAHunpx8=")</f>
        <v>#VALUE!</v>
      </c>
      <c r="AG110" t="e">
        <f>AND('Planilla_General_07-12-2012_8_3'!E1644,"AAAAAHunpyA=")</f>
        <v>#VALUE!</v>
      </c>
      <c r="AH110" t="e">
        <f>AND('Planilla_General_07-12-2012_8_3'!F1644,"AAAAAHunpyE=")</f>
        <v>#VALUE!</v>
      </c>
      <c r="AI110" t="e">
        <f>AND('Planilla_General_07-12-2012_8_3'!G1644,"AAAAAHunpyI=")</f>
        <v>#VALUE!</v>
      </c>
      <c r="AJ110" t="e">
        <f>AND('Planilla_General_07-12-2012_8_3'!H1644,"AAAAAHunpyM=")</f>
        <v>#VALUE!</v>
      </c>
      <c r="AK110" t="e">
        <f>AND('Planilla_General_07-12-2012_8_3'!I1644,"AAAAAHunpyQ=")</f>
        <v>#VALUE!</v>
      </c>
      <c r="AL110" t="e">
        <f>AND('Planilla_General_07-12-2012_8_3'!J1644,"AAAAAHunpyU=")</f>
        <v>#VALUE!</v>
      </c>
      <c r="AM110" t="e">
        <f>AND('Planilla_General_07-12-2012_8_3'!K1644,"AAAAAHunpyY=")</f>
        <v>#VALUE!</v>
      </c>
      <c r="AN110" t="e">
        <f>AND('Planilla_General_07-12-2012_8_3'!L1644,"AAAAAHunpyc=")</f>
        <v>#VALUE!</v>
      </c>
      <c r="AO110" t="e">
        <f>AND('Planilla_General_07-12-2012_8_3'!M1644,"AAAAAHunpyg=")</f>
        <v>#VALUE!</v>
      </c>
      <c r="AP110" t="e">
        <f>AND('Planilla_General_07-12-2012_8_3'!N1644,"AAAAAHunpyk=")</f>
        <v>#VALUE!</v>
      </c>
      <c r="AQ110" t="e">
        <f>AND('Planilla_General_07-12-2012_8_3'!O1644,"AAAAAHunpyo=")</f>
        <v>#VALUE!</v>
      </c>
      <c r="AR110" t="e">
        <f>AND('Planilla_General_07-12-2012_8_3'!P1644,"AAAAAHunpys=")</f>
        <v>#VALUE!</v>
      </c>
      <c r="AS110">
        <f>IF('Planilla_General_07-12-2012_8_3'!1645:1645,"AAAAAHunpyw=",0)</f>
        <v>0</v>
      </c>
      <c r="AT110" t="e">
        <f>AND('Planilla_General_07-12-2012_8_3'!A1645,"AAAAAHunpy0=")</f>
        <v>#VALUE!</v>
      </c>
      <c r="AU110" t="e">
        <f>AND('Planilla_General_07-12-2012_8_3'!B1645,"AAAAAHunpy4=")</f>
        <v>#VALUE!</v>
      </c>
      <c r="AV110" t="e">
        <f>AND('Planilla_General_07-12-2012_8_3'!C1645,"AAAAAHunpy8=")</f>
        <v>#VALUE!</v>
      </c>
      <c r="AW110" t="e">
        <f>AND('Planilla_General_07-12-2012_8_3'!D1645,"AAAAAHunpzA=")</f>
        <v>#VALUE!</v>
      </c>
      <c r="AX110" t="e">
        <f>AND('Planilla_General_07-12-2012_8_3'!E1645,"AAAAAHunpzE=")</f>
        <v>#VALUE!</v>
      </c>
      <c r="AY110" t="e">
        <f>AND('Planilla_General_07-12-2012_8_3'!F1645,"AAAAAHunpzI=")</f>
        <v>#VALUE!</v>
      </c>
      <c r="AZ110" t="e">
        <f>AND('Planilla_General_07-12-2012_8_3'!G1645,"AAAAAHunpzM=")</f>
        <v>#VALUE!</v>
      </c>
      <c r="BA110" t="e">
        <f>AND('Planilla_General_07-12-2012_8_3'!H1645,"AAAAAHunpzQ=")</f>
        <v>#VALUE!</v>
      </c>
      <c r="BB110" t="e">
        <f>AND('Planilla_General_07-12-2012_8_3'!I1645,"AAAAAHunpzU=")</f>
        <v>#VALUE!</v>
      </c>
      <c r="BC110" t="e">
        <f>AND('Planilla_General_07-12-2012_8_3'!J1645,"AAAAAHunpzY=")</f>
        <v>#VALUE!</v>
      </c>
      <c r="BD110" t="e">
        <f>AND('Planilla_General_07-12-2012_8_3'!K1645,"AAAAAHunpzc=")</f>
        <v>#VALUE!</v>
      </c>
      <c r="BE110" t="e">
        <f>AND('Planilla_General_07-12-2012_8_3'!L1645,"AAAAAHunpzg=")</f>
        <v>#VALUE!</v>
      </c>
      <c r="BF110" t="e">
        <f>AND('Planilla_General_07-12-2012_8_3'!M1645,"AAAAAHunpzk=")</f>
        <v>#VALUE!</v>
      </c>
      <c r="BG110" t="e">
        <f>AND('Planilla_General_07-12-2012_8_3'!N1645,"AAAAAHunpzo=")</f>
        <v>#VALUE!</v>
      </c>
      <c r="BH110" t="e">
        <f>AND('Planilla_General_07-12-2012_8_3'!O1645,"AAAAAHunpzs=")</f>
        <v>#VALUE!</v>
      </c>
      <c r="BI110" t="e">
        <f>AND('Planilla_General_07-12-2012_8_3'!P1645,"AAAAAHunpzw=")</f>
        <v>#VALUE!</v>
      </c>
      <c r="BJ110">
        <f>IF('Planilla_General_07-12-2012_8_3'!1646:1646,"AAAAAHunpz0=",0)</f>
        <v>0</v>
      </c>
      <c r="BK110" t="e">
        <f>AND('Planilla_General_07-12-2012_8_3'!A1646,"AAAAAHunpz4=")</f>
        <v>#VALUE!</v>
      </c>
      <c r="BL110" t="e">
        <f>AND('Planilla_General_07-12-2012_8_3'!B1646,"AAAAAHunpz8=")</f>
        <v>#VALUE!</v>
      </c>
      <c r="BM110" t="e">
        <f>AND('Planilla_General_07-12-2012_8_3'!C1646,"AAAAAHunp0A=")</f>
        <v>#VALUE!</v>
      </c>
      <c r="BN110" t="e">
        <f>AND('Planilla_General_07-12-2012_8_3'!D1646,"AAAAAHunp0E=")</f>
        <v>#VALUE!</v>
      </c>
      <c r="BO110" t="e">
        <f>AND('Planilla_General_07-12-2012_8_3'!E1646,"AAAAAHunp0I=")</f>
        <v>#VALUE!</v>
      </c>
      <c r="BP110" t="e">
        <f>AND('Planilla_General_07-12-2012_8_3'!F1646,"AAAAAHunp0M=")</f>
        <v>#VALUE!</v>
      </c>
      <c r="BQ110" t="e">
        <f>AND('Planilla_General_07-12-2012_8_3'!G1646,"AAAAAHunp0Q=")</f>
        <v>#VALUE!</v>
      </c>
      <c r="BR110" t="e">
        <f>AND('Planilla_General_07-12-2012_8_3'!H1646,"AAAAAHunp0U=")</f>
        <v>#VALUE!</v>
      </c>
      <c r="BS110" t="e">
        <f>AND('Planilla_General_07-12-2012_8_3'!I1646,"AAAAAHunp0Y=")</f>
        <v>#VALUE!</v>
      </c>
      <c r="BT110" t="e">
        <f>AND('Planilla_General_07-12-2012_8_3'!J1646,"AAAAAHunp0c=")</f>
        <v>#VALUE!</v>
      </c>
      <c r="BU110" t="e">
        <f>AND('Planilla_General_07-12-2012_8_3'!K1646,"AAAAAHunp0g=")</f>
        <v>#VALUE!</v>
      </c>
      <c r="BV110" t="e">
        <f>AND('Planilla_General_07-12-2012_8_3'!L1646,"AAAAAHunp0k=")</f>
        <v>#VALUE!</v>
      </c>
      <c r="BW110" t="e">
        <f>AND('Planilla_General_07-12-2012_8_3'!M1646,"AAAAAHunp0o=")</f>
        <v>#VALUE!</v>
      </c>
      <c r="BX110" t="e">
        <f>AND('Planilla_General_07-12-2012_8_3'!N1646,"AAAAAHunp0s=")</f>
        <v>#VALUE!</v>
      </c>
      <c r="BY110" t="e">
        <f>AND('Planilla_General_07-12-2012_8_3'!O1646,"AAAAAHunp0w=")</f>
        <v>#VALUE!</v>
      </c>
      <c r="BZ110" t="e">
        <f>AND('Planilla_General_07-12-2012_8_3'!P1646,"AAAAAHunp00=")</f>
        <v>#VALUE!</v>
      </c>
      <c r="CA110">
        <f>IF('Planilla_General_07-12-2012_8_3'!1647:1647,"AAAAAHunp04=",0)</f>
        <v>0</v>
      </c>
      <c r="CB110" t="e">
        <f>AND('Planilla_General_07-12-2012_8_3'!A1647,"AAAAAHunp08=")</f>
        <v>#VALUE!</v>
      </c>
      <c r="CC110" t="e">
        <f>AND('Planilla_General_07-12-2012_8_3'!B1647,"AAAAAHunp1A=")</f>
        <v>#VALUE!</v>
      </c>
      <c r="CD110" t="e">
        <f>AND('Planilla_General_07-12-2012_8_3'!C1647,"AAAAAHunp1E=")</f>
        <v>#VALUE!</v>
      </c>
      <c r="CE110" t="e">
        <f>AND('Planilla_General_07-12-2012_8_3'!D1647,"AAAAAHunp1I=")</f>
        <v>#VALUE!</v>
      </c>
      <c r="CF110" t="e">
        <f>AND('Planilla_General_07-12-2012_8_3'!E1647,"AAAAAHunp1M=")</f>
        <v>#VALUE!</v>
      </c>
      <c r="CG110" t="e">
        <f>AND('Planilla_General_07-12-2012_8_3'!F1647,"AAAAAHunp1Q=")</f>
        <v>#VALUE!</v>
      </c>
      <c r="CH110" t="e">
        <f>AND('Planilla_General_07-12-2012_8_3'!G1647,"AAAAAHunp1U=")</f>
        <v>#VALUE!</v>
      </c>
      <c r="CI110" t="e">
        <f>AND('Planilla_General_07-12-2012_8_3'!H1647,"AAAAAHunp1Y=")</f>
        <v>#VALUE!</v>
      </c>
      <c r="CJ110" t="e">
        <f>AND('Planilla_General_07-12-2012_8_3'!I1647,"AAAAAHunp1c=")</f>
        <v>#VALUE!</v>
      </c>
      <c r="CK110" t="e">
        <f>AND('Planilla_General_07-12-2012_8_3'!J1647,"AAAAAHunp1g=")</f>
        <v>#VALUE!</v>
      </c>
      <c r="CL110" t="e">
        <f>AND('Planilla_General_07-12-2012_8_3'!K1647,"AAAAAHunp1k=")</f>
        <v>#VALUE!</v>
      </c>
      <c r="CM110" t="e">
        <f>AND('Planilla_General_07-12-2012_8_3'!L1647,"AAAAAHunp1o=")</f>
        <v>#VALUE!</v>
      </c>
      <c r="CN110" t="e">
        <f>AND('Planilla_General_07-12-2012_8_3'!M1647,"AAAAAHunp1s=")</f>
        <v>#VALUE!</v>
      </c>
      <c r="CO110" t="e">
        <f>AND('Planilla_General_07-12-2012_8_3'!N1647,"AAAAAHunp1w=")</f>
        <v>#VALUE!</v>
      </c>
      <c r="CP110" t="e">
        <f>AND('Planilla_General_07-12-2012_8_3'!O1647,"AAAAAHunp10=")</f>
        <v>#VALUE!</v>
      </c>
      <c r="CQ110" t="e">
        <f>AND('Planilla_General_07-12-2012_8_3'!P1647,"AAAAAHunp14=")</f>
        <v>#VALUE!</v>
      </c>
      <c r="CR110">
        <f>IF('Planilla_General_07-12-2012_8_3'!1648:1648,"AAAAAHunp18=",0)</f>
        <v>0</v>
      </c>
      <c r="CS110" t="e">
        <f>AND('Planilla_General_07-12-2012_8_3'!A1648,"AAAAAHunp2A=")</f>
        <v>#VALUE!</v>
      </c>
      <c r="CT110" t="e">
        <f>AND('Planilla_General_07-12-2012_8_3'!B1648,"AAAAAHunp2E=")</f>
        <v>#VALUE!</v>
      </c>
      <c r="CU110" t="e">
        <f>AND('Planilla_General_07-12-2012_8_3'!C1648,"AAAAAHunp2I=")</f>
        <v>#VALUE!</v>
      </c>
      <c r="CV110" t="e">
        <f>AND('Planilla_General_07-12-2012_8_3'!D1648,"AAAAAHunp2M=")</f>
        <v>#VALUE!</v>
      </c>
      <c r="CW110" t="e">
        <f>AND('Planilla_General_07-12-2012_8_3'!E1648,"AAAAAHunp2Q=")</f>
        <v>#VALUE!</v>
      </c>
      <c r="CX110" t="e">
        <f>AND('Planilla_General_07-12-2012_8_3'!F1648,"AAAAAHunp2U=")</f>
        <v>#VALUE!</v>
      </c>
      <c r="CY110" t="e">
        <f>AND('Planilla_General_07-12-2012_8_3'!G1648,"AAAAAHunp2Y=")</f>
        <v>#VALUE!</v>
      </c>
      <c r="CZ110" t="e">
        <f>AND('Planilla_General_07-12-2012_8_3'!H1648,"AAAAAHunp2c=")</f>
        <v>#VALUE!</v>
      </c>
      <c r="DA110" t="e">
        <f>AND('Planilla_General_07-12-2012_8_3'!I1648,"AAAAAHunp2g=")</f>
        <v>#VALUE!</v>
      </c>
      <c r="DB110" t="e">
        <f>AND('Planilla_General_07-12-2012_8_3'!J1648,"AAAAAHunp2k=")</f>
        <v>#VALUE!</v>
      </c>
      <c r="DC110" t="e">
        <f>AND('Planilla_General_07-12-2012_8_3'!K1648,"AAAAAHunp2o=")</f>
        <v>#VALUE!</v>
      </c>
      <c r="DD110" t="e">
        <f>AND('Planilla_General_07-12-2012_8_3'!L1648,"AAAAAHunp2s=")</f>
        <v>#VALUE!</v>
      </c>
      <c r="DE110" t="e">
        <f>AND('Planilla_General_07-12-2012_8_3'!M1648,"AAAAAHunp2w=")</f>
        <v>#VALUE!</v>
      </c>
      <c r="DF110" t="e">
        <f>AND('Planilla_General_07-12-2012_8_3'!N1648,"AAAAAHunp20=")</f>
        <v>#VALUE!</v>
      </c>
      <c r="DG110" t="e">
        <f>AND('Planilla_General_07-12-2012_8_3'!O1648,"AAAAAHunp24=")</f>
        <v>#VALUE!</v>
      </c>
      <c r="DH110" t="e">
        <f>AND('Planilla_General_07-12-2012_8_3'!P1648,"AAAAAHunp28=")</f>
        <v>#VALUE!</v>
      </c>
      <c r="DI110">
        <f>IF('Planilla_General_07-12-2012_8_3'!1649:1649,"AAAAAHunp3A=",0)</f>
        <v>0</v>
      </c>
      <c r="DJ110" t="e">
        <f>AND('Planilla_General_07-12-2012_8_3'!A1649,"AAAAAHunp3E=")</f>
        <v>#VALUE!</v>
      </c>
      <c r="DK110" t="e">
        <f>AND('Planilla_General_07-12-2012_8_3'!B1649,"AAAAAHunp3I=")</f>
        <v>#VALUE!</v>
      </c>
      <c r="DL110" t="e">
        <f>AND('Planilla_General_07-12-2012_8_3'!C1649,"AAAAAHunp3M=")</f>
        <v>#VALUE!</v>
      </c>
      <c r="DM110" t="e">
        <f>AND('Planilla_General_07-12-2012_8_3'!D1649,"AAAAAHunp3Q=")</f>
        <v>#VALUE!</v>
      </c>
      <c r="DN110" t="e">
        <f>AND('Planilla_General_07-12-2012_8_3'!E1649,"AAAAAHunp3U=")</f>
        <v>#VALUE!</v>
      </c>
      <c r="DO110" t="e">
        <f>AND('Planilla_General_07-12-2012_8_3'!F1649,"AAAAAHunp3Y=")</f>
        <v>#VALUE!</v>
      </c>
      <c r="DP110" t="e">
        <f>AND('Planilla_General_07-12-2012_8_3'!G1649,"AAAAAHunp3c=")</f>
        <v>#VALUE!</v>
      </c>
      <c r="DQ110" t="e">
        <f>AND('Planilla_General_07-12-2012_8_3'!H1649,"AAAAAHunp3g=")</f>
        <v>#VALUE!</v>
      </c>
      <c r="DR110" t="e">
        <f>AND('Planilla_General_07-12-2012_8_3'!I1649,"AAAAAHunp3k=")</f>
        <v>#VALUE!</v>
      </c>
      <c r="DS110" t="e">
        <f>AND('Planilla_General_07-12-2012_8_3'!J1649,"AAAAAHunp3o=")</f>
        <v>#VALUE!</v>
      </c>
      <c r="DT110" t="e">
        <f>AND('Planilla_General_07-12-2012_8_3'!K1649,"AAAAAHunp3s=")</f>
        <v>#VALUE!</v>
      </c>
      <c r="DU110" t="e">
        <f>AND('Planilla_General_07-12-2012_8_3'!L1649,"AAAAAHunp3w=")</f>
        <v>#VALUE!</v>
      </c>
      <c r="DV110" t="e">
        <f>AND('Planilla_General_07-12-2012_8_3'!M1649,"AAAAAHunp30=")</f>
        <v>#VALUE!</v>
      </c>
      <c r="DW110" t="e">
        <f>AND('Planilla_General_07-12-2012_8_3'!N1649,"AAAAAHunp34=")</f>
        <v>#VALUE!</v>
      </c>
      <c r="DX110" t="e">
        <f>AND('Planilla_General_07-12-2012_8_3'!O1649,"AAAAAHunp38=")</f>
        <v>#VALUE!</v>
      </c>
      <c r="DY110" t="e">
        <f>AND('Planilla_General_07-12-2012_8_3'!P1649,"AAAAAHunp4A=")</f>
        <v>#VALUE!</v>
      </c>
      <c r="DZ110">
        <f>IF('Planilla_General_07-12-2012_8_3'!1650:1650,"AAAAAHunp4E=",0)</f>
        <v>0</v>
      </c>
      <c r="EA110" t="e">
        <f>AND('Planilla_General_07-12-2012_8_3'!A1650,"AAAAAHunp4I=")</f>
        <v>#VALUE!</v>
      </c>
      <c r="EB110" t="e">
        <f>AND('Planilla_General_07-12-2012_8_3'!B1650,"AAAAAHunp4M=")</f>
        <v>#VALUE!</v>
      </c>
      <c r="EC110" t="e">
        <f>AND('Planilla_General_07-12-2012_8_3'!C1650,"AAAAAHunp4Q=")</f>
        <v>#VALUE!</v>
      </c>
      <c r="ED110" t="e">
        <f>AND('Planilla_General_07-12-2012_8_3'!D1650,"AAAAAHunp4U=")</f>
        <v>#VALUE!</v>
      </c>
      <c r="EE110" t="e">
        <f>AND('Planilla_General_07-12-2012_8_3'!E1650,"AAAAAHunp4Y=")</f>
        <v>#VALUE!</v>
      </c>
      <c r="EF110" t="e">
        <f>AND('Planilla_General_07-12-2012_8_3'!F1650,"AAAAAHunp4c=")</f>
        <v>#VALUE!</v>
      </c>
      <c r="EG110" t="e">
        <f>AND('Planilla_General_07-12-2012_8_3'!G1650,"AAAAAHunp4g=")</f>
        <v>#VALUE!</v>
      </c>
      <c r="EH110" t="e">
        <f>AND('Planilla_General_07-12-2012_8_3'!H1650,"AAAAAHunp4k=")</f>
        <v>#VALUE!</v>
      </c>
      <c r="EI110" t="e">
        <f>AND('Planilla_General_07-12-2012_8_3'!I1650,"AAAAAHunp4o=")</f>
        <v>#VALUE!</v>
      </c>
      <c r="EJ110" t="e">
        <f>AND('Planilla_General_07-12-2012_8_3'!J1650,"AAAAAHunp4s=")</f>
        <v>#VALUE!</v>
      </c>
      <c r="EK110" t="e">
        <f>AND('Planilla_General_07-12-2012_8_3'!K1650,"AAAAAHunp4w=")</f>
        <v>#VALUE!</v>
      </c>
      <c r="EL110" t="e">
        <f>AND('Planilla_General_07-12-2012_8_3'!L1650,"AAAAAHunp40=")</f>
        <v>#VALUE!</v>
      </c>
      <c r="EM110" t="e">
        <f>AND('Planilla_General_07-12-2012_8_3'!M1650,"AAAAAHunp44=")</f>
        <v>#VALUE!</v>
      </c>
      <c r="EN110" t="e">
        <f>AND('Planilla_General_07-12-2012_8_3'!N1650,"AAAAAHunp48=")</f>
        <v>#VALUE!</v>
      </c>
      <c r="EO110" t="e">
        <f>AND('Planilla_General_07-12-2012_8_3'!O1650,"AAAAAHunp5A=")</f>
        <v>#VALUE!</v>
      </c>
      <c r="EP110" t="e">
        <f>AND('Planilla_General_07-12-2012_8_3'!P1650,"AAAAAHunp5E=")</f>
        <v>#VALUE!</v>
      </c>
      <c r="EQ110">
        <f>IF('Planilla_General_07-12-2012_8_3'!1651:1651,"AAAAAHunp5I=",0)</f>
        <v>0</v>
      </c>
      <c r="ER110" t="e">
        <f>AND('Planilla_General_07-12-2012_8_3'!A1651,"AAAAAHunp5M=")</f>
        <v>#VALUE!</v>
      </c>
      <c r="ES110" t="e">
        <f>AND('Planilla_General_07-12-2012_8_3'!B1651,"AAAAAHunp5Q=")</f>
        <v>#VALUE!</v>
      </c>
      <c r="ET110" t="e">
        <f>AND('Planilla_General_07-12-2012_8_3'!C1651,"AAAAAHunp5U=")</f>
        <v>#VALUE!</v>
      </c>
      <c r="EU110" t="e">
        <f>AND('Planilla_General_07-12-2012_8_3'!D1651,"AAAAAHunp5Y=")</f>
        <v>#VALUE!</v>
      </c>
      <c r="EV110" t="e">
        <f>AND('Planilla_General_07-12-2012_8_3'!E1651,"AAAAAHunp5c=")</f>
        <v>#VALUE!</v>
      </c>
      <c r="EW110" t="e">
        <f>AND('Planilla_General_07-12-2012_8_3'!F1651,"AAAAAHunp5g=")</f>
        <v>#VALUE!</v>
      </c>
      <c r="EX110" t="e">
        <f>AND('Planilla_General_07-12-2012_8_3'!G1651,"AAAAAHunp5k=")</f>
        <v>#VALUE!</v>
      </c>
      <c r="EY110" t="e">
        <f>AND('Planilla_General_07-12-2012_8_3'!H1651,"AAAAAHunp5o=")</f>
        <v>#VALUE!</v>
      </c>
      <c r="EZ110" t="e">
        <f>AND('Planilla_General_07-12-2012_8_3'!I1651,"AAAAAHunp5s=")</f>
        <v>#VALUE!</v>
      </c>
      <c r="FA110" t="e">
        <f>AND('Planilla_General_07-12-2012_8_3'!J1651,"AAAAAHunp5w=")</f>
        <v>#VALUE!</v>
      </c>
      <c r="FB110" t="e">
        <f>AND('Planilla_General_07-12-2012_8_3'!K1651,"AAAAAHunp50=")</f>
        <v>#VALUE!</v>
      </c>
      <c r="FC110" t="e">
        <f>AND('Planilla_General_07-12-2012_8_3'!L1651,"AAAAAHunp54=")</f>
        <v>#VALUE!</v>
      </c>
      <c r="FD110" t="e">
        <f>AND('Planilla_General_07-12-2012_8_3'!M1651,"AAAAAHunp58=")</f>
        <v>#VALUE!</v>
      </c>
      <c r="FE110" t="e">
        <f>AND('Planilla_General_07-12-2012_8_3'!N1651,"AAAAAHunp6A=")</f>
        <v>#VALUE!</v>
      </c>
      <c r="FF110" t="e">
        <f>AND('Planilla_General_07-12-2012_8_3'!O1651,"AAAAAHunp6E=")</f>
        <v>#VALUE!</v>
      </c>
      <c r="FG110" t="e">
        <f>AND('Planilla_General_07-12-2012_8_3'!P1651,"AAAAAHunp6I=")</f>
        <v>#VALUE!</v>
      </c>
      <c r="FH110">
        <f>IF('Planilla_General_07-12-2012_8_3'!1652:1652,"AAAAAHunp6M=",0)</f>
        <v>0</v>
      </c>
      <c r="FI110" t="e">
        <f>AND('Planilla_General_07-12-2012_8_3'!A1652,"AAAAAHunp6Q=")</f>
        <v>#VALUE!</v>
      </c>
      <c r="FJ110" t="e">
        <f>AND('Planilla_General_07-12-2012_8_3'!B1652,"AAAAAHunp6U=")</f>
        <v>#VALUE!</v>
      </c>
      <c r="FK110" t="e">
        <f>AND('Planilla_General_07-12-2012_8_3'!C1652,"AAAAAHunp6Y=")</f>
        <v>#VALUE!</v>
      </c>
      <c r="FL110" t="e">
        <f>AND('Planilla_General_07-12-2012_8_3'!D1652,"AAAAAHunp6c=")</f>
        <v>#VALUE!</v>
      </c>
      <c r="FM110" t="e">
        <f>AND('Planilla_General_07-12-2012_8_3'!E1652,"AAAAAHunp6g=")</f>
        <v>#VALUE!</v>
      </c>
      <c r="FN110" t="e">
        <f>AND('Planilla_General_07-12-2012_8_3'!F1652,"AAAAAHunp6k=")</f>
        <v>#VALUE!</v>
      </c>
      <c r="FO110" t="e">
        <f>AND('Planilla_General_07-12-2012_8_3'!G1652,"AAAAAHunp6o=")</f>
        <v>#VALUE!</v>
      </c>
      <c r="FP110" t="e">
        <f>AND('Planilla_General_07-12-2012_8_3'!H1652,"AAAAAHunp6s=")</f>
        <v>#VALUE!</v>
      </c>
      <c r="FQ110" t="e">
        <f>AND('Planilla_General_07-12-2012_8_3'!I1652,"AAAAAHunp6w=")</f>
        <v>#VALUE!</v>
      </c>
      <c r="FR110" t="e">
        <f>AND('Planilla_General_07-12-2012_8_3'!J1652,"AAAAAHunp60=")</f>
        <v>#VALUE!</v>
      </c>
      <c r="FS110" t="e">
        <f>AND('Planilla_General_07-12-2012_8_3'!K1652,"AAAAAHunp64=")</f>
        <v>#VALUE!</v>
      </c>
      <c r="FT110" t="e">
        <f>AND('Planilla_General_07-12-2012_8_3'!L1652,"AAAAAHunp68=")</f>
        <v>#VALUE!</v>
      </c>
      <c r="FU110" t="e">
        <f>AND('Planilla_General_07-12-2012_8_3'!M1652,"AAAAAHunp7A=")</f>
        <v>#VALUE!</v>
      </c>
      <c r="FV110" t="e">
        <f>AND('Planilla_General_07-12-2012_8_3'!N1652,"AAAAAHunp7E=")</f>
        <v>#VALUE!</v>
      </c>
      <c r="FW110" t="e">
        <f>AND('Planilla_General_07-12-2012_8_3'!O1652,"AAAAAHunp7I=")</f>
        <v>#VALUE!</v>
      </c>
      <c r="FX110" t="e">
        <f>AND('Planilla_General_07-12-2012_8_3'!P1652,"AAAAAHunp7M=")</f>
        <v>#VALUE!</v>
      </c>
      <c r="FY110">
        <f>IF('Planilla_General_07-12-2012_8_3'!1653:1653,"AAAAAHunp7Q=",0)</f>
        <v>0</v>
      </c>
      <c r="FZ110" t="e">
        <f>AND('Planilla_General_07-12-2012_8_3'!A1653,"AAAAAHunp7U=")</f>
        <v>#VALUE!</v>
      </c>
      <c r="GA110" t="e">
        <f>AND('Planilla_General_07-12-2012_8_3'!B1653,"AAAAAHunp7Y=")</f>
        <v>#VALUE!</v>
      </c>
      <c r="GB110" t="e">
        <f>AND('Planilla_General_07-12-2012_8_3'!C1653,"AAAAAHunp7c=")</f>
        <v>#VALUE!</v>
      </c>
      <c r="GC110" t="e">
        <f>AND('Planilla_General_07-12-2012_8_3'!D1653,"AAAAAHunp7g=")</f>
        <v>#VALUE!</v>
      </c>
      <c r="GD110" t="e">
        <f>AND('Planilla_General_07-12-2012_8_3'!E1653,"AAAAAHunp7k=")</f>
        <v>#VALUE!</v>
      </c>
      <c r="GE110" t="e">
        <f>AND('Planilla_General_07-12-2012_8_3'!F1653,"AAAAAHunp7o=")</f>
        <v>#VALUE!</v>
      </c>
      <c r="GF110" t="e">
        <f>AND('Planilla_General_07-12-2012_8_3'!G1653,"AAAAAHunp7s=")</f>
        <v>#VALUE!</v>
      </c>
      <c r="GG110" t="e">
        <f>AND('Planilla_General_07-12-2012_8_3'!H1653,"AAAAAHunp7w=")</f>
        <v>#VALUE!</v>
      </c>
      <c r="GH110" t="e">
        <f>AND('Planilla_General_07-12-2012_8_3'!I1653,"AAAAAHunp70=")</f>
        <v>#VALUE!</v>
      </c>
      <c r="GI110" t="e">
        <f>AND('Planilla_General_07-12-2012_8_3'!J1653,"AAAAAHunp74=")</f>
        <v>#VALUE!</v>
      </c>
      <c r="GJ110" t="e">
        <f>AND('Planilla_General_07-12-2012_8_3'!K1653,"AAAAAHunp78=")</f>
        <v>#VALUE!</v>
      </c>
      <c r="GK110" t="e">
        <f>AND('Planilla_General_07-12-2012_8_3'!L1653,"AAAAAHunp8A=")</f>
        <v>#VALUE!</v>
      </c>
      <c r="GL110" t="e">
        <f>AND('Planilla_General_07-12-2012_8_3'!M1653,"AAAAAHunp8E=")</f>
        <v>#VALUE!</v>
      </c>
      <c r="GM110" t="e">
        <f>AND('Planilla_General_07-12-2012_8_3'!N1653,"AAAAAHunp8I=")</f>
        <v>#VALUE!</v>
      </c>
      <c r="GN110" t="e">
        <f>AND('Planilla_General_07-12-2012_8_3'!O1653,"AAAAAHunp8M=")</f>
        <v>#VALUE!</v>
      </c>
      <c r="GO110" t="e">
        <f>AND('Planilla_General_07-12-2012_8_3'!P1653,"AAAAAHunp8Q=")</f>
        <v>#VALUE!</v>
      </c>
      <c r="GP110">
        <f>IF('Planilla_General_07-12-2012_8_3'!1654:1654,"AAAAAHunp8U=",0)</f>
        <v>0</v>
      </c>
      <c r="GQ110" t="e">
        <f>AND('Planilla_General_07-12-2012_8_3'!A1654,"AAAAAHunp8Y=")</f>
        <v>#VALUE!</v>
      </c>
      <c r="GR110" t="e">
        <f>AND('Planilla_General_07-12-2012_8_3'!B1654,"AAAAAHunp8c=")</f>
        <v>#VALUE!</v>
      </c>
      <c r="GS110" t="e">
        <f>AND('Planilla_General_07-12-2012_8_3'!C1654,"AAAAAHunp8g=")</f>
        <v>#VALUE!</v>
      </c>
      <c r="GT110" t="e">
        <f>AND('Planilla_General_07-12-2012_8_3'!D1654,"AAAAAHunp8k=")</f>
        <v>#VALUE!</v>
      </c>
      <c r="GU110" t="e">
        <f>AND('Planilla_General_07-12-2012_8_3'!E1654,"AAAAAHunp8o=")</f>
        <v>#VALUE!</v>
      </c>
      <c r="GV110" t="e">
        <f>AND('Planilla_General_07-12-2012_8_3'!F1654,"AAAAAHunp8s=")</f>
        <v>#VALUE!</v>
      </c>
      <c r="GW110" t="e">
        <f>AND('Planilla_General_07-12-2012_8_3'!G1654,"AAAAAHunp8w=")</f>
        <v>#VALUE!</v>
      </c>
      <c r="GX110" t="e">
        <f>AND('Planilla_General_07-12-2012_8_3'!H1654,"AAAAAHunp80=")</f>
        <v>#VALUE!</v>
      </c>
      <c r="GY110" t="e">
        <f>AND('Planilla_General_07-12-2012_8_3'!I1654,"AAAAAHunp84=")</f>
        <v>#VALUE!</v>
      </c>
      <c r="GZ110" t="e">
        <f>AND('Planilla_General_07-12-2012_8_3'!J1654,"AAAAAHunp88=")</f>
        <v>#VALUE!</v>
      </c>
      <c r="HA110" t="e">
        <f>AND('Planilla_General_07-12-2012_8_3'!K1654,"AAAAAHunp9A=")</f>
        <v>#VALUE!</v>
      </c>
      <c r="HB110" t="e">
        <f>AND('Planilla_General_07-12-2012_8_3'!L1654,"AAAAAHunp9E=")</f>
        <v>#VALUE!</v>
      </c>
      <c r="HC110" t="e">
        <f>AND('Planilla_General_07-12-2012_8_3'!M1654,"AAAAAHunp9I=")</f>
        <v>#VALUE!</v>
      </c>
      <c r="HD110" t="e">
        <f>AND('Planilla_General_07-12-2012_8_3'!N1654,"AAAAAHunp9M=")</f>
        <v>#VALUE!</v>
      </c>
      <c r="HE110" t="e">
        <f>AND('Planilla_General_07-12-2012_8_3'!O1654,"AAAAAHunp9Q=")</f>
        <v>#VALUE!</v>
      </c>
      <c r="HF110" t="e">
        <f>AND('Planilla_General_07-12-2012_8_3'!P1654,"AAAAAHunp9U=")</f>
        <v>#VALUE!</v>
      </c>
      <c r="HG110">
        <f>IF('Planilla_General_07-12-2012_8_3'!1655:1655,"AAAAAHunp9Y=",0)</f>
        <v>0</v>
      </c>
      <c r="HH110" t="e">
        <f>AND('Planilla_General_07-12-2012_8_3'!A1655,"AAAAAHunp9c=")</f>
        <v>#VALUE!</v>
      </c>
      <c r="HI110" t="e">
        <f>AND('Planilla_General_07-12-2012_8_3'!B1655,"AAAAAHunp9g=")</f>
        <v>#VALUE!</v>
      </c>
      <c r="HJ110" t="e">
        <f>AND('Planilla_General_07-12-2012_8_3'!C1655,"AAAAAHunp9k=")</f>
        <v>#VALUE!</v>
      </c>
      <c r="HK110" t="e">
        <f>AND('Planilla_General_07-12-2012_8_3'!D1655,"AAAAAHunp9o=")</f>
        <v>#VALUE!</v>
      </c>
      <c r="HL110" t="e">
        <f>AND('Planilla_General_07-12-2012_8_3'!E1655,"AAAAAHunp9s=")</f>
        <v>#VALUE!</v>
      </c>
      <c r="HM110" t="e">
        <f>AND('Planilla_General_07-12-2012_8_3'!F1655,"AAAAAHunp9w=")</f>
        <v>#VALUE!</v>
      </c>
      <c r="HN110" t="e">
        <f>AND('Planilla_General_07-12-2012_8_3'!G1655,"AAAAAHunp90=")</f>
        <v>#VALUE!</v>
      </c>
      <c r="HO110" t="e">
        <f>AND('Planilla_General_07-12-2012_8_3'!H1655,"AAAAAHunp94=")</f>
        <v>#VALUE!</v>
      </c>
      <c r="HP110" t="e">
        <f>AND('Planilla_General_07-12-2012_8_3'!I1655,"AAAAAHunp98=")</f>
        <v>#VALUE!</v>
      </c>
      <c r="HQ110" t="e">
        <f>AND('Planilla_General_07-12-2012_8_3'!J1655,"AAAAAHunp+A=")</f>
        <v>#VALUE!</v>
      </c>
      <c r="HR110" t="e">
        <f>AND('Planilla_General_07-12-2012_8_3'!K1655,"AAAAAHunp+E=")</f>
        <v>#VALUE!</v>
      </c>
      <c r="HS110" t="e">
        <f>AND('Planilla_General_07-12-2012_8_3'!L1655,"AAAAAHunp+I=")</f>
        <v>#VALUE!</v>
      </c>
      <c r="HT110" t="e">
        <f>AND('Planilla_General_07-12-2012_8_3'!M1655,"AAAAAHunp+M=")</f>
        <v>#VALUE!</v>
      </c>
      <c r="HU110" t="e">
        <f>AND('Planilla_General_07-12-2012_8_3'!N1655,"AAAAAHunp+Q=")</f>
        <v>#VALUE!</v>
      </c>
      <c r="HV110" t="e">
        <f>AND('Planilla_General_07-12-2012_8_3'!O1655,"AAAAAHunp+U=")</f>
        <v>#VALUE!</v>
      </c>
      <c r="HW110" t="e">
        <f>AND('Planilla_General_07-12-2012_8_3'!P1655,"AAAAAHunp+Y=")</f>
        <v>#VALUE!</v>
      </c>
      <c r="HX110">
        <f>IF('Planilla_General_07-12-2012_8_3'!1656:1656,"AAAAAHunp+c=",0)</f>
        <v>0</v>
      </c>
      <c r="HY110" t="e">
        <f>AND('Planilla_General_07-12-2012_8_3'!A1656,"AAAAAHunp+g=")</f>
        <v>#VALUE!</v>
      </c>
      <c r="HZ110" t="e">
        <f>AND('Planilla_General_07-12-2012_8_3'!B1656,"AAAAAHunp+k=")</f>
        <v>#VALUE!</v>
      </c>
      <c r="IA110" t="e">
        <f>AND('Planilla_General_07-12-2012_8_3'!C1656,"AAAAAHunp+o=")</f>
        <v>#VALUE!</v>
      </c>
      <c r="IB110" t="e">
        <f>AND('Planilla_General_07-12-2012_8_3'!D1656,"AAAAAHunp+s=")</f>
        <v>#VALUE!</v>
      </c>
      <c r="IC110" t="e">
        <f>AND('Planilla_General_07-12-2012_8_3'!E1656,"AAAAAHunp+w=")</f>
        <v>#VALUE!</v>
      </c>
      <c r="ID110" t="e">
        <f>AND('Planilla_General_07-12-2012_8_3'!F1656,"AAAAAHunp+0=")</f>
        <v>#VALUE!</v>
      </c>
      <c r="IE110" t="e">
        <f>AND('Planilla_General_07-12-2012_8_3'!G1656,"AAAAAHunp+4=")</f>
        <v>#VALUE!</v>
      </c>
      <c r="IF110" t="e">
        <f>AND('Planilla_General_07-12-2012_8_3'!H1656,"AAAAAHunp+8=")</f>
        <v>#VALUE!</v>
      </c>
      <c r="IG110" t="e">
        <f>AND('Planilla_General_07-12-2012_8_3'!I1656,"AAAAAHunp/A=")</f>
        <v>#VALUE!</v>
      </c>
      <c r="IH110" t="e">
        <f>AND('Planilla_General_07-12-2012_8_3'!J1656,"AAAAAHunp/E=")</f>
        <v>#VALUE!</v>
      </c>
      <c r="II110" t="e">
        <f>AND('Planilla_General_07-12-2012_8_3'!K1656,"AAAAAHunp/I=")</f>
        <v>#VALUE!</v>
      </c>
      <c r="IJ110" t="e">
        <f>AND('Planilla_General_07-12-2012_8_3'!L1656,"AAAAAHunp/M=")</f>
        <v>#VALUE!</v>
      </c>
      <c r="IK110" t="e">
        <f>AND('Planilla_General_07-12-2012_8_3'!M1656,"AAAAAHunp/Q=")</f>
        <v>#VALUE!</v>
      </c>
      <c r="IL110" t="e">
        <f>AND('Planilla_General_07-12-2012_8_3'!N1656,"AAAAAHunp/U=")</f>
        <v>#VALUE!</v>
      </c>
      <c r="IM110" t="e">
        <f>AND('Planilla_General_07-12-2012_8_3'!O1656,"AAAAAHunp/Y=")</f>
        <v>#VALUE!</v>
      </c>
      <c r="IN110" t="e">
        <f>AND('Planilla_General_07-12-2012_8_3'!P1656,"AAAAAHunp/c=")</f>
        <v>#VALUE!</v>
      </c>
      <c r="IO110">
        <f>IF('Planilla_General_07-12-2012_8_3'!1657:1657,"AAAAAHunp/g=",0)</f>
        <v>0</v>
      </c>
      <c r="IP110" t="e">
        <f>AND('Planilla_General_07-12-2012_8_3'!A1657,"AAAAAHunp/k=")</f>
        <v>#VALUE!</v>
      </c>
      <c r="IQ110" t="e">
        <f>AND('Planilla_General_07-12-2012_8_3'!B1657,"AAAAAHunp/o=")</f>
        <v>#VALUE!</v>
      </c>
      <c r="IR110" t="e">
        <f>AND('Planilla_General_07-12-2012_8_3'!C1657,"AAAAAHunp/s=")</f>
        <v>#VALUE!</v>
      </c>
      <c r="IS110" t="e">
        <f>AND('Planilla_General_07-12-2012_8_3'!D1657,"AAAAAHunp/w=")</f>
        <v>#VALUE!</v>
      </c>
      <c r="IT110" t="e">
        <f>AND('Planilla_General_07-12-2012_8_3'!E1657,"AAAAAHunp/0=")</f>
        <v>#VALUE!</v>
      </c>
      <c r="IU110" t="e">
        <f>AND('Planilla_General_07-12-2012_8_3'!F1657,"AAAAAHunp/4=")</f>
        <v>#VALUE!</v>
      </c>
      <c r="IV110" t="e">
        <f>AND('Planilla_General_07-12-2012_8_3'!G1657,"AAAAAHunp/8=")</f>
        <v>#VALUE!</v>
      </c>
    </row>
    <row r="111" spans="1:256" x14ac:dyDescent="0.25">
      <c r="A111" t="e">
        <f>AND('Planilla_General_07-12-2012_8_3'!H1657,"AAAAAH9f/gA=")</f>
        <v>#VALUE!</v>
      </c>
      <c r="B111" t="e">
        <f>AND('Planilla_General_07-12-2012_8_3'!I1657,"AAAAAH9f/gE=")</f>
        <v>#VALUE!</v>
      </c>
      <c r="C111" t="e">
        <f>AND('Planilla_General_07-12-2012_8_3'!J1657,"AAAAAH9f/gI=")</f>
        <v>#VALUE!</v>
      </c>
      <c r="D111" t="e">
        <f>AND('Planilla_General_07-12-2012_8_3'!K1657,"AAAAAH9f/gM=")</f>
        <v>#VALUE!</v>
      </c>
      <c r="E111" t="e">
        <f>AND('Planilla_General_07-12-2012_8_3'!L1657,"AAAAAH9f/gQ=")</f>
        <v>#VALUE!</v>
      </c>
      <c r="F111" t="e">
        <f>AND('Planilla_General_07-12-2012_8_3'!M1657,"AAAAAH9f/gU=")</f>
        <v>#VALUE!</v>
      </c>
      <c r="G111" t="e">
        <f>AND('Planilla_General_07-12-2012_8_3'!N1657,"AAAAAH9f/gY=")</f>
        <v>#VALUE!</v>
      </c>
      <c r="H111" t="e">
        <f>AND('Planilla_General_07-12-2012_8_3'!O1657,"AAAAAH9f/gc=")</f>
        <v>#VALUE!</v>
      </c>
      <c r="I111" t="e">
        <f>AND('Planilla_General_07-12-2012_8_3'!P1657,"AAAAAH9f/gg=")</f>
        <v>#VALUE!</v>
      </c>
      <c r="J111" t="e">
        <f>IF('Planilla_General_07-12-2012_8_3'!1658:1658,"AAAAAH9f/gk=",0)</f>
        <v>#VALUE!</v>
      </c>
      <c r="K111" t="e">
        <f>AND('Planilla_General_07-12-2012_8_3'!A1658,"AAAAAH9f/go=")</f>
        <v>#VALUE!</v>
      </c>
      <c r="L111" t="e">
        <f>AND('Planilla_General_07-12-2012_8_3'!B1658,"AAAAAH9f/gs=")</f>
        <v>#VALUE!</v>
      </c>
      <c r="M111" t="e">
        <f>AND('Planilla_General_07-12-2012_8_3'!C1658,"AAAAAH9f/gw=")</f>
        <v>#VALUE!</v>
      </c>
      <c r="N111" t="e">
        <f>AND('Planilla_General_07-12-2012_8_3'!D1658,"AAAAAH9f/g0=")</f>
        <v>#VALUE!</v>
      </c>
      <c r="O111" t="e">
        <f>AND('Planilla_General_07-12-2012_8_3'!E1658,"AAAAAH9f/g4=")</f>
        <v>#VALUE!</v>
      </c>
      <c r="P111" t="e">
        <f>AND('Planilla_General_07-12-2012_8_3'!F1658,"AAAAAH9f/g8=")</f>
        <v>#VALUE!</v>
      </c>
      <c r="Q111" t="e">
        <f>AND('Planilla_General_07-12-2012_8_3'!G1658,"AAAAAH9f/hA=")</f>
        <v>#VALUE!</v>
      </c>
      <c r="R111" t="e">
        <f>AND('Planilla_General_07-12-2012_8_3'!H1658,"AAAAAH9f/hE=")</f>
        <v>#VALUE!</v>
      </c>
      <c r="S111" t="e">
        <f>AND('Planilla_General_07-12-2012_8_3'!I1658,"AAAAAH9f/hI=")</f>
        <v>#VALUE!</v>
      </c>
      <c r="T111" t="e">
        <f>AND('Planilla_General_07-12-2012_8_3'!J1658,"AAAAAH9f/hM=")</f>
        <v>#VALUE!</v>
      </c>
      <c r="U111" t="e">
        <f>AND('Planilla_General_07-12-2012_8_3'!K1658,"AAAAAH9f/hQ=")</f>
        <v>#VALUE!</v>
      </c>
      <c r="V111" t="e">
        <f>AND('Planilla_General_07-12-2012_8_3'!L1658,"AAAAAH9f/hU=")</f>
        <v>#VALUE!</v>
      </c>
      <c r="W111" t="e">
        <f>AND('Planilla_General_07-12-2012_8_3'!M1658,"AAAAAH9f/hY=")</f>
        <v>#VALUE!</v>
      </c>
      <c r="X111" t="e">
        <f>AND('Planilla_General_07-12-2012_8_3'!N1658,"AAAAAH9f/hc=")</f>
        <v>#VALUE!</v>
      </c>
      <c r="Y111" t="e">
        <f>AND('Planilla_General_07-12-2012_8_3'!O1658,"AAAAAH9f/hg=")</f>
        <v>#VALUE!</v>
      </c>
      <c r="Z111" t="e">
        <f>AND('Planilla_General_07-12-2012_8_3'!P1658,"AAAAAH9f/hk=")</f>
        <v>#VALUE!</v>
      </c>
      <c r="AA111">
        <f>IF('Planilla_General_07-12-2012_8_3'!1659:1659,"AAAAAH9f/ho=",0)</f>
        <v>0</v>
      </c>
      <c r="AB111" t="e">
        <f>AND('Planilla_General_07-12-2012_8_3'!A1659,"AAAAAH9f/hs=")</f>
        <v>#VALUE!</v>
      </c>
      <c r="AC111" t="e">
        <f>AND('Planilla_General_07-12-2012_8_3'!B1659,"AAAAAH9f/hw=")</f>
        <v>#VALUE!</v>
      </c>
      <c r="AD111" t="e">
        <f>AND('Planilla_General_07-12-2012_8_3'!C1659,"AAAAAH9f/h0=")</f>
        <v>#VALUE!</v>
      </c>
      <c r="AE111" t="e">
        <f>AND('Planilla_General_07-12-2012_8_3'!D1659,"AAAAAH9f/h4=")</f>
        <v>#VALUE!</v>
      </c>
      <c r="AF111" t="e">
        <f>AND('Planilla_General_07-12-2012_8_3'!E1659,"AAAAAH9f/h8=")</f>
        <v>#VALUE!</v>
      </c>
      <c r="AG111" t="e">
        <f>AND('Planilla_General_07-12-2012_8_3'!F1659,"AAAAAH9f/iA=")</f>
        <v>#VALUE!</v>
      </c>
      <c r="AH111" t="e">
        <f>AND('Planilla_General_07-12-2012_8_3'!G1659,"AAAAAH9f/iE=")</f>
        <v>#VALUE!</v>
      </c>
      <c r="AI111" t="e">
        <f>AND('Planilla_General_07-12-2012_8_3'!H1659,"AAAAAH9f/iI=")</f>
        <v>#VALUE!</v>
      </c>
      <c r="AJ111" t="e">
        <f>AND('Planilla_General_07-12-2012_8_3'!I1659,"AAAAAH9f/iM=")</f>
        <v>#VALUE!</v>
      </c>
      <c r="AK111" t="e">
        <f>AND('Planilla_General_07-12-2012_8_3'!J1659,"AAAAAH9f/iQ=")</f>
        <v>#VALUE!</v>
      </c>
      <c r="AL111" t="e">
        <f>AND('Planilla_General_07-12-2012_8_3'!K1659,"AAAAAH9f/iU=")</f>
        <v>#VALUE!</v>
      </c>
      <c r="AM111" t="e">
        <f>AND('Planilla_General_07-12-2012_8_3'!L1659,"AAAAAH9f/iY=")</f>
        <v>#VALUE!</v>
      </c>
      <c r="AN111" t="e">
        <f>AND('Planilla_General_07-12-2012_8_3'!M1659,"AAAAAH9f/ic=")</f>
        <v>#VALUE!</v>
      </c>
      <c r="AO111" t="e">
        <f>AND('Planilla_General_07-12-2012_8_3'!N1659,"AAAAAH9f/ig=")</f>
        <v>#VALUE!</v>
      </c>
      <c r="AP111" t="e">
        <f>AND('Planilla_General_07-12-2012_8_3'!O1659,"AAAAAH9f/ik=")</f>
        <v>#VALUE!</v>
      </c>
      <c r="AQ111" t="e">
        <f>AND('Planilla_General_07-12-2012_8_3'!P1659,"AAAAAH9f/io=")</f>
        <v>#VALUE!</v>
      </c>
      <c r="AR111">
        <f>IF('Planilla_General_07-12-2012_8_3'!1660:1660,"AAAAAH9f/is=",0)</f>
        <v>0</v>
      </c>
      <c r="AS111" t="e">
        <f>AND('Planilla_General_07-12-2012_8_3'!A1660,"AAAAAH9f/iw=")</f>
        <v>#VALUE!</v>
      </c>
      <c r="AT111" t="e">
        <f>AND('Planilla_General_07-12-2012_8_3'!B1660,"AAAAAH9f/i0=")</f>
        <v>#VALUE!</v>
      </c>
      <c r="AU111" t="e">
        <f>AND('Planilla_General_07-12-2012_8_3'!C1660,"AAAAAH9f/i4=")</f>
        <v>#VALUE!</v>
      </c>
      <c r="AV111" t="e">
        <f>AND('Planilla_General_07-12-2012_8_3'!D1660,"AAAAAH9f/i8=")</f>
        <v>#VALUE!</v>
      </c>
      <c r="AW111" t="e">
        <f>AND('Planilla_General_07-12-2012_8_3'!E1660,"AAAAAH9f/jA=")</f>
        <v>#VALUE!</v>
      </c>
      <c r="AX111" t="e">
        <f>AND('Planilla_General_07-12-2012_8_3'!F1660,"AAAAAH9f/jE=")</f>
        <v>#VALUE!</v>
      </c>
      <c r="AY111" t="e">
        <f>AND('Planilla_General_07-12-2012_8_3'!G1660,"AAAAAH9f/jI=")</f>
        <v>#VALUE!</v>
      </c>
      <c r="AZ111" t="e">
        <f>AND('Planilla_General_07-12-2012_8_3'!H1660,"AAAAAH9f/jM=")</f>
        <v>#VALUE!</v>
      </c>
      <c r="BA111" t="e">
        <f>AND('Planilla_General_07-12-2012_8_3'!I1660,"AAAAAH9f/jQ=")</f>
        <v>#VALUE!</v>
      </c>
      <c r="BB111" t="e">
        <f>AND('Planilla_General_07-12-2012_8_3'!J1660,"AAAAAH9f/jU=")</f>
        <v>#VALUE!</v>
      </c>
      <c r="BC111" t="e">
        <f>AND('Planilla_General_07-12-2012_8_3'!K1660,"AAAAAH9f/jY=")</f>
        <v>#VALUE!</v>
      </c>
      <c r="BD111" t="e">
        <f>AND('Planilla_General_07-12-2012_8_3'!L1660,"AAAAAH9f/jc=")</f>
        <v>#VALUE!</v>
      </c>
      <c r="BE111" t="e">
        <f>AND('Planilla_General_07-12-2012_8_3'!M1660,"AAAAAH9f/jg=")</f>
        <v>#VALUE!</v>
      </c>
      <c r="BF111" t="e">
        <f>AND('Planilla_General_07-12-2012_8_3'!N1660,"AAAAAH9f/jk=")</f>
        <v>#VALUE!</v>
      </c>
      <c r="BG111" t="e">
        <f>AND('Planilla_General_07-12-2012_8_3'!O1660,"AAAAAH9f/jo=")</f>
        <v>#VALUE!</v>
      </c>
      <c r="BH111" t="e">
        <f>AND('Planilla_General_07-12-2012_8_3'!P1660,"AAAAAH9f/js=")</f>
        <v>#VALUE!</v>
      </c>
      <c r="BI111">
        <f>IF('Planilla_General_07-12-2012_8_3'!1661:1661,"AAAAAH9f/jw=",0)</f>
        <v>0</v>
      </c>
      <c r="BJ111" t="e">
        <f>AND('Planilla_General_07-12-2012_8_3'!A1661,"AAAAAH9f/j0=")</f>
        <v>#VALUE!</v>
      </c>
      <c r="BK111" t="e">
        <f>AND('Planilla_General_07-12-2012_8_3'!B1661,"AAAAAH9f/j4=")</f>
        <v>#VALUE!</v>
      </c>
      <c r="BL111" t="e">
        <f>AND('Planilla_General_07-12-2012_8_3'!C1661,"AAAAAH9f/j8=")</f>
        <v>#VALUE!</v>
      </c>
      <c r="BM111" t="e">
        <f>AND('Planilla_General_07-12-2012_8_3'!D1661,"AAAAAH9f/kA=")</f>
        <v>#VALUE!</v>
      </c>
      <c r="BN111" t="e">
        <f>AND('Planilla_General_07-12-2012_8_3'!E1661,"AAAAAH9f/kE=")</f>
        <v>#VALUE!</v>
      </c>
      <c r="BO111" t="e">
        <f>AND('Planilla_General_07-12-2012_8_3'!F1661,"AAAAAH9f/kI=")</f>
        <v>#VALUE!</v>
      </c>
      <c r="BP111" t="e">
        <f>AND('Planilla_General_07-12-2012_8_3'!G1661,"AAAAAH9f/kM=")</f>
        <v>#VALUE!</v>
      </c>
      <c r="BQ111" t="e">
        <f>AND('Planilla_General_07-12-2012_8_3'!H1661,"AAAAAH9f/kQ=")</f>
        <v>#VALUE!</v>
      </c>
      <c r="BR111" t="e">
        <f>AND('Planilla_General_07-12-2012_8_3'!I1661,"AAAAAH9f/kU=")</f>
        <v>#VALUE!</v>
      </c>
      <c r="BS111" t="e">
        <f>AND('Planilla_General_07-12-2012_8_3'!J1661,"AAAAAH9f/kY=")</f>
        <v>#VALUE!</v>
      </c>
      <c r="BT111" t="e">
        <f>AND('Planilla_General_07-12-2012_8_3'!K1661,"AAAAAH9f/kc=")</f>
        <v>#VALUE!</v>
      </c>
      <c r="BU111" t="e">
        <f>AND('Planilla_General_07-12-2012_8_3'!L1661,"AAAAAH9f/kg=")</f>
        <v>#VALUE!</v>
      </c>
      <c r="BV111" t="e">
        <f>AND('Planilla_General_07-12-2012_8_3'!M1661,"AAAAAH9f/kk=")</f>
        <v>#VALUE!</v>
      </c>
      <c r="BW111" t="e">
        <f>AND('Planilla_General_07-12-2012_8_3'!N1661,"AAAAAH9f/ko=")</f>
        <v>#VALUE!</v>
      </c>
      <c r="BX111" t="e">
        <f>AND('Planilla_General_07-12-2012_8_3'!O1661,"AAAAAH9f/ks=")</f>
        <v>#VALUE!</v>
      </c>
      <c r="BY111" t="e">
        <f>AND('Planilla_General_07-12-2012_8_3'!P1661,"AAAAAH9f/kw=")</f>
        <v>#VALUE!</v>
      </c>
      <c r="BZ111">
        <f>IF('Planilla_General_07-12-2012_8_3'!1662:1662,"AAAAAH9f/k0=",0)</f>
        <v>0</v>
      </c>
      <c r="CA111" t="e">
        <f>AND('Planilla_General_07-12-2012_8_3'!A1662,"AAAAAH9f/k4=")</f>
        <v>#VALUE!</v>
      </c>
      <c r="CB111" t="e">
        <f>AND('Planilla_General_07-12-2012_8_3'!B1662,"AAAAAH9f/k8=")</f>
        <v>#VALUE!</v>
      </c>
      <c r="CC111" t="e">
        <f>AND('Planilla_General_07-12-2012_8_3'!C1662,"AAAAAH9f/lA=")</f>
        <v>#VALUE!</v>
      </c>
      <c r="CD111" t="e">
        <f>AND('Planilla_General_07-12-2012_8_3'!D1662,"AAAAAH9f/lE=")</f>
        <v>#VALUE!</v>
      </c>
      <c r="CE111" t="e">
        <f>AND('Planilla_General_07-12-2012_8_3'!E1662,"AAAAAH9f/lI=")</f>
        <v>#VALUE!</v>
      </c>
      <c r="CF111" t="e">
        <f>AND('Planilla_General_07-12-2012_8_3'!F1662,"AAAAAH9f/lM=")</f>
        <v>#VALUE!</v>
      </c>
      <c r="CG111" t="e">
        <f>AND('Planilla_General_07-12-2012_8_3'!G1662,"AAAAAH9f/lQ=")</f>
        <v>#VALUE!</v>
      </c>
      <c r="CH111" t="e">
        <f>AND('Planilla_General_07-12-2012_8_3'!H1662,"AAAAAH9f/lU=")</f>
        <v>#VALUE!</v>
      </c>
      <c r="CI111" t="e">
        <f>AND('Planilla_General_07-12-2012_8_3'!I1662,"AAAAAH9f/lY=")</f>
        <v>#VALUE!</v>
      </c>
      <c r="CJ111" t="e">
        <f>AND('Planilla_General_07-12-2012_8_3'!J1662,"AAAAAH9f/lc=")</f>
        <v>#VALUE!</v>
      </c>
      <c r="CK111" t="e">
        <f>AND('Planilla_General_07-12-2012_8_3'!K1662,"AAAAAH9f/lg=")</f>
        <v>#VALUE!</v>
      </c>
      <c r="CL111" t="e">
        <f>AND('Planilla_General_07-12-2012_8_3'!L1662,"AAAAAH9f/lk=")</f>
        <v>#VALUE!</v>
      </c>
      <c r="CM111" t="e">
        <f>AND('Planilla_General_07-12-2012_8_3'!M1662,"AAAAAH9f/lo=")</f>
        <v>#VALUE!</v>
      </c>
      <c r="CN111" t="e">
        <f>AND('Planilla_General_07-12-2012_8_3'!N1662,"AAAAAH9f/ls=")</f>
        <v>#VALUE!</v>
      </c>
      <c r="CO111" t="e">
        <f>AND('Planilla_General_07-12-2012_8_3'!O1662,"AAAAAH9f/lw=")</f>
        <v>#VALUE!</v>
      </c>
      <c r="CP111" t="e">
        <f>AND('Planilla_General_07-12-2012_8_3'!P1662,"AAAAAH9f/l0=")</f>
        <v>#VALUE!</v>
      </c>
      <c r="CQ111">
        <f>IF('Planilla_General_07-12-2012_8_3'!1663:1663,"AAAAAH9f/l4=",0)</f>
        <v>0</v>
      </c>
      <c r="CR111" t="e">
        <f>AND('Planilla_General_07-12-2012_8_3'!A1663,"AAAAAH9f/l8=")</f>
        <v>#VALUE!</v>
      </c>
      <c r="CS111" t="e">
        <f>AND('Planilla_General_07-12-2012_8_3'!B1663,"AAAAAH9f/mA=")</f>
        <v>#VALUE!</v>
      </c>
      <c r="CT111" t="e">
        <f>AND('Planilla_General_07-12-2012_8_3'!C1663,"AAAAAH9f/mE=")</f>
        <v>#VALUE!</v>
      </c>
      <c r="CU111" t="e">
        <f>AND('Planilla_General_07-12-2012_8_3'!D1663,"AAAAAH9f/mI=")</f>
        <v>#VALUE!</v>
      </c>
      <c r="CV111" t="e">
        <f>AND('Planilla_General_07-12-2012_8_3'!E1663,"AAAAAH9f/mM=")</f>
        <v>#VALUE!</v>
      </c>
      <c r="CW111" t="e">
        <f>AND('Planilla_General_07-12-2012_8_3'!F1663,"AAAAAH9f/mQ=")</f>
        <v>#VALUE!</v>
      </c>
      <c r="CX111" t="e">
        <f>AND('Planilla_General_07-12-2012_8_3'!G1663,"AAAAAH9f/mU=")</f>
        <v>#VALUE!</v>
      </c>
      <c r="CY111" t="e">
        <f>AND('Planilla_General_07-12-2012_8_3'!H1663,"AAAAAH9f/mY=")</f>
        <v>#VALUE!</v>
      </c>
      <c r="CZ111" t="e">
        <f>AND('Planilla_General_07-12-2012_8_3'!I1663,"AAAAAH9f/mc=")</f>
        <v>#VALUE!</v>
      </c>
      <c r="DA111" t="e">
        <f>AND('Planilla_General_07-12-2012_8_3'!J1663,"AAAAAH9f/mg=")</f>
        <v>#VALUE!</v>
      </c>
      <c r="DB111" t="e">
        <f>AND('Planilla_General_07-12-2012_8_3'!K1663,"AAAAAH9f/mk=")</f>
        <v>#VALUE!</v>
      </c>
      <c r="DC111" t="e">
        <f>AND('Planilla_General_07-12-2012_8_3'!L1663,"AAAAAH9f/mo=")</f>
        <v>#VALUE!</v>
      </c>
      <c r="DD111" t="e">
        <f>AND('Planilla_General_07-12-2012_8_3'!M1663,"AAAAAH9f/ms=")</f>
        <v>#VALUE!</v>
      </c>
      <c r="DE111" t="e">
        <f>AND('Planilla_General_07-12-2012_8_3'!N1663,"AAAAAH9f/mw=")</f>
        <v>#VALUE!</v>
      </c>
      <c r="DF111" t="e">
        <f>AND('Planilla_General_07-12-2012_8_3'!O1663,"AAAAAH9f/m0=")</f>
        <v>#VALUE!</v>
      </c>
      <c r="DG111" t="e">
        <f>AND('Planilla_General_07-12-2012_8_3'!P1663,"AAAAAH9f/m4=")</f>
        <v>#VALUE!</v>
      </c>
      <c r="DH111">
        <f>IF('Planilla_General_07-12-2012_8_3'!1664:1664,"AAAAAH9f/m8=",0)</f>
        <v>0</v>
      </c>
      <c r="DI111" t="e">
        <f>AND('Planilla_General_07-12-2012_8_3'!A1664,"AAAAAH9f/nA=")</f>
        <v>#VALUE!</v>
      </c>
      <c r="DJ111" t="e">
        <f>AND('Planilla_General_07-12-2012_8_3'!B1664,"AAAAAH9f/nE=")</f>
        <v>#VALUE!</v>
      </c>
      <c r="DK111" t="e">
        <f>AND('Planilla_General_07-12-2012_8_3'!C1664,"AAAAAH9f/nI=")</f>
        <v>#VALUE!</v>
      </c>
      <c r="DL111" t="e">
        <f>AND('Planilla_General_07-12-2012_8_3'!D1664,"AAAAAH9f/nM=")</f>
        <v>#VALUE!</v>
      </c>
      <c r="DM111" t="e">
        <f>AND('Planilla_General_07-12-2012_8_3'!E1664,"AAAAAH9f/nQ=")</f>
        <v>#VALUE!</v>
      </c>
      <c r="DN111" t="e">
        <f>AND('Planilla_General_07-12-2012_8_3'!F1664,"AAAAAH9f/nU=")</f>
        <v>#VALUE!</v>
      </c>
      <c r="DO111" t="e">
        <f>AND('Planilla_General_07-12-2012_8_3'!G1664,"AAAAAH9f/nY=")</f>
        <v>#VALUE!</v>
      </c>
      <c r="DP111" t="e">
        <f>AND('Planilla_General_07-12-2012_8_3'!H1664,"AAAAAH9f/nc=")</f>
        <v>#VALUE!</v>
      </c>
      <c r="DQ111" t="e">
        <f>AND('Planilla_General_07-12-2012_8_3'!I1664,"AAAAAH9f/ng=")</f>
        <v>#VALUE!</v>
      </c>
      <c r="DR111" t="e">
        <f>AND('Planilla_General_07-12-2012_8_3'!J1664,"AAAAAH9f/nk=")</f>
        <v>#VALUE!</v>
      </c>
      <c r="DS111" t="e">
        <f>AND('Planilla_General_07-12-2012_8_3'!K1664,"AAAAAH9f/no=")</f>
        <v>#VALUE!</v>
      </c>
      <c r="DT111" t="e">
        <f>AND('Planilla_General_07-12-2012_8_3'!L1664,"AAAAAH9f/ns=")</f>
        <v>#VALUE!</v>
      </c>
      <c r="DU111" t="e">
        <f>AND('Planilla_General_07-12-2012_8_3'!M1664,"AAAAAH9f/nw=")</f>
        <v>#VALUE!</v>
      </c>
      <c r="DV111" t="e">
        <f>AND('Planilla_General_07-12-2012_8_3'!N1664,"AAAAAH9f/n0=")</f>
        <v>#VALUE!</v>
      </c>
      <c r="DW111" t="e">
        <f>AND('Planilla_General_07-12-2012_8_3'!O1664,"AAAAAH9f/n4=")</f>
        <v>#VALUE!</v>
      </c>
      <c r="DX111" t="e">
        <f>AND('Planilla_General_07-12-2012_8_3'!P1664,"AAAAAH9f/n8=")</f>
        <v>#VALUE!</v>
      </c>
      <c r="DY111">
        <f>IF('Planilla_General_07-12-2012_8_3'!1665:1665,"AAAAAH9f/oA=",0)</f>
        <v>0</v>
      </c>
      <c r="DZ111" t="e">
        <f>AND('Planilla_General_07-12-2012_8_3'!A1665,"AAAAAH9f/oE=")</f>
        <v>#VALUE!</v>
      </c>
      <c r="EA111" t="e">
        <f>AND('Planilla_General_07-12-2012_8_3'!B1665,"AAAAAH9f/oI=")</f>
        <v>#VALUE!</v>
      </c>
      <c r="EB111" t="e">
        <f>AND('Planilla_General_07-12-2012_8_3'!C1665,"AAAAAH9f/oM=")</f>
        <v>#VALUE!</v>
      </c>
      <c r="EC111" t="e">
        <f>AND('Planilla_General_07-12-2012_8_3'!D1665,"AAAAAH9f/oQ=")</f>
        <v>#VALUE!</v>
      </c>
      <c r="ED111" t="e">
        <f>AND('Planilla_General_07-12-2012_8_3'!E1665,"AAAAAH9f/oU=")</f>
        <v>#VALUE!</v>
      </c>
      <c r="EE111" t="e">
        <f>AND('Planilla_General_07-12-2012_8_3'!F1665,"AAAAAH9f/oY=")</f>
        <v>#VALUE!</v>
      </c>
      <c r="EF111" t="e">
        <f>AND('Planilla_General_07-12-2012_8_3'!G1665,"AAAAAH9f/oc=")</f>
        <v>#VALUE!</v>
      </c>
      <c r="EG111" t="e">
        <f>AND('Planilla_General_07-12-2012_8_3'!H1665,"AAAAAH9f/og=")</f>
        <v>#VALUE!</v>
      </c>
      <c r="EH111" t="e">
        <f>AND('Planilla_General_07-12-2012_8_3'!I1665,"AAAAAH9f/ok=")</f>
        <v>#VALUE!</v>
      </c>
      <c r="EI111" t="e">
        <f>AND('Planilla_General_07-12-2012_8_3'!J1665,"AAAAAH9f/oo=")</f>
        <v>#VALUE!</v>
      </c>
      <c r="EJ111" t="e">
        <f>AND('Planilla_General_07-12-2012_8_3'!K1665,"AAAAAH9f/os=")</f>
        <v>#VALUE!</v>
      </c>
      <c r="EK111" t="e">
        <f>AND('Planilla_General_07-12-2012_8_3'!L1665,"AAAAAH9f/ow=")</f>
        <v>#VALUE!</v>
      </c>
      <c r="EL111" t="e">
        <f>AND('Planilla_General_07-12-2012_8_3'!M1665,"AAAAAH9f/o0=")</f>
        <v>#VALUE!</v>
      </c>
      <c r="EM111" t="e">
        <f>AND('Planilla_General_07-12-2012_8_3'!N1665,"AAAAAH9f/o4=")</f>
        <v>#VALUE!</v>
      </c>
      <c r="EN111" t="e">
        <f>AND('Planilla_General_07-12-2012_8_3'!O1665,"AAAAAH9f/o8=")</f>
        <v>#VALUE!</v>
      </c>
      <c r="EO111" t="e">
        <f>AND('Planilla_General_07-12-2012_8_3'!P1665,"AAAAAH9f/pA=")</f>
        <v>#VALUE!</v>
      </c>
      <c r="EP111">
        <f>IF('Planilla_General_07-12-2012_8_3'!1666:1666,"AAAAAH9f/pE=",0)</f>
        <v>0</v>
      </c>
      <c r="EQ111" t="e">
        <f>AND('Planilla_General_07-12-2012_8_3'!A1666,"AAAAAH9f/pI=")</f>
        <v>#VALUE!</v>
      </c>
      <c r="ER111" t="e">
        <f>AND('Planilla_General_07-12-2012_8_3'!B1666,"AAAAAH9f/pM=")</f>
        <v>#VALUE!</v>
      </c>
      <c r="ES111" t="e">
        <f>AND('Planilla_General_07-12-2012_8_3'!C1666,"AAAAAH9f/pQ=")</f>
        <v>#VALUE!</v>
      </c>
      <c r="ET111" t="e">
        <f>AND('Planilla_General_07-12-2012_8_3'!D1666,"AAAAAH9f/pU=")</f>
        <v>#VALUE!</v>
      </c>
      <c r="EU111" t="e">
        <f>AND('Planilla_General_07-12-2012_8_3'!E1666,"AAAAAH9f/pY=")</f>
        <v>#VALUE!</v>
      </c>
      <c r="EV111" t="e">
        <f>AND('Planilla_General_07-12-2012_8_3'!F1666,"AAAAAH9f/pc=")</f>
        <v>#VALUE!</v>
      </c>
      <c r="EW111" t="e">
        <f>AND('Planilla_General_07-12-2012_8_3'!G1666,"AAAAAH9f/pg=")</f>
        <v>#VALUE!</v>
      </c>
      <c r="EX111" t="e">
        <f>AND('Planilla_General_07-12-2012_8_3'!H1666,"AAAAAH9f/pk=")</f>
        <v>#VALUE!</v>
      </c>
      <c r="EY111" t="e">
        <f>AND('Planilla_General_07-12-2012_8_3'!I1666,"AAAAAH9f/po=")</f>
        <v>#VALUE!</v>
      </c>
      <c r="EZ111" t="e">
        <f>AND('Planilla_General_07-12-2012_8_3'!J1666,"AAAAAH9f/ps=")</f>
        <v>#VALUE!</v>
      </c>
      <c r="FA111" t="e">
        <f>AND('Planilla_General_07-12-2012_8_3'!K1666,"AAAAAH9f/pw=")</f>
        <v>#VALUE!</v>
      </c>
      <c r="FB111" t="e">
        <f>AND('Planilla_General_07-12-2012_8_3'!L1666,"AAAAAH9f/p0=")</f>
        <v>#VALUE!</v>
      </c>
      <c r="FC111" t="e">
        <f>AND('Planilla_General_07-12-2012_8_3'!M1666,"AAAAAH9f/p4=")</f>
        <v>#VALUE!</v>
      </c>
      <c r="FD111" t="e">
        <f>AND('Planilla_General_07-12-2012_8_3'!N1666,"AAAAAH9f/p8=")</f>
        <v>#VALUE!</v>
      </c>
      <c r="FE111" t="e">
        <f>AND('Planilla_General_07-12-2012_8_3'!O1666,"AAAAAH9f/qA=")</f>
        <v>#VALUE!</v>
      </c>
      <c r="FF111" t="e">
        <f>AND('Planilla_General_07-12-2012_8_3'!P1666,"AAAAAH9f/qE=")</f>
        <v>#VALUE!</v>
      </c>
      <c r="FG111">
        <f>IF('Planilla_General_07-12-2012_8_3'!1667:1667,"AAAAAH9f/qI=",0)</f>
        <v>0</v>
      </c>
      <c r="FH111" t="e">
        <f>AND('Planilla_General_07-12-2012_8_3'!A1667,"AAAAAH9f/qM=")</f>
        <v>#VALUE!</v>
      </c>
      <c r="FI111" t="e">
        <f>AND('Planilla_General_07-12-2012_8_3'!B1667,"AAAAAH9f/qQ=")</f>
        <v>#VALUE!</v>
      </c>
      <c r="FJ111" t="e">
        <f>AND('Planilla_General_07-12-2012_8_3'!C1667,"AAAAAH9f/qU=")</f>
        <v>#VALUE!</v>
      </c>
      <c r="FK111" t="e">
        <f>AND('Planilla_General_07-12-2012_8_3'!D1667,"AAAAAH9f/qY=")</f>
        <v>#VALUE!</v>
      </c>
      <c r="FL111" t="e">
        <f>AND('Planilla_General_07-12-2012_8_3'!E1667,"AAAAAH9f/qc=")</f>
        <v>#VALUE!</v>
      </c>
      <c r="FM111" t="e">
        <f>AND('Planilla_General_07-12-2012_8_3'!F1667,"AAAAAH9f/qg=")</f>
        <v>#VALUE!</v>
      </c>
      <c r="FN111" t="e">
        <f>AND('Planilla_General_07-12-2012_8_3'!G1667,"AAAAAH9f/qk=")</f>
        <v>#VALUE!</v>
      </c>
      <c r="FO111" t="e">
        <f>AND('Planilla_General_07-12-2012_8_3'!H1667,"AAAAAH9f/qo=")</f>
        <v>#VALUE!</v>
      </c>
      <c r="FP111" t="e">
        <f>AND('Planilla_General_07-12-2012_8_3'!I1667,"AAAAAH9f/qs=")</f>
        <v>#VALUE!</v>
      </c>
      <c r="FQ111" t="e">
        <f>AND('Planilla_General_07-12-2012_8_3'!J1667,"AAAAAH9f/qw=")</f>
        <v>#VALUE!</v>
      </c>
      <c r="FR111" t="e">
        <f>AND('Planilla_General_07-12-2012_8_3'!K1667,"AAAAAH9f/q0=")</f>
        <v>#VALUE!</v>
      </c>
      <c r="FS111" t="e">
        <f>AND('Planilla_General_07-12-2012_8_3'!L1667,"AAAAAH9f/q4=")</f>
        <v>#VALUE!</v>
      </c>
      <c r="FT111" t="e">
        <f>AND('Planilla_General_07-12-2012_8_3'!M1667,"AAAAAH9f/q8=")</f>
        <v>#VALUE!</v>
      </c>
      <c r="FU111" t="e">
        <f>AND('Planilla_General_07-12-2012_8_3'!N1667,"AAAAAH9f/rA=")</f>
        <v>#VALUE!</v>
      </c>
      <c r="FV111" t="e">
        <f>AND('Planilla_General_07-12-2012_8_3'!O1667,"AAAAAH9f/rE=")</f>
        <v>#VALUE!</v>
      </c>
      <c r="FW111" t="e">
        <f>AND('Planilla_General_07-12-2012_8_3'!P1667,"AAAAAH9f/rI=")</f>
        <v>#VALUE!</v>
      </c>
      <c r="FX111">
        <f>IF('Planilla_General_07-12-2012_8_3'!1668:1668,"AAAAAH9f/rM=",0)</f>
        <v>0</v>
      </c>
      <c r="FY111" t="e">
        <f>AND('Planilla_General_07-12-2012_8_3'!A1668,"AAAAAH9f/rQ=")</f>
        <v>#VALUE!</v>
      </c>
      <c r="FZ111" t="e">
        <f>AND('Planilla_General_07-12-2012_8_3'!B1668,"AAAAAH9f/rU=")</f>
        <v>#VALUE!</v>
      </c>
      <c r="GA111" t="e">
        <f>AND('Planilla_General_07-12-2012_8_3'!C1668,"AAAAAH9f/rY=")</f>
        <v>#VALUE!</v>
      </c>
      <c r="GB111" t="e">
        <f>AND('Planilla_General_07-12-2012_8_3'!D1668,"AAAAAH9f/rc=")</f>
        <v>#VALUE!</v>
      </c>
      <c r="GC111" t="e">
        <f>AND('Planilla_General_07-12-2012_8_3'!E1668,"AAAAAH9f/rg=")</f>
        <v>#VALUE!</v>
      </c>
      <c r="GD111" t="e">
        <f>AND('Planilla_General_07-12-2012_8_3'!F1668,"AAAAAH9f/rk=")</f>
        <v>#VALUE!</v>
      </c>
      <c r="GE111" t="e">
        <f>AND('Planilla_General_07-12-2012_8_3'!G1668,"AAAAAH9f/ro=")</f>
        <v>#VALUE!</v>
      </c>
      <c r="GF111" t="e">
        <f>AND('Planilla_General_07-12-2012_8_3'!H1668,"AAAAAH9f/rs=")</f>
        <v>#VALUE!</v>
      </c>
      <c r="GG111" t="e">
        <f>AND('Planilla_General_07-12-2012_8_3'!I1668,"AAAAAH9f/rw=")</f>
        <v>#VALUE!</v>
      </c>
      <c r="GH111" t="e">
        <f>AND('Planilla_General_07-12-2012_8_3'!J1668,"AAAAAH9f/r0=")</f>
        <v>#VALUE!</v>
      </c>
      <c r="GI111" t="e">
        <f>AND('Planilla_General_07-12-2012_8_3'!K1668,"AAAAAH9f/r4=")</f>
        <v>#VALUE!</v>
      </c>
      <c r="GJ111" t="e">
        <f>AND('Planilla_General_07-12-2012_8_3'!L1668,"AAAAAH9f/r8=")</f>
        <v>#VALUE!</v>
      </c>
      <c r="GK111" t="e">
        <f>AND('Planilla_General_07-12-2012_8_3'!M1668,"AAAAAH9f/sA=")</f>
        <v>#VALUE!</v>
      </c>
      <c r="GL111" t="e">
        <f>AND('Planilla_General_07-12-2012_8_3'!N1668,"AAAAAH9f/sE=")</f>
        <v>#VALUE!</v>
      </c>
      <c r="GM111" t="e">
        <f>AND('Planilla_General_07-12-2012_8_3'!O1668,"AAAAAH9f/sI=")</f>
        <v>#VALUE!</v>
      </c>
      <c r="GN111" t="e">
        <f>AND('Planilla_General_07-12-2012_8_3'!P1668,"AAAAAH9f/sM=")</f>
        <v>#VALUE!</v>
      </c>
      <c r="GO111">
        <f>IF('Planilla_General_07-12-2012_8_3'!1669:1669,"AAAAAH9f/sQ=",0)</f>
        <v>0</v>
      </c>
      <c r="GP111" t="e">
        <f>AND('Planilla_General_07-12-2012_8_3'!A1669,"AAAAAH9f/sU=")</f>
        <v>#VALUE!</v>
      </c>
      <c r="GQ111" t="e">
        <f>AND('Planilla_General_07-12-2012_8_3'!B1669,"AAAAAH9f/sY=")</f>
        <v>#VALUE!</v>
      </c>
      <c r="GR111" t="e">
        <f>AND('Planilla_General_07-12-2012_8_3'!C1669,"AAAAAH9f/sc=")</f>
        <v>#VALUE!</v>
      </c>
      <c r="GS111" t="e">
        <f>AND('Planilla_General_07-12-2012_8_3'!D1669,"AAAAAH9f/sg=")</f>
        <v>#VALUE!</v>
      </c>
      <c r="GT111" t="e">
        <f>AND('Planilla_General_07-12-2012_8_3'!E1669,"AAAAAH9f/sk=")</f>
        <v>#VALUE!</v>
      </c>
      <c r="GU111" t="e">
        <f>AND('Planilla_General_07-12-2012_8_3'!F1669,"AAAAAH9f/so=")</f>
        <v>#VALUE!</v>
      </c>
      <c r="GV111" t="e">
        <f>AND('Planilla_General_07-12-2012_8_3'!G1669,"AAAAAH9f/ss=")</f>
        <v>#VALUE!</v>
      </c>
      <c r="GW111" t="e">
        <f>AND('Planilla_General_07-12-2012_8_3'!H1669,"AAAAAH9f/sw=")</f>
        <v>#VALUE!</v>
      </c>
      <c r="GX111" t="e">
        <f>AND('Planilla_General_07-12-2012_8_3'!I1669,"AAAAAH9f/s0=")</f>
        <v>#VALUE!</v>
      </c>
      <c r="GY111" t="e">
        <f>AND('Planilla_General_07-12-2012_8_3'!J1669,"AAAAAH9f/s4=")</f>
        <v>#VALUE!</v>
      </c>
      <c r="GZ111" t="e">
        <f>AND('Planilla_General_07-12-2012_8_3'!K1669,"AAAAAH9f/s8=")</f>
        <v>#VALUE!</v>
      </c>
      <c r="HA111" t="e">
        <f>AND('Planilla_General_07-12-2012_8_3'!L1669,"AAAAAH9f/tA=")</f>
        <v>#VALUE!</v>
      </c>
      <c r="HB111" t="e">
        <f>AND('Planilla_General_07-12-2012_8_3'!M1669,"AAAAAH9f/tE=")</f>
        <v>#VALUE!</v>
      </c>
      <c r="HC111" t="e">
        <f>AND('Planilla_General_07-12-2012_8_3'!N1669,"AAAAAH9f/tI=")</f>
        <v>#VALUE!</v>
      </c>
      <c r="HD111" t="e">
        <f>AND('Planilla_General_07-12-2012_8_3'!O1669,"AAAAAH9f/tM=")</f>
        <v>#VALUE!</v>
      </c>
      <c r="HE111" t="e">
        <f>AND('Planilla_General_07-12-2012_8_3'!P1669,"AAAAAH9f/tQ=")</f>
        <v>#VALUE!</v>
      </c>
      <c r="HF111">
        <f>IF('Planilla_General_07-12-2012_8_3'!1670:1670,"AAAAAH9f/tU=",0)</f>
        <v>0</v>
      </c>
      <c r="HG111" t="e">
        <f>AND('Planilla_General_07-12-2012_8_3'!A1670,"AAAAAH9f/tY=")</f>
        <v>#VALUE!</v>
      </c>
      <c r="HH111" t="e">
        <f>AND('Planilla_General_07-12-2012_8_3'!B1670,"AAAAAH9f/tc=")</f>
        <v>#VALUE!</v>
      </c>
      <c r="HI111" t="e">
        <f>AND('Planilla_General_07-12-2012_8_3'!C1670,"AAAAAH9f/tg=")</f>
        <v>#VALUE!</v>
      </c>
      <c r="HJ111" t="e">
        <f>AND('Planilla_General_07-12-2012_8_3'!D1670,"AAAAAH9f/tk=")</f>
        <v>#VALUE!</v>
      </c>
      <c r="HK111" t="e">
        <f>AND('Planilla_General_07-12-2012_8_3'!E1670,"AAAAAH9f/to=")</f>
        <v>#VALUE!</v>
      </c>
      <c r="HL111" t="e">
        <f>AND('Planilla_General_07-12-2012_8_3'!F1670,"AAAAAH9f/ts=")</f>
        <v>#VALUE!</v>
      </c>
      <c r="HM111" t="e">
        <f>AND('Planilla_General_07-12-2012_8_3'!G1670,"AAAAAH9f/tw=")</f>
        <v>#VALUE!</v>
      </c>
      <c r="HN111" t="e">
        <f>AND('Planilla_General_07-12-2012_8_3'!H1670,"AAAAAH9f/t0=")</f>
        <v>#VALUE!</v>
      </c>
      <c r="HO111" t="e">
        <f>AND('Planilla_General_07-12-2012_8_3'!I1670,"AAAAAH9f/t4=")</f>
        <v>#VALUE!</v>
      </c>
      <c r="HP111" t="e">
        <f>AND('Planilla_General_07-12-2012_8_3'!J1670,"AAAAAH9f/t8=")</f>
        <v>#VALUE!</v>
      </c>
      <c r="HQ111" t="e">
        <f>AND('Planilla_General_07-12-2012_8_3'!K1670,"AAAAAH9f/uA=")</f>
        <v>#VALUE!</v>
      </c>
      <c r="HR111" t="e">
        <f>AND('Planilla_General_07-12-2012_8_3'!L1670,"AAAAAH9f/uE=")</f>
        <v>#VALUE!</v>
      </c>
      <c r="HS111" t="e">
        <f>AND('Planilla_General_07-12-2012_8_3'!M1670,"AAAAAH9f/uI=")</f>
        <v>#VALUE!</v>
      </c>
      <c r="HT111" t="e">
        <f>AND('Planilla_General_07-12-2012_8_3'!N1670,"AAAAAH9f/uM=")</f>
        <v>#VALUE!</v>
      </c>
      <c r="HU111" t="e">
        <f>AND('Planilla_General_07-12-2012_8_3'!O1670,"AAAAAH9f/uQ=")</f>
        <v>#VALUE!</v>
      </c>
      <c r="HV111" t="e">
        <f>AND('Planilla_General_07-12-2012_8_3'!P1670,"AAAAAH9f/uU=")</f>
        <v>#VALUE!</v>
      </c>
      <c r="HW111">
        <f>IF('Planilla_General_07-12-2012_8_3'!1671:1671,"AAAAAH9f/uY=",0)</f>
        <v>0</v>
      </c>
      <c r="HX111" t="e">
        <f>AND('Planilla_General_07-12-2012_8_3'!A1671,"AAAAAH9f/uc=")</f>
        <v>#VALUE!</v>
      </c>
      <c r="HY111" t="e">
        <f>AND('Planilla_General_07-12-2012_8_3'!B1671,"AAAAAH9f/ug=")</f>
        <v>#VALUE!</v>
      </c>
      <c r="HZ111" t="e">
        <f>AND('Planilla_General_07-12-2012_8_3'!C1671,"AAAAAH9f/uk=")</f>
        <v>#VALUE!</v>
      </c>
      <c r="IA111" t="e">
        <f>AND('Planilla_General_07-12-2012_8_3'!D1671,"AAAAAH9f/uo=")</f>
        <v>#VALUE!</v>
      </c>
      <c r="IB111" t="e">
        <f>AND('Planilla_General_07-12-2012_8_3'!E1671,"AAAAAH9f/us=")</f>
        <v>#VALUE!</v>
      </c>
      <c r="IC111" t="e">
        <f>AND('Planilla_General_07-12-2012_8_3'!F1671,"AAAAAH9f/uw=")</f>
        <v>#VALUE!</v>
      </c>
      <c r="ID111" t="e">
        <f>AND('Planilla_General_07-12-2012_8_3'!G1671,"AAAAAH9f/u0=")</f>
        <v>#VALUE!</v>
      </c>
      <c r="IE111" t="e">
        <f>AND('Planilla_General_07-12-2012_8_3'!H1671,"AAAAAH9f/u4=")</f>
        <v>#VALUE!</v>
      </c>
      <c r="IF111" t="e">
        <f>AND('Planilla_General_07-12-2012_8_3'!I1671,"AAAAAH9f/u8=")</f>
        <v>#VALUE!</v>
      </c>
      <c r="IG111" t="e">
        <f>AND('Planilla_General_07-12-2012_8_3'!J1671,"AAAAAH9f/vA=")</f>
        <v>#VALUE!</v>
      </c>
      <c r="IH111" t="e">
        <f>AND('Planilla_General_07-12-2012_8_3'!K1671,"AAAAAH9f/vE=")</f>
        <v>#VALUE!</v>
      </c>
      <c r="II111" t="e">
        <f>AND('Planilla_General_07-12-2012_8_3'!L1671,"AAAAAH9f/vI=")</f>
        <v>#VALUE!</v>
      </c>
      <c r="IJ111" t="e">
        <f>AND('Planilla_General_07-12-2012_8_3'!M1671,"AAAAAH9f/vM=")</f>
        <v>#VALUE!</v>
      </c>
      <c r="IK111" t="e">
        <f>AND('Planilla_General_07-12-2012_8_3'!N1671,"AAAAAH9f/vQ=")</f>
        <v>#VALUE!</v>
      </c>
      <c r="IL111" t="e">
        <f>AND('Planilla_General_07-12-2012_8_3'!O1671,"AAAAAH9f/vU=")</f>
        <v>#VALUE!</v>
      </c>
      <c r="IM111" t="e">
        <f>AND('Planilla_General_07-12-2012_8_3'!P1671,"AAAAAH9f/vY=")</f>
        <v>#VALUE!</v>
      </c>
      <c r="IN111">
        <f>IF('Planilla_General_07-12-2012_8_3'!1672:1672,"AAAAAH9f/vc=",0)</f>
        <v>0</v>
      </c>
      <c r="IO111" t="e">
        <f>AND('Planilla_General_07-12-2012_8_3'!A1672,"AAAAAH9f/vg=")</f>
        <v>#VALUE!</v>
      </c>
      <c r="IP111" t="e">
        <f>AND('Planilla_General_07-12-2012_8_3'!B1672,"AAAAAH9f/vk=")</f>
        <v>#VALUE!</v>
      </c>
      <c r="IQ111" t="e">
        <f>AND('Planilla_General_07-12-2012_8_3'!C1672,"AAAAAH9f/vo=")</f>
        <v>#VALUE!</v>
      </c>
      <c r="IR111" t="e">
        <f>AND('Planilla_General_07-12-2012_8_3'!D1672,"AAAAAH9f/vs=")</f>
        <v>#VALUE!</v>
      </c>
      <c r="IS111" t="e">
        <f>AND('Planilla_General_07-12-2012_8_3'!E1672,"AAAAAH9f/vw=")</f>
        <v>#VALUE!</v>
      </c>
      <c r="IT111" t="e">
        <f>AND('Planilla_General_07-12-2012_8_3'!F1672,"AAAAAH9f/v0=")</f>
        <v>#VALUE!</v>
      </c>
      <c r="IU111" t="e">
        <f>AND('Planilla_General_07-12-2012_8_3'!G1672,"AAAAAH9f/v4=")</f>
        <v>#VALUE!</v>
      </c>
      <c r="IV111" t="e">
        <f>AND('Planilla_General_07-12-2012_8_3'!H1672,"AAAAAH9f/v8=")</f>
        <v>#VALUE!</v>
      </c>
    </row>
    <row r="112" spans="1:256" x14ac:dyDescent="0.25">
      <c r="A112" t="e">
        <f>AND('Planilla_General_07-12-2012_8_3'!I1672,"AAAAAD/feQA=")</f>
        <v>#VALUE!</v>
      </c>
      <c r="B112" t="e">
        <f>AND('Planilla_General_07-12-2012_8_3'!J1672,"AAAAAD/feQE=")</f>
        <v>#VALUE!</v>
      </c>
      <c r="C112" t="e">
        <f>AND('Planilla_General_07-12-2012_8_3'!K1672,"AAAAAD/feQI=")</f>
        <v>#VALUE!</v>
      </c>
      <c r="D112" t="e">
        <f>AND('Planilla_General_07-12-2012_8_3'!L1672,"AAAAAD/feQM=")</f>
        <v>#VALUE!</v>
      </c>
      <c r="E112" t="e">
        <f>AND('Planilla_General_07-12-2012_8_3'!M1672,"AAAAAD/feQQ=")</f>
        <v>#VALUE!</v>
      </c>
      <c r="F112" t="e">
        <f>AND('Planilla_General_07-12-2012_8_3'!N1672,"AAAAAD/feQU=")</f>
        <v>#VALUE!</v>
      </c>
      <c r="G112" t="e">
        <f>AND('Planilla_General_07-12-2012_8_3'!O1672,"AAAAAD/feQY=")</f>
        <v>#VALUE!</v>
      </c>
      <c r="H112" t="e">
        <f>AND('Planilla_General_07-12-2012_8_3'!P1672,"AAAAAD/feQc=")</f>
        <v>#VALUE!</v>
      </c>
      <c r="I112" t="e">
        <f>IF('Planilla_General_07-12-2012_8_3'!1673:1673,"AAAAAD/feQg=",0)</f>
        <v>#VALUE!</v>
      </c>
      <c r="J112" t="e">
        <f>AND('Planilla_General_07-12-2012_8_3'!A1673,"AAAAAD/feQk=")</f>
        <v>#VALUE!</v>
      </c>
      <c r="K112" t="e">
        <f>AND('Planilla_General_07-12-2012_8_3'!B1673,"AAAAAD/feQo=")</f>
        <v>#VALUE!</v>
      </c>
      <c r="L112" t="e">
        <f>AND('Planilla_General_07-12-2012_8_3'!C1673,"AAAAAD/feQs=")</f>
        <v>#VALUE!</v>
      </c>
      <c r="M112" t="e">
        <f>AND('Planilla_General_07-12-2012_8_3'!D1673,"AAAAAD/feQw=")</f>
        <v>#VALUE!</v>
      </c>
      <c r="N112" t="e">
        <f>AND('Planilla_General_07-12-2012_8_3'!E1673,"AAAAAD/feQ0=")</f>
        <v>#VALUE!</v>
      </c>
      <c r="O112" t="e">
        <f>AND('Planilla_General_07-12-2012_8_3'!F1673,"AAAAAD/feQ4=")</f>
        <v>#VALUE!</v>
      </c>
      <c r="P112" t="e">
        <f>AND('Planilla_General_07-12-2012_8_3'!G1673,"AAAAAD/feQ8=")</f>
        <v>#VALUE!</v>
      </c>
      <c r="Q112" t="e">
        <f>AND('Planilla_General_07-12-2012_8_3'!H1673,"AAAAAD/feRA=")</f>
        <v>#VALUE!</v>
      </c>
      <c r="R112" t="e">
        <f>AND('Planilla_General_07-12-2012_8_3'!I1673,"AAAAAD/feRE=")</f>
        <v>#VALUE!</v>
      </c>
      <c r="S112" t="e">
        <f>AND('Planilla_General_07-12-2012_8_3'!J1673,"AAAAAD/feRI=")</f>
        <v>#VALUE!</v>
      </c>
      <c r="T112" t="e">
        <f>AND('Planilla_General_07-12-2012_8_3'!K1673,"AAAAAD/feRM=")</f>
        <v>#VALUE!</v>
      </c>
      <c r="U112" t="e">
        <f>AND('Planilla_General_07-12-2012_8_3'!L1673,"AAAAAD/feRQ=")</f>
        <v>#VALUE!</v>
      </c>
      <c r="V112" t="e">
        <f>AND('Planilla_General_07-12-2012_8_3'!M1673,"AAAAAD/feRU=")</f>
        <v>#VALUE!</v>
      </c>
      <c r="W112" t="e">
        <f>AND('Planilla_General_07-12-2012_8_3'!N1673,"AAAAAD/feRY=")</f>
        <v>#VALUE!</v>
      </c>
      <c r="X112" t="e">
        <f>AND('Planilla_General_07-12-2012_8_3'!O1673,"AAAAAD/feRc=")</f>
        <v>#VALUE!</v>
      </c>
      <c r="Y112" t="e">
        <f>AND('Planilla_General_07-12-2012_8_3'!P1673,"AAAAAD/feRg=")</f>
        <v>#VALUE!</v>
      </c>
      <c r="Z112">
        <f>IF('Planilla_General_07-12-2012_8_3'!1674:1674,"AAAAAD/feRk=",0)</f>
        <v>0</v>
      </c>
      <c r="AA112" t="e">
        <f>AND('Planilla_General_07-12-2012_8_3'!A1674,"AAAAAD/feRo=")</f>
        <v>#VALUE!</v>
      </c>
      <c r="AB112" t="e">
        <f>AND('Planilla_General_07-12-2012_8_3'!B1674,"AAAAAD/feRs=")</f>
        <v>#VALUE!</v>
      </c>
      <c r="AC112" t="e">
        <f>AND('Planilla_General_07-12-2012_8_3'!C1674,"AAAAAD/feRw=")</f>
        <v>#VALUE!</v>
      </c>
      <c r="AD112" t="e">
        <f>AND('Planilla_General_07-12-2012_8_3'!D1674,"AAAAAD/feR0=")</f>
        <v>#VALUE!</v>
      </c>
      <c r="AE112" t="e">
        <f>AND('Planilla_General_07-12-2012_8_3'!E1674,"AAAAAD/feR4=")</f>
        <v>#VALUE!</v>
      </c>
      <c r="AF112" t="e">
        <f>AND('Planilla_General_07-12-2012_8_3'!F1674,"AAAAAD/feR8=")</f>
        <v>#VALUE!</v>
      </c>
      <c r="AG112" t="e">
        <f>AND('Planilla_General_07-12-2012_8_3'!G1674,"AAAAAD/feSA=")</f>
        <v>#VALUE!</v>
      </c>
      <c r="AH112" t="e">
        <f>AND('Planilla_General_07-12-2012_8_3'!H1674,"AAAAAD/feSE=")</f>
        <v>#VALUE!</v>
      </c>
      <c r="AI112" t="e">
        <f>AND('Planilla_General_07-12-2012_8_3'!I1674,"AAAAAD/feSI=")</f>
        <v>#VALUE!</v>
      </c>
      <c r="AJ112" t="e">
        <f>AND('Planilla_General_07-12-2012_8_3'!J1674,"AAAAAD/feSM=")</f>
        <v>#VALUE!</v>
      </c>
      <c r="AK112" t="e">
        <f>AND('Planilla_General_07-12-2012_8_3'!K1674,"AAAAAD/feSQ=")</f>
        <v>#VALUE!</v>
      </c>
      <c r="AL112" t="e">
        <f>AND('Planilla_General_07-12-2012_8_3'!L1674,"AAAAAD/feSU=")</f>
        <v>#VALUE!</v>
      </c>
      <c r="AM112" t="e">
        <f>AND('Planilla_General_07-12-2012_8_3'!M1674,"AAAAAD/feSY=")</f>
        <v>#VALUE!</v>
      </c>
      <c r="AN112" t="e">
        <f>AND('Planilla_General_07-12-2012_8_3'!N1674,"AAAAAD/feSc=")</f>
        <v>#VALUE!</v>
      </c>
      <c r="AO112" t="e">
        <f>AND('Planilla_General_07-12-2012_8_3'!O1674,"AAAAAD/feSg=")</f>
        <v>#VALUE!</v>
      </c>
      <c r="AP112" t="e">
        <f>AND('Planilla_General_07-12-2012_8_3'!P1674,"AAAAAD/feSk=")</f>
        <v>#VALUE!</v>
      </c>
      <c r="AQ112">
        <f>IF('Planilla_General_07-12-2012_8_3'!1675:1675,"AAAAAD/feSo=",0)</f>
        <v>0</v>
      </c>
      <c r="AR112" t="e">
        <f>AND('Planilla_General_07-12-2012_8_3'!A1675,"AAAAAD/feSs=")</f>
        <v>#VALUE!</v>
      </c>
      <c r="AS112" t="e">
        <f>AND('Planilla_General_07-12-2012_8_3'!B1675,"AAAAAD/feSw=")</f>
        <v>#VALUE!</v>
      </c>
      <c r="AT112" t="e">
        <f>AND('Planilla_General_07-12-2012_8_3'!C1675,"AAAAAD/feS0=")</f>
        <v>#VALUE!</v>
      </c>
      <c r="AU112" t="e">
        <f>AND('Planilla_General_07-12-2012_8_3'!D1675,"AAAAAD/feS4=")</f>
        <v>#VALUE!</v>
      </c>
      <c r="AV112" t="e">
        <f>AND('Planilla_General_07-12-2012_8_3'!E1675,"AAAAAD/feS8=")</f>
        <v>#VALUE!</v>
      </c>
      <c r="AW112" t="e">
        <f>AND('Planilla_General_07-12-2012_8_3'!F1675,"AAAAAD/feTA=")</f>
        <v>#VALUE!</v>
      </c>
      <c r="AX112" t="e">
        <f>AND('Planilla_General_07-12-2012_8_3'!G1675,"AAAAAD/feTE=")</f>
        <v>#VALUE!</v>
      </c>
      <c r="AY112" t="e">
        <f>AND('Planilla_General_07-12-2012_8_3'!H1675,"AAAAAD/feTI=")</f>
        <v>#VALUE!</v>
      </c>
      <c r="AZ112" t="e">
        <f>AND('Planilla_General_07-12-2012_8_3'!I1675,"AAAAAD/feTM=")</f>
        <v>#VALUE!</v>
      </c>
      <c r="BA112" t="e">
        <f>AND('Planilla_General_07-12-2012_8_3'!J1675,"AAAAAD/feTQ=")</f>
        <v>#VALUE!</v>
      </c>
      <c r="BB112" t="e">
        <f>AND('Planilla_General_07-12-2012_8_3'!K1675,"AAAAAD/feTU=")</f>
        <v>#VALUE!</v>
      </c>
      <c r="BC112" t="e">
        <f>AND('Planilla_General_07-12-2012_8_3'!L1675,"AAAAAD/feTY=")</f>
        <v>#VALUE!</v>
      </c>
      <c r="BD112" t="e">
        <f>AND('Planilla_General_07-12-2012_8_3'!M1675,"AAAAAD/feTc=")</f>
        <v>#VALUE!</v>
      </c>
      <c r="BE112" t="e">
        <f>AND('Planilla_General_07-12-2012_8_3'!N1675,"AAAAAD/feTg=")</f>
        <v>#VALUE!</v>
      </c>
      <c r="BF112" t="e">
        <f>AND('Planilla_General_07-12-2012_8_3'!O1675,"AAAAAD/feTk=")</f>
        <v>#VALUE!</v>
      </c>
      <c r="BG112" t="e">
        <f>AND('Planilla_General_07-12-2012_8_3'!P1675,"AAAAAD/feTo=")</f>
        <v>#VALUE!</v>
      </c>
      <c r="BH112">
        <f>IF('Planilla_General_07-12-2012_8_3'!1676:1676,"AAAAAD/feTs=",0)</f>
        <v>0</v>
      </c>
      <c r="BI112" t="e">
        <f>AND('Planilla_General_07-12-2012_8_3'!A1676,"AAAAAD/feTw=")</f>
        <v>#VALUE!</v>
      </c>
      <c r="BJ112" t="e">
        <f>AND('Planilla_General_07-12-2012_8_3'!B1676,"AAAAAD/feT0=")</f>
        <v>#VALUE!</v>
      </c>
      <c r="BK112" t="e">
        <f>AND('Planilla_General_07-12-2012_8_3'!C1676,"AAAAAD/feT4=")</f>
        <v>#VALUE!</v>
      </c>
      <c r="BL112" t="e">
        <f>AND('Planilla_General_07-12-2012_8_3'!D1676,"AAAAAD/feT8=")</f>
        <v>#VALUE!</v>
      </c>
      <c r="BM112" t="e">
        <f>AND('Planilla_General_07-12-2012_8_3'!E1676,"AAAAAD/feUA=")</f>
        <v>#VALUE!</v>
      </c>
      <c r="BN112" t="e">
        <f>AND('Planilla_General_07-12-2012_8_3'!F1676,"AAAAAD/feUE=")</f>
        <v>#VALUE!</v>
      </c>
      <c r="BO112" t="e">
        <f>AND('Planilla_General_07-12-2012_8_3'!G1676,"AAAAAD/feUI=")</f>
        <v>#VALUE!</v>
      </c>
      <c r="BP112" t="e">
        <f>AND('Planilla_General_07-12-2012_8_3'!H1676,"AAAAAD/feUM=")</f>
        <v>#VALUE!</v>
      </c>
      <c r="BQ112" t="e">
        <f>AND('Planilla_General_07-12-2012_8_3'!I1676,"AAAAAD/feUQ=")</f>
        <v>#VALUE!</v>
      </c>
      <c r="BR112" t="e">
        <f>AND('Planilla_General_07-12-2012_8_3'!J1676,"AAAAAD/feUU=")</f>
        <v>#VALUE!</v>
      </c>
      <c r="BS112" t="e">
        <f>AND('Planilla_General_07-12-2012_8_3'!K1676,"AAAAAD/feUY=")</f>
        <v>#VALUE!</v>
      </c>
      <c r="BT112" t="e">
        <f>AND('Planilla_General_07-12-2012_8_3'!L1676,"AAAAAD/feUc=")</f>
        <v>#VALUE!</v>
      </c>
      <c r="BU112" t="e">
        <f>AND('Planilla_General_07-12-2012_8_3'!M1676,"AAAAAD/feUg=")</f>
        <v>#VALUE!</v>
      </c>
      <c r="BV112" t="e">
        <f>AND('Planilla_General_07-12-2012_8_3'!N1676,"AAAAAD/feUk=")</f>
        <v>#VALUE!</v>
      </c>
      <c r="BW112" t="e">
        <f>AND('Planilla_General_07-12-2012_8_3'!O1676,"AAAAAD/feUo=")</f>
        <v>#VALUE!</v>
      </c>
      <c r="BX112" t="e">
        <f>AND('Planilla_General_07-12-2012_8_3'!P1676,"AAAAAD/feUs=")</f>
        <v>#VALUE!</v>
      </c>
      <c r="BY112">
        <f>IF('Planilla_General_07-12-2012_8_3'!1677:1677,"AAAAAD/feUw=",0)</f>
        <v>0</v>
      </c>
      <c r="BZ112" t="e">
        <f>AND('Planilla_General_07-12-2012_8_3'!A1677,"AAAAAD/feU0=")</f>
        <v>#VALUE!</v>
      </c>
      <c r="CA112" t="e">
        <f>AND('Planilla_General_07-12-2012_8_3'!B1677,"AAAAAD/feU4=")</f>
        <v>#VALUE!</v>
      </c>
      <c r="CB112" t="e">
        <f>AND('Planilla_General_07-12-2012_8_3'!C1677,"AAAAAD/feU8=")</f>
        <v>#VALUE!</v>
      </c>
      <c r="CC112" t="e">
        <f>AND('Planilla_General_07-12-2012_8_3'!D1677,"AAAAAD/feVA=")</f>
        <v>#VALUE!</v>
      </c>
      <c r="CD112" t="e">
        <f>AND('Planilla_General_07-12-2012_8_3'!E1677,"AAAAAD/feVE=")</f>
        <v>#VALUE!</v>
      </c>
      <c r="CE112" t="e">
        <f>AND('Planilla_General_07-12-2012_8_3'!F1677,"AAAAAD/feVI=")</f>
        <v>#VALUE!</v>
      </c>
      <c r="CF112" t="e">
        <f>AND('Planilla_General_07-12-2012_8_3'!G1677,"AAAAAD/feVM=")</f>
        <v>#VALUE!</v>
      </c>
      <c r="CG112" t="e">
        <f>AND('Planilla_General_07-12-2012_8_3'!H1677,"AAAAAD/feVQ=")</f>
        <v>#VALUE!</v>
      </c>
      <c r="CH112" t="e">
        <f>AND('Planilla_General_07-12-2012_8_3'!I1677,"AAAAAD/feVU=")</f>
        <v>#VALUE!</v>
      </c>
      <c r="CI112" t="e">
        <f>AND('Planilla_General_07-12-2012_8_3'!J1677,"AAAAAD/feVY=")</f>
        <v>#VALUE!</v>
      </c>
      <c r="CJ112" t="e">
        <f>AND('Planilla_General_07-12-2012_8_3'!K1677,"AAAAAD/feVc=")</f>
        <v>#VALUE!</v>
      </c>
      <c r="CK112" t="e">
        <f>AND('Planilla_General_07-12-2012_8_3'!L1677,"AAAAAD/feVg=")</f>
        <v>#VALUE!</v>
      </c>
      <c r="CL112" t="e">
        <f>AND('Planilla_General_07-12-2012_8_3'!M1677,"AAAAAD/feVk=")</f>
        <v>#VALUE!</v>
      </c>
      <c r="CM112" t="e">
        <f>AND('Planilla_General_07-12-2012_8_3'!N1677,"AAAAAD/feVo=")</f>
        <v>#VALUE!</v>
      </c>
      <c r="CN112" t="e">
        <f>AND('Planilla_General_07-12-2012_8_3'!O1677,"AAAAAD/feVs=")</f>
        <v>#VALUE!</v>
      </c>
      <c r="CO112" t="e">
        <f>AND('Planilla_General_07-12-2012_8_3'!P1677,"AAAAAD/feVw=")</f>
        <v>#VALUE!</v>
      </c>
      <c r="CP112">
        <f>IF('Planilla_General_07-12-2012_8_3'!1678:1678,"AAAAAD/feV0=",0)</f>
        <v>0</v>
      </c>
      <c r="CQ112" t="e">
        <f>AND('Planilla_General_07-12-2012_8_3'!A1678,"AAAAAD/feV4=")</f>
        <v>#VALUE!</v>
      </c>
      <c r="CR112" t="e">
        <f>AND('Planilla_General_07-12-2012_8_3'!B1678,"AAAAAD/feV8=")</f>
        <v>#VALUE!</v>
      </c>
      <c r="CS112" t="e">
        <f>AND('Planilla_General_07-12-2012_8_3'!C1678,"AAAAAD/feWA=")</f>
        <v>#VALUE!</v>
      </c>
      <c r="CT112" t="e">
        <f>AND('Planilla_General_07-12-2012_8_3'!D1678,"AAAAAD/feWE=")</f>
        <v>#VALUE!</v>
      </c>
      <c r="CU112" t="e">
        <f>AND('Planilla_General_07-12-2012_8_3'!E1678,"AAAAAD/feWI=")</f>
        <v>#VALUE!</v>
      </c>
      <c r="CV112" t="e">
        <f>AND('Planilla_General_07-12-2012_8_3'!F1678,"AAAAAD/feWM=")</f>
        <v>#VALUE!</v>
      </c>
      <c r="CW112" t="e">
        <f>AND('Planilla_General_07-12-2012_8_3'!G1678,"AAAAAD/feWQ=")</f>
        <v>#VALUE!</v>
      </c>
      <c r="CX112" t="e">
        <f>AND('Planilla_General_07-12-2012_8_3'!H1678,"AAAAAD/feWU=")</f>
        <v>#VALUE!</v>
      </c>
      <c r="CY112" t="e">
        <f>AND('Planilla_General_07-12-2012_8_3'!I1678,"AAAAAD/feWY=")</f>
        <v>#VALUE!</v>
      </c>
      <c r="CZ112" t="e">
        <f>AND('Planilla_General_07-12-2012_8_3'!J1678,"AAAAAD/feWc=")</f>
        <v>#VALUE!</v>
      </c>
      <c r="DA112" t="e">
        <f>AND('Planilla_General_07-12-2012_8_3'!K1678,"AAAAAD/feWg=")</f>
        <v>#VALUE!</v>
      </c>
      <c r="DB112" t="e">
        <f>AND('Planilla_General_07-12-2012_8_3'!L1678,"AAAAAD/feWk=")</f>
        <v>#VALUE!</v>
      </c>
      <c r="DC112" t="e">
        <f>AND('Planilla_General_07-12-2012_8_3'!M1678,"AAAAAD/feWo=")</f>
        <v>#VALUE!</v>
      </c>
      <c r="DD112" t="e">
        <f>AND('Planilla_General_07-12-2012_8_3'!N1678,"AAAAAD/feWs=")</f>
        <v>#VALUE!</v>
      </c>
      <c r="DE112" t="e">
        <f>AND('Planilla_General_07-12-2012_8_3'!O1678,"AAAAAD/feWw=")</f>
        <v>#VALUE!</v>
      </c>
      <c r="DF112" t="e">
        <f>AND('Planilla_General_07-12-2012_8_3'!P1678,"AAAAAD/feW0=")</f>
        <v>#VALUE!</v>
      </c>
      <c r="DG112">
        <f>IF('Planilla_General_07-12-2012_8_3'!1679:1679,"AAAAAD/feW4=",0)</f>
        <v>0</v>
      </c>
      <c r="DH112" t="e">
        <f>AND('Planilla_General_07-12-2012_8_3'!A1679,"AAAAAD/feW8=")</f>
        <v>#VALUE!</v>
      </c>
      <c r="DI112" t="e">
        <f>AND('Planilla_General_07-12-2012_8_3'!B1679,"AAAAAD/feXA=")</f>
        <v>#VALUE!</v>
      </c>
      <c r="DJ112" t="e">
        <f>AND('Planilla_General_07-12-2012_8_3'!C1679,"AAAAAD/feXE=")</f>
        <v>#VALUE!</v>
      </c>
      <c r="DK112" t="e">
        <f>AND('Planilla_General_07-12-2012_8_3'!D1679,"AAAAAD/feXI=")</f>
        <v>#VALUE!</v>
      </c>
      <c r="DL112" t="e">
        <f>AND('Planilla_General_07-12-2012_8_3'!E1679,"AAAAAD/feXM=")</f>
        <v>#VALUE!</v>
      </c>
      <c r="DM112" t="e">
        <f>AND('Planilla_General_07-12-2012_8_3'!F1679,"AAAAAD/feXQ=")</f>
        <v>#VALUE!</v>
      </c>
      <c r="DN112" t="e">
        <f>AND('Planilla_General_07-12-2012_8_3'!G1679,"AAAAAD/feXU=")</f>
        <v>#VALUE!</v>
      </c>
      <c r="DO112" t="e">
        <f>AND('Planilla_General_07-12-2012_8_3'!H1679,"AAAAAD/feXY=")</f>
        <v>#VALUE!</v>
      </c>
      <c r="DP112" t="e">
        <f>AND('Planilla_General_07-12-2012_8_3'!I1679,"AAAAAD/feXc=")</f>
        <v>#VALUE!</v>
      </c>
      <c r="DQ112" t="e">
        <f>AND('Planilla_General_07-12-2012_8_3'!J1679,"AAAAAD/feXg=")</f>
        <v>#VALUE!</v>
      </c>
      <c r="DR112" t="e">
        <f>AND('Planilla_General_07-12-2012_8_3'!K1679,"AAAAAD/feXk=")</f>
        <v>#VALUE!</v>
      </c>
      <c r="DS112" t="e">
        <f>AND('Planilla_General_07-12-2012_8_3'!L1679,"AAAAAD/feXo=")</f>
        <v>#VALUE!</v>
      </c>
      <c r="DT112" t="e">
        <f>AND('Planilla_General_07-12-2012_8_3'!M1679,"AAAAAD/feXs=")</f>
        <v>#VALUE!</v>
      </c>
      <c r="DU112" t="e">
        <f>AND('Planilla_General_07-12-2012_8_3'!N1679,"AAAAAD/feXw=")</f>
        <v>#VALUE!</v>
      </c>
      <c r="DV112" t="e">
        <f>AND('Planilla_General_07-12-2012_8_3'!O1679,"AAAAAD/feX0=")</f>
        <v>#VALUE!</v>
      </c>
      <c r="DW112" t="e">
        <f>AND('Planilla_General_07-12-2012_8_3'!P1679,"AAAAAD/feX4=")</f>
        <v>#VALUE!</v>
      </c>
      <c r="DX112">
        <f>IF('Planilla_General_07-12-2012_8_3'!1680:1680,"AAAAAD/feX8=",0)</f>
        <v>0</v>
      </c>
      <c r="DY112" t="e">
        <f>AND('Planilla_General_07-12-2012_8_3'!A1680,"AAAAAD/feYA=")</f>
        <v>#VALUE!</v>
      </c>
      <c r="DZ112" t="e">
        <f>AND('Planilla_General_07-12-2012_8_3'!B1680,"AAAAAD/feYE=")</f>
        <v>#VALUE!</v>
      </c>
      <c r="EA112" t="e">
        <f>AND('Planilla_General_07-12-2012_8_3'!C1680,"AAAAAD/feYI=")</f>
        <v>#VALUE!</v>
      </c>
      <c r="EB112" t="e">
        <f>AND('Planilla_General_07-12-2012_8_3'!D1680,"AAAAAD/feYM=")</f>
        <v>#VALUE!</v>
      </c>
      <c r="EC112" t="e">
        <f>AND('Planilla_General_07-12-2012_8_3'!E1680,"AAAAAD/feYQ=")</f>
        <v>#VALUE!</v>
      </c>
      <c r="ED112" t="e">
        <f>AND('Planilla_General_07-12-2012_8_3'!F1680,"AAAAAD/feYU=")</f>
        <v>#VALUE!</v>
      </c>
      <c r="EE112" t="e">
        <f>AND('Planilla_General_07-12-2012_8_3'!G1680,"AAAAAD/feYY=")</f>
        <v>#VALUE!</v>
      </c>
      <c r="EF112" t="e">
        <f>AND('Planilla_General_07-12-2012_8_3'!H1680,"AAAAAD/feYc=")</f>
        <v>#VALUE!</v>
      </c>
      <c r="EG112" t="e">
        <f>AND('Planilla_General_07-12-2012_8_3'!I1680,"AAAAAD/feYg=")</f>
        <v>#VALUE!</v>
      </c>
      <c r="EH112" t="e">
        <f>AND('Planilla_General_07-12-2012_8_3'!J1680,"AAAAAD/feYk=")</f>
        <v>#VALUE!</v>
      </c>
      <c r="EI112" t="e">
        <f>AND('Planilla_General_07-12-2012_8_3'!K1680,"AAAAAD/feYo=")</f>
        <v>#VALUE!</v>
      </c>
      <c r="EJ112" t="e">
        <f>AND('Planilla_General_07-12-2012_8_3'!L1680,"AAAAAD/feYs=")</f>
        <v>#VALUE!</v>
      </c>
      <c r="EK112" t="e">
        <f>AND('Planilla_General_07-12-2012_8_3'!M1680,"AAAAAD/feYw=")</f>
        <v>#VALUE!</v>
      </c>
      <c r="EL112" t="e">
        <f>AND('Planilla_General_07-12-2012_8_3'!N1680,"AAAAAD/feY0=")</f>
        <v>#VALUE!</v>
      </c>
      <c r="EM112" t="e">
        <f>AND('Planilla_General_07-12-2012_8_3'!O1680,"AAAAAD/feY4=")</f>
        <v>#VALUE!</v>
      </c>
      <c r="EN112" t="e">
        <f>AND('Planilla_General_07-12-2012_8_3'!P1680,"AAAAAD/feY8=")</f>
        <v>#VALUE!</v>
      </c>
      <c r="EO112">
        <f>IF('Planilla_General_07-12-2012_8_3'!1681:1681,"AAAAAD/feZA=",0)</f>
        <v>0</v>
      </c>
      <c r="EP112" t="e">
        <f>AND('Planilla_General_07-12-2012_8_3'!A1681,"AAAAAD/feZE=")</f>
        <v>#VALUE!</v>
      </c>
      <c r="EQ112" t="e">
        <f>AND('Planilla_General_07-12-2012_8_3'!B1681,"AAAAAD/feZI=")</f>
        <v>#VALUE!</v>
      </c>
      <c r="ER112" t="e">
        <f>AND('Planilla_General_07-12-2012_8_3'!C1681,"AAAAAD/feZM=")</f>
        <v>#VALUE!</v>
      </c>
      <c r="ES112" t="e">
        <f>AND('Planilla_General_07-12-2012_8_3'!D1681,"AAAAAD/feZQ=")</f>
        <v>#VALUE!</v>
      </c>
      <c r="ET112" t="e">
        <f>AND('Planilla_General_07-12-2012_8_3'!E1681,"AAAAAD/feZU=")</f>
        <v>#VALUE!</v>
      </c>
      <c r="EU112" t="e">
        <f>AND('Planilla_General_07-12-2012_8_3'!F1681,"AAAAAD/feZY=")</f>
        <v>#VALUE!</v>
      </c>
      <c r="EV112" t="e">
        <f>AND('Planilla_General_07-12-2012_8_3'!G1681,"AAAAAD/feZc=")</f>
        <v>#VALUE!</v>
      </c>
      <c r="EW112" t="e">
        <f>AND('Planilla_General_07-12-2012_8_3'!H1681,"AAAAAD/feZg=")</f>
        <v>#VALUE!</v>
      </c>
      <c r="EX112" t="e">
        <f>AND('Planilla_General_07-12-2012_8_3'!I1681,"AAAAAD/feZk=")</f>
        <v>#VALUE!</v>
      </c>
      <c r="EY112" t="e">
        <f>AND('Planilla_General_07-12-2012_8_3'!J1681,"AAAAAD/feZo=")</f>
        <v>#VALUE!</v>
      </c>
      <c r="EZ112" t="e">
        <f>AND('Planilla_General_07-12-2012_8_3'!K1681,"AAAAAD/feZs=")</f>
        <v>#VALUE!</v>
      </c>
      <c r="FA112" t="e">
        <f>AND('Planilla_General_07-12-2012_8_3'!L1681,"AAAAAD/feZw=")</f>
        <v>#VALUE!</v>
      </c>
      <c r="FB112" t="e">
        <f>AND('Planilla_General_07-12-2012_8_3'!M1681,"AAAAAD/feZ0=")</f>
        <v>#VALUE!</v>
      </c>
      <c r="FC112" t="e">
        <f>AND('Planilla_General_07-12-2012_8_3'!N1681,"AAAAAD/feZ4=")</f>
        <v>#VALUE!</v>
      </c>
      <c r="FD112" t="e">
        <f>AND('Planilla_General_07-12-2012_8_3'!O1681,"AAAAAD/feZ8=")</f>
        <v>#VALUE!</v>
      </c>
      <c r="FE112" t="e">
        <f>AND('Planilla_General_07-12-2012_8_3'!P1681,"AAAAAD/feaA=")</f>
        <v>#VALUE!</v>
      </c>
      <c r="FF112">
        <f>IF('Planilla_General_07-12-2012_8_3'!1682:1682,"AAAAAD/feaE=",0)</f>
        <v>0</v>
      </c>
      <c r="FG112" t="e">
        <f>AND('Planilla_General_07-12-2012_8_3'!A1682,"AAAAAD/feaI=")</f>
        <v>#VALUE!</v>
      </c>
      <c r="FH112" t="e">
        <f>AND('Planilla_General_07-12-2012_8_3'!B1682,"AAAAAD/feaM=")</f>
        <v>#VALUE!</v>
      </c>
      <c r="FI112" t="e">
        <f>AND('Planilla_General_07-12-2012_8_3'!C1682,"AAAAAD/feaQ=")</f>
        <v>#VALUE!</v>
      </c>
      <c r="FJ112" t="e">
        <f>AND('Planilla_General_07-12-2012_8_3'!D1682,"AAAAAD/feaU=")</f>
        <v>#VALUE!</v>
      </c>
      <c r="FK112" t="e">
        <f>AND('Planilla_General_07-12-2012_8_3'!E1682,"AAAAAD/feaY=")</f>
        <v>#VALUE!</v>
      </c>
      <c r="FL112" t="e">
        <f>AND('Planilla_General_07-12-2012_8_3'!F1682,"AAAAAD/feac=")</f>
        <v>#VALUE!</v>
      </c>
      <c r="FM112" t="e">
        <f>AND('Planilla_General_07-12-2012_8_3'!G1682,"AAAAAD/feag=")</f>
        <v>#VALUE!</v>
      </c>
      <c r="FN112" t="e">
        <f>AND('Planilla_General_07-12-2012_8_3'!H1682,"AAAAAD/feak=")</f>
        <v>#VALUE!</v>
      </c>
      <c r="FO112" t="e">
        <f>AND('Planilla_General_07-12-2012_8_3'!I1682,"AAAAAD/feao=")</f>
        <v>#VALUE!</v>
      </c>
      <c r="FP112" t="e">
        <f>AND('Planilla_General_07-12-2012_8_3'!J1682,"AAAAAD/feas=")</f>
        <v>#VALUE!</v>
      </c>
      <c r="FQ112" t="e">
        <f>AND('Planilla_General_07-12-2012_8_3'!K1682,"AAAAAD/feaw=")</f>
        <v>#VALUE!</v>
      </c>
      <c r="FR112" t="e">
        <f>AND('Planilla_General_07-12-2012_8_3'!L1682,"AAAAAD/fea0=")</f>
        <v>#VALUE!</v>
      </c>
      <c r="FS112" t="e">
        <f>AND('Planilla_General_07-12-2012_8_3'!M1682,"AAAAAD/fea4=")</f>
        <v>#VALUE!</v>
      </c>
      <c r="FT112" t="e">
        <f>AND('Planilla_General_07-12-2012_8_3'!N1682,"AAAAAD/fea8=")</f>
        <v>#VALUE!</v>
      </c>
      <c r="FU112" t="e">
        <f>AND('Planilla_General_07-12-2012_8_3'!O1682,"AAAAAD/febA=")</f>
        <v>#VALUE!</v>
      </c>
      <c r="FV112" t="e">
        <f>AND('Planilla_General_07-12-2012_8_3'!P1682,"AAAAAD/febE=")</f>
        <v>#VALUE!</v>
      </c>
      <c r="FW112">
        <f>IF('Planilla_General_07-12-2012_8_3'!1683:1683,"AAAAAD/febI=",0)</f>
        <v>0</v>
      </c>
      <c r="FX112" t="e">
        <f>AND('Planilla_General_07-12-2012_8_3'!A1683,"AAAAAD/febM=")</f>
        <v>#VALUE!</v>
      </c>
      <c r="FY112" t="e">
        <f>AND('Planilla_General_07-12-2012_8_3'!B1683,"AAAAAD/febQ=")</f>
        <v>#VALUE!</v>
      </c>
      <c r="FZ112" t="e">
        <f>AND('Planilla_General_07-12-2012_8_3'!C1683,"AAAAAD/febU=")</f>
        <v>#VALUE!</v>
      </c>
      <c r="GA112" t="e">
        <f>AND('Planilla_General_07-12-2012_8_3'!D1683,"AAAAAD/febY=")</f>
        <v>#VALUE!</v>
      </c>
      <c r="GB112" t="e">
        <f>AND('Planilla_General_07-12-2012_8_3'!E1683,"AAAAAD/febc=")</f>
        <v>#VALUE!</v>
      </c>
      <c r="GC112" t="e">
        <f>AND('Planilla_General_07-12-2012_8_3'!F1683,"AAAAAD/febg=")</f>
        <v>#VALUE!</v>
      </c>
      <c r="GD112" t="e">
        <f>AND('Planilla_General_07-12-2012_8_3'!G1683,"AAAAAD/febk=")</f>
        <v>#VALUE!</v>
      </c>
      <c r="GE112" t="e">
        <f>AND('Planilla_General_07-12-2012_8_3'!H1683,"AAAAAD/febo=")</f>
        <v>#VALUE!</v>
      </c>
      <c r="GF112" t="e">
        <f>AND('Planilla_General_07-12-2012_8_3'!I1683,"AAAAAD/febs=")</f>
        <v>#VALUE!</v>
      </c>
      <c r="GG112" t="e">
        <f>AND('Planilla_General_07-12-2012_8_3'!J1683,"AAAAAD/febw=")</f>
        <v>#VALUE!</v>
      </c>
      <c r="GH112" t="e">
        <f>AND('Planilla_General_07-12-2012_8_3'!K1683,"AAAAAD/feb0=")</f>
        <v>#VALUE!</v>
      </c>
      <c r="GI112" t="e">
        <f>AND('Planilla_General_07-12-2012_8_3'!L1683,"AAAAAD/feb4=")</f>
        <v>#VALUE!</v>
      </c>
      <c r="GJ112" t="e">
        <f>AND('Planilla_General_07-12-2012_8_3'!M1683,"AAAAAD/feb8=")</f>
        <v>#VALUE!</v>
      </c>
      <c r="GK112" t="e">
        <f>AND('Planilla_General_07-12-2012_8_3'!N1683,"AAAAAD/fecA=")</f>
        <v>#VALUE!</v>
      </c>
      <c r="GL112" t="e">
        <f>AND('Planilla_General_07-12-2012_8_3'!O1683,"AAAAAD/fecE=")</f>
        <v>#VALUE!</v>
      </c>
      <c r="GM112" t="e">
        <f>AND('Planilla_General_07-12-2012_8_3'!P1683,"AAAAAD/fecI=")</f>
        <v>#VALUE!</v>
      </c>
      <c r="GN112">
        <f>IF('Planilla_General_07-12-2012_8_3'!1684:1684,"AAAAAD/fecM=",0)</f>
        <v>0</v>
      </c>
      <c r="GO112" t="e">
        <f>AND('Planilla_General_07-12-2012_8_3'!A1684,"AAAAAD/fecQ=")</f>
        <v>#VALUE!</v>
      </c>
      <c r="GP112" t="e">
        <f>AND('Planilla_General_07-12-2012_8_3'!B1684,"AAAAAD/fecU=")</f>
        <v>#VALUE!</v>
      </c>
      <c r="GQ112" t="e">
        <f>AND('Planilla_General_07-12-2012_8_3'!C1684,"AAAAAD/fecY=")</f>
        <v>#VALUE!</v>
      </c>
      <c r="GR112" t="e">
        <f>AND('Planilla_General_07-12-2012_8_3'!D1684,"AAAAAD/fecc=")</f>
        <v>#VALUE!</v>
      </c>
      <c r="GS112" t="e">
        <f>AND('Planilla_General_07-12-2012_8_3'!E1684,"AAAAAD/fecg=")</f>
        <v>#VALUE!</v>
      </c>
      <c r="GT112" t="e">
        <f>AND('Planilla_General_07-12-2012_8_3'!F1684,"AAAAAD/feck=")</f>
        <v>#VALUE!</v>
      </c>
      <c r="GU112" t="e">
        <f>AND('Planilla_General_07-12-2012_8_3'!G1684,"AAAAAD/feco=")</f>
        <v>#VALUE!</v>
      </c>
      <c r="GV112" t="e">
        <f>AND('Planilla_General_07-12-2012_8_3'!H1684,"AAAAAD/fecs=")</f>
        <v>#VALUE!</v>
      </c>
      <c r="GW112" t="e">
        <f>AND('Planilla_General_07-12-2012_8_3'!I1684,"AAAAAD/fecw=")</f>
        <v>#VALUE!</v>
      </c>
      <c r="GX112" t="e">
        <f>AND('Planilla_General_07-12-2012_8_3'!J1684,"AAAAAD/fec0=")</f>
        <v>#VALUE!</v>
      </c>
      <c r="GY112" t="e">
        <f>AND('Planilla_General_07-12-2012_8_3'!K1684,"AAAAAD/fec4=")</f>
        <v>#VALUE!</v>
      </c>
      <c r="GZ112" t="e">
        <f>AND('Planilla_General_07-12-2012_8_3'!L1684,"AAAAAD/fec8=")</f>
        <v>#VALUE!</v>
      </c>
      <c r="HA112" t="e">
        <f>AND('Planilla_General_07-12-2012_8_3'!M1684,"AAAAAD/fedA=")</f>
        <v>#VALUE!</v>
      </c>
      <c r="HB112" t="e">
        <f>AND('Planilla_General_07-12-2012_8_3'!N1684,"AAAAAD/fedE=")</f>
        <v>#VALUE!</v>
      </c>
      <c r="HC112" t="e">
        <f>AND('Planilla_General_07-12-2012_8_3'!O1684,"AAAAAD/fedI=")</f>
        <v>#VALUE!</v>
      </c>
      <c r="HD112" t="e">
        <f>AND('Planilla_General_07-12-2012_8_3'!P1684,"AAAAAD/fedM=")</f>
        <v>#VALUE!</v>
      </c>
      <c r="HE112">
        <f>IF('Planilla_General_07-12-2012_8_3'!1685:1685,"AAAAAD/fedQ=",0)</f>
        <v>0</v>
      </c>
      <c r="HF112" t="e">
        <f>AND('Planilla_General_07-12-2012_8_3'!A1685,"AAAAAD/fedU=")</f>
        <v>#VALUE!</v>
      </c>
      <c r="HG112" t="e">
        <f>AND('Planilla_General_07-12-2012_8_3'!B1685,"AAAAAD/fedY=")</f>
        <v>#VALUE!</v>
      </c>
      <c r="HH112" t="e">
        <f>AND('Planilla_General_07-12-2012_8_3'!C1685,"AAAAAD/fedc=")</f>
        <v>#VALUE!</v>
      </c>
      <c r="HI112" t="e">
        <f>AND('Planilla_General_07-12-2012_8_3'!D1685,"AAAAAD/fedg=")</f>
        <v>#VALUE!</v>
      </c>
      <c r="HJ112" t="e">
        <f>AND('Planilla_General_07-12-2012_8_3'!E1685,"AAAAAD/fedk=")</f>
        <v>#VALUE!</v>
      </c>
      <c r="HK112" t="e">
        <f>AND('Planilla_General_07-12-2012_8_3'!F1685,"AAAAAD/fedo=")</f>
        <v>#VALUE!</v>
      </c>
      <c r="HL112" t="e">
        <f>AND('Planilla_General_07-12-2012_8_3'!G1685,"AAAAAD/feds=")</f>
        <v>#VALUE!</v>
      </c>
      <c r="HM112" t="e">
        <f>AND('Planilla_General_07-12-2012_8_3'!H1685,"AAAAAD/fedw=")</f>
        <v>#VALUE!</v>
      </c>
      <c r="HN112" t="e">
        <f>AND('Planilla_General_07-12-2012_8_3'!I1685,"AAAAAD/fed0=")</f>
        <v>#VALUE!</v>
      </c>
      <c r="HO112" t="e">
        <f>AND('Planilla_General_07-12-2012_8_3'!J1685,"AAAAAD/fed4=")</f>
        <v>#VALUE!</v>
      </c>
      <c r="HP112" t="e">
        <f>AND('Planilla_General_07-12-2012_8_3'!K1685,"AAAAAD/fed8=")</f>
        <v>#VALUE!</v>
      </c>
      <c r="HQ112" t="e">
        <f>AND('Planilla_General_07-12-2012_8_3'!L1685,"AAAAAD/feeA=")</f>
        <v>#VALUE!</v>
      </c>
      <c r="HR112" t="e">
        <f>AND('Planilla_General_07-12-2012_8_3'!M1685,"AAAAAD/feeE=")</f>
        <v>#VALUE!</v>
      </c>
      <c r="HS112" t="e">
        <f>AND('Planilla_General_07-12-2012_8_3'!N1685,"AAAAAD/feeI=")</f>
        <v>#VALUE!</v>
      </c>
      <c r="HT112" t="e">
        <f>AND('Planilla_General_07-12-2012_8_3'!O1685,"AAAAAD/feeM=")</f>
        <v>#VALUE!</v>
      </c>
      <c r="HU112" t="e">
        <f>AND('Planilla_General_07-12-2012_8_3'!P1685,"AAAAAD/feeQ=")</f>
        <v>#VALUE!</v>
      </c>
      <c r="HV112">
        <f>IF('Planilla_General_07-12-2012_8_3'!1686:1686,"AAAAAD/feeU=",0)</f>
        <v>0</v>
      </c>
      <c r="HW112" t="e">
        <f>AND('Planilla_General_07-12-2012_8_3'!A1686,"AAAAAD/feeY=")</f>
        <v>#VALUE!</v>
      </c>
      <c r="HX112" t="e">
        <f>AND('Planilla_General_07-12-2012_8_3'!B1686,"AAAAAD/feec=")</f>
        <v>#VALUE!</v>
      </c>
      <c r="HY112" t="e">
        <f>AND('Planilla_General_07-12-2012_8_3'!C1686,"AAAAAD/feeg=")</f>
        <v>#VALUE!</v>
      </c>
      <c r="HZ112" t="e">
        <f>AND('Planilla_General_07-12-2012_8_3'!D1686,"AAAAAD/feek=")</f>
        <v>#VALUE!</v>
      </c>
      <c r="IA112" t="e">
        <f>AND('Planilla_General_07-12-2012_8_3'!E1686,"AAAAAD/feeo=")</f>
        <v>#VALUE!</v>
      </c>
      <c r="IB112" t="e">
        <f>AND('Planilla_General_07-12-2012_8_3'!F1686,"AAAAAD/fees=")</f>
        <v>#VALUE!</v>
      </c>
      <c r="IC112" t="e">
        <f>AND('Planilla_General_07-12-2012_8_3'!G1686,"AAAAAD/feew=")</f>
        <v>#VALUE!</v>
      </c>
      <c r="ID112" t="e">
        <f>AND('Planilla_General_07-12-2012_8_3'!H1686,"AAAAAD/fee0=")</f>
        <v>#VALUE!</v>
      </c>
      <c r="IE112" t="e">
        <f>AND('Planilla_General_07-12-2012_8_3'!I1686,"AAAAAD/fee4=")</f>
        <v>#VALUE!</v>
      </c>
      <c r="IF112" t="e">
        <f>AND('Planilla_General_07-12-2012_8_3'!J1686,"AAAAAD/fee8=")</f>
        <v>#VALUE!</v>
      </c>
      <c r="IG112" t="e">
        <f>AND('Planilla_General_07-12-2012_8_3'!K1686,"AAAAAD/fefA=")</f>
        <v>#VALUE!</v>
      </c>
      <c r="IH112" t="e">
        <f>AND('Planilla_General_07-12-2012_8_3'!L1686,"AAAAAD/fefE=")</f>
        <v>#VALUE!</v>
      </c>
      <c r="II112" t="e">
        <f>AND('Planilla_General_07-12-2012_8_3'!M1686,"AAAAAD/fefI=")</f>
        <v>#VALUE!</v>
      </c>
      <c r="IJ112" t="e">
        <f>AND('Planilla_General_07-12-2012_8_3'!N1686,"AAAAAD/fefM=")</f>
        <v>#VALUE!</v>
      </c>
      <c r="IK112" t="e">
        <f>AND('Planilla_General_07-12-2012_8_3'!O1686,"AAAAAD/fefQ=")</f>
        <v>#VALUE!</v>
      </c>
      <c r="IL112" t="e">
        <f>AND('Planilla_General_07-12-2012_8_3'!P1686,"AAAAAD/fefU=")</f>
        <v>#VALUE!</v>
      </c>
      <c r="IM112">
        <f>IF('Planilla_General_07-12-2012_8_3'!1687:1687,"AAAAAD/fefY=",0)</f>
        <v>0</v>
      </c>
      <c r="IN112" t="e">
        <f>AND('Planilla_General_07-12-2012_8_3'!A1687,"AAAAAD/fefc=")</f>
        <v>#VALUE!</v>
      </c>
      <c r="IO112" t="e">
        <f>AND('Planilla_General_07-12-2012_8_3'!B1687,"AAAAAD/fefg=")</f>
        <v>#VALUE!</v>
      </c>
      <c r="IP112" t="e">
        <f>AND('Planilla_General_07-12-2012_8_3'!C1687,"AAAAAD/fefk=")</f>
        <v>#VALUE!</v>
      </c>
      <c r="IQ112" t="e">
        <f>AND('Planilla_General_07-12-2012_8_3'!D1687,"AAAAAD/fefo=")</f>
        <v>#VALUE!</v>
      </c>
      <c r="IR112" t="e">
        <f>AND('Planilla_General_07-12-2012_8_3'!E1687,"AAAAAD/fefs=")</f>
        <v>#VALUE!</v>
      </c>
      <c r="IS112" t="e">
        <f>AND('Planilla_General_07-12-2012_8_3'!F1687,"AAAAAD/fefw=")</f>
        <v>#VALUE!</v>
      </c>
      <c r="IT112" t="e">
        <f>AND('Planilla_General_07-12-2012_8_3'!G1687,"AAAAAD/fef0=")</f>
        <v>#VALUE!</v>
      </c>
      <c r="IU112" t="e">
        <f>AND('Planilla_General_07-12-2012_8_3'!H1687,"AAAAAD/fef4=")</f>
        <v>#VALUE!</v>
      </c>
      <c r="IV112" t="e">
        <f>AND('Planilla_General_07-12-2012_8_3'!I1687,"AAAAAD/fef8=")</f>
        <v>#VALUE!</v>
      </c>
    </row>
    <row r="113" spans="1:256" x14ac:dyDescent="0.25">
      <c r="A113" t="e">
        <f>AND('Planilla_General_07-12-2012_8_3'!J1687,"AAAAABq/mQA=")</f>
        <v>#VALUE!</v>
      </c>
      <c r="B113" t="e">
        <f>AND('Planilla_General_07-12-2012_8_3'!K1687,"AAAAABq/mQE=")</f>
        <v>#VALUE!</v>
      </c>
      <c r="C113" t="e">
        <f>AND('Planilla_General_07-12-2012_8_3'!L1687,"AAAAABq/mQI=")</f>
        <v>#VALUE!</v>
      </c>
      <c r="D113" t="e">
        <f>AND('Planilla_General_07-12-2012_8_3'!M1687,"AAAAABq/mQM=")</f>
        <v>#VALUE!</v>
      </c>
      <c r="E113" t="e">
        <f>AND('Planilla_General_07-12-2012_8_3'!N1687,"AAAAABq/mQQ=")</f>
        <v>#VALUE!</v>
      </c>
      <c r="F113" t="e">
        <f>AND('Planilla_General_07-12-2012_8_3'!O1687,"AAAAABq/mQU=")</f>
        <v>#VALUE!</v>
      </c>
      <c r="G113" t="e">
        <f>AND('Planilla_General_07-12-2012_8_3'!P1687,"AAAAABq/mQY=")</f>
        <v>#VALUE!</v>
      </c>
      <c r="H113" t="e">
        <f>IF('Planilla_General_07-12-2012_8_3'!1688:1688,"AAAAABq/mQc=",0)</f>
        <v>#VALUE!</v>
      </c>
      <c r="I113" t="e">
        <f>AND('Planilla_General_07-12-2012_8_3'!A1688,"AAAAABq/mQg=")</f>
        <v>#VALUE!</v>
      </c>
      <c r="J113" t="e">
        <f>AND('Planilla_General_07-12-2012_8_3'!B1688,"AAAAABq/mQk=")</f>
        <v>#VALUE!</v>
      </c>
      <c r="K113" t="e">
        <f>AND('Planilla_General_07-12-2012_8_3'!C1688,"AAAAABq/mQo=")</f>
        <v>#VALUE!</v>
      </c>
      <c r="L113" t="e">
        <f>AND('Planilla_General_07-12-2012_8_3'!D1688,"AAAAABq/mQs=")</f>
        <v>#VALUE!</v>
      </c>
      <c r="M113" t="e">
        <f>AND('Planilla_General_07-12-2012_8_3'!E1688,"AAAAABq/mQw=")</f>
        <v>#VALUE!</v>
      </c>
      <c r="N113" t="e">
        <f>AND('Planilla_General_07-12-2012_8_3'!F1688,"AAAAABq/mQ0=")</f>
        <v>#VALUE!</v>
      </c>
      <c r="O113" t="e">
        <f>AND('Planilla_General_07-12-2012_8_3'!G1688,"AAAAABq/mQ4=")</f>
        <v>#VALUE!</v>
      </c>
      <c r="P113" t="e">
        <f>AND('Planilla_General_07-12-2012_8_3'!H1688,"AAAAABq/mQ8=")</f>
        <v>#VALUE!</v>
      </c>
      <c r="Q113" t="e">
        <f>AND('Planilla_General_07-12-2012_8_3'!I1688,"AAAAABq/mRA=")</f>
        <v>#VALUE!</v>
      </c>
      <c r="R113" t="e">
        <f>AND('Planilla_General_07-12-2012_8_3'!J1688,"AAAAABq/mRE=")</f>
        <v>#VALUE!</v>
      </c>
      <c r="S113" t="e">
        <f>AND('Planilla_General_07-12-2012_8_3'!K1688,"AAAAABq/mRI=")</f>
        <v>#VALUE!</v>
      </c>
      <c r="T113" t="e">
        <f>AND('Planilla_General_07-12-2012_8_3'!L1688,"AAAAABq/mRM=")</f>
        <v>#VALUE!</v>
      </c>
      <c r="U113" t="e">
        <f>AND('Planilla_General_07-12-2012_8_3'!M1688,"AAAAABq/mRQ=")</f>
        <v>#VALUE!</v>
      </c>
      <c r="V113" t="e">
        <f>AND('Planilla_General_07-12-2012_8_3'!N1688,"AAAAABq/mRU=")</f>
        <v>#VALUE!</v>
      </c>
      <c r="W113" t="e">
        <f>AND('Planilla_General_07-12-2012_8_3'!O1688,"AAAAABq/mRY=")</f>
        <v>#VALUE!</v>
      </c>
      <c r="X113" t="e">
        <f>AND('Planilla_General_07-12-2012_8_3'!P1688,"AAAAABq/mRc=")</f>
        <v>#VALUE!</v>
      </c>
      <c r="Y113">
        <f>IF('Planilla_General_07-12-2012_8_3'!1689:1689,"AAAAABq/mRg=",0)</f>
        <v>0</v>
      </c>
      <c r="Z113" t="e">
        <f>AND('Planilla_General_07-12-2012_8_3'!A1689,"AAAAABq/mRk=")</f>
        <v>#VALUE!</v>
      </c>
      <c r="AA113" t="e">
        <f>AND('Planilla_General_07-12-2012_8_3'!B1689,"AAAAABq/mRo=")</f>
        <v>#VALUE!</v>
      </c>
      <c r="AB113" t="e">
        <f>AND('Planilla_General_07-12-2012_8_3'!C1689,"AAAAABq/mRs=")</f>
        <v>#VALUE!</v>
      </c>
      <c r="AC113" t="e">
        <f>AND('Planilla_General_07-12-2012_8_3'!D1689,"AAAAABq/mRw=")</f>
        <v>#VALUE!</v>
      </c>
      <c r="AD113" t="e">
        <f>AND('Planilla_General_07-12-2012_8_3'!E1689,"AAAAABq/mR0=")</f>
        <v>#VALUE!</v>
      </c>
      <c r="AE113" t="e">
        <f>AND('Planilla_General_07-12-2012_8_3'!F1689,"AAAAABq/mR4=")</f>
        <v>#VALUE!</v>
      </c>
      <c r="AF113" t="e">
        <f>AND('Planilla_General_07-12-2012_8_3'!G1689,"AAAAABq/mR8=")</f>
        <v>#VALUE!</v>
      </c>
      <c r="AG113" t="e">
        <f>AND('Planilla_General_07-12-2012_8_3'!H1689,"AAAAABq/mSA=")</f>
        <v>#VALUE!</v>
      </c>
      <c r="AH113" t="e">
        <f>AND('Planilla_General_07-12-2012_8_3'!I1689,"AAAAABq/mSE=")</f>
        <v>#VALUE!</v>
      </c>
      <c r="AI113" t="e">
        <f>AND('Planilla_General_07-12-2012_8_3'!J1689,"AAAAABq/mSI=")</f>
        <v>#VALUE!</v>
      </c>
      <c r="AJ113" t="e">
        <f>AND('Planilla_General_07-12-2012_8_3'!K1689,"AAAAABq/mSM=")</f>
        <v>#VALUE!</v>
      </c>
      <c r="AK113" t="e">
        <f>AND('Planilla_General_07-12-2012_8_3'!L1689,"AAAAABq/mSQ=")</f>
        <v>#VALUE!</v>
      </c>
      <c r="AL113" t="e">
        <f>AND('Planilla_General_07-12-2012_8_3'!M1689,"AAAAABq/mSU=")</f>
        <v>#VALUE!</v>
      </c>
      <c r="AM113" t="e">
        <f>AND('Planilla_General_07-12-2012_8_3'!N1689,"AAAAABq/mSY=")</f>
        <v>#VALUE!</v>
      </c>
      <c r="AN113" t="e">
        <f>AND('Planilla_General_07-12-2012_8_3'!O1689,"AAAAABq/mSc=")</f>
        <v>#VALUE!</v>
      </c>
      <c r="AO113" t="e">
        <f>AND('Planilla_General_07-12-2012_8_3'!P1689,"AAAAABq/mSg=")</f>
        <v>#VALUE!</v>
      </c>
      <c r="AP113">
        <f>IF('Planilla_General_07-12-2012_8_3'!1690:1690,"AAAAABq/mSk=",0)</f>
        <v>0</v>
      </c>
      <c r="AQ113" t="e">
        <f>AND('Planilla_General_07-12-2012_8_3'!A1690,"AAAAABq/mSo=")</f>
        <v>#VALUE!</v>
      </c>
      <c r="AR113" t="e">
        <f>AND('Planilla_General_07-12-2012_8_3'!B1690,"AAAAABq/mSs=")</f>
        <v>#VALUE!</v>
      </c>
      <c r="AS113" t="e">
        <f>AND('Planilla_General_07-12-2012_8_3'!C1690,"AAAAABq/mSw=")</f>
        <v>#VALUE!</v>
      </c>
      <c r="AT113" t="e">
        <f>AND('Planilla_General_07-12-2012_8_3'!D1690,"AAAAABq/mS0=")</f>
        <v>#VALUE!</v>
      </c>
      <c r="AU113" t="e">
        <f>AND('Planilla_General_07-12-2012_8_3'!E1690,"AAAAABq/mS4=")</f>
        <v>#VALUE!</v>
      </c>
      <c r="AV113" t="e">
        <f>AND('Planilla_General_07-12-2012_8_3'!F1690,"AAAAABq/mS8=")</f>
        <v>#VALUE!</v>
      </c>
      <c r="AW113" t="e">
        <f>AND('Planilla_General_07-12-2012_8_3'!G1690,"AAAAABq/mTA=")</f>
        <v>#VALUE!</v>
      </c>
      <c r="AX113" t="e">
        <f>AND('Planilla_General_07-12-2012_8_3'!H1690,"AAAAABq/mTE=")</f>
        <v>#VALUE!</v>
      </c>
      <c r="AY113" t="e">
        <f>AND('Planilla_General_07-12-2012_8_3'!I1690,"AAAAABq/mTI=")</f>
        <v>#VALUE!</v>
      </c>
      <c r="AZ113" t="e">
        <f>AND('Planilla_General_07-12-2012_8_3'!J1690,"AAAAABq/mTM=")</f>
        <v>#VALUE!</v>
      </c>
      <c r="BA113" t="e">
        <f>AND('Planilla_General_07-12-2012_8_3'!K1690,"AAAAABq/mTQ=")</f>
        <v>#VALUE!</v>
      </c>
      <c r="BB113" t="e">
        <f>AND('Planilla_General_07-12-2012_8_3'!L1690,"AAAAABq/mTU=")</f>
        <v>#VALUE!</v>
      </c>
      <c r="BC113" t="e">
        <f>AND('Planilla_General_07-12-2012_8_3'!M1690,"AAAAABq/mTY=")</f>
        <v>#VALUE!</v>
      </c>
      <c r="BD113" t="e">
        <f>AND('Planilla_General_07-12-2012_8_3'!N1690,"AAAAABq/mTc=")</f>
        <v>#VALUE!</v>
      </c>
      <c r="BE113" t="e">
        <f>AND('Planilla_General_07-12-2012_8_3'!O1690,"AAAAABq/mTg=")</f>
        <v>#VALUE!</v>
      </c>
      <c r="BF113" t="e">
        <f>AND('Planilla_General_07-12-2012_8_3'!P1690,"AAAAABq/mTk=")</f>
        <v>#VALUE!</v>
      </c>
      <c r="BG113">
        <f>IF('Planilla_General_07-12-2012_8_3'!1691:1691,"AAAAABq/mTo=",0)</f>
        <v>0</v>
      </c>
      <c r="BH113" t="e">
        <f>AND('Planilla_General_07-12-2012_8_3'!A1691,"AAAAABq/mTs=")</f>
        <v>#VALUE!</v>
      </c>
      <c r="BI113" t="e">
        <f>AND('Planilla_General_07-12-2012_8_3'!B1691,"AAAAABq/mTw=")</f>
        <v>#VALUE!</v>
      </c>
      <c r="BJ113" t="e">
        <f>AND('Planilla_General_07-12-2012_8_3'!C1691,"AAAAABq/mT0=")</f>
        <v>#VALUE!</v>
      </c>
      <c r="BK113" t="e">
        <f>AND('Planilla_General_07-12-2012_8_3'!D1691,"AAAAABq/mT4=")</f>
        <v>#VALUE!</v>
      </c>
      <c r="BL113" t="e">
        <f>AND('Planilla_General_07-12-2012_8_3'!E1691,"AAAAABq/mT8=")</f>
        <v>#VALUE!</v>
      </c>
      <c r="BM113" t="e">
        <f>AND('Planilla_General_07-12-2012_8_3'!F1691,"AAAAABq/mUA=")</f>
        <v>#VALUE!</v>
      </c>
      <c r="BN113" t="e">
        <f>AND('Planilla_General_07-12-2012_8_3'!G1691,"AAAAABq/mUE=")</f>
        <v>#VALUE!</v>
      </c>
      <c r="BO113" t="e">
        <f>AND('Planilla_General_07-12-2012_8_3'!H1691,"AAAAABq/mUI=")</f>
        <v>#VALUE!</v>
      </c>
      <c r="BP113" t="e">
        <f>AND('Planilla_General_07-12-2012_8_3'!I1691,"AAAAABq/mUM=")</f>
        <v>#VALUE!</v>
      </c>
      <c r="BQ113" t="e">
        <f>AND('Planilla_General_07-12-2012_8_3'!J1691,"AAAAABq/mUQ=")</f>
        <v>#VALUE!</v>
      </c>
      <c r="BR113" t="e">
        <f>AND('Planilla_General_07-12-2012_8_3'!K1691,"AAAAABq/mUU=")</f>
        <v>#VALUE!</v>
      </c>
      <c r="BS113" t="e">
        <f>AND('Planilla_General_07-12-2012_8_3'!L1691,"AAAAABq/mUY=")</f>
        <v>#VALUE!</v>
      </c>
      <c r="BT113" t="e">
        <f>AND('Planilla_General_07-12-2012_8_3'!M1691,"AAAAABq/mUc=")</f>
        <v>#VALUE!</v>
      </c>
      <c r="BU113" t="e">
        <f>AND('Planilla_General_07-12-2012_8_3'!N1691,"AAAAABq/mUg=")</f>
        <v>#VALUE!</v>
      </c>
      <c r="BV113" t="e">
        <f>AND('Planilla_General_07-12-2012_8_3'!O1691,"AAAAABq/mUk=")</f>
        <v>#VALUE!</v>
      </c>
      <c r="BW113" t="e">
        <f>AND('Planilla_General_07-12-2012_8_3'!P1691,"AAAAABq/mUo=")</f>
        <v>#VALUE!</v>
      </c>
      <c r="BX113">
        <f>IF('Planilla_General_07-12-2012_8_3'!1692:1692,"AAAAABq/mUs=",0)</f>
        <v>0</v>
      </c>
      <c r="BY113" t="e">
        <f>AND('Planilla_General_07-12-2012_8_3'!A1692,"AAAAABq/mUw=")</f>
        <v>#VALUE!</v>
      </c>
      <c r="BZ113" t="e">
        <f>AND('Planilla_General_07-12-2012_8_3'!B1692,"AAAAABq/mU0=")</f>
        <v>#VALUE!</v>
      </c>
      <c r="CA113" t="e">
        <f>AND('Planilla_General_07-12-2012_8_3'!C1692,"AAAAABq/mU4=")</f>
        <v>#VALUE!</v>
      </c>
      <c r="CB113" t="e">
        <f>AND('Planilla_General_07-12-2012_8_3'!D1692,"AAAAABq/mU8=")</f>
        <v>#VALUE!</v>
      </c>
      <c r="CC113" t="e">
        <f>AND('Planilla_General_07-12-2012_8_3'!E1692,"AAAAABq/mVA=")</f>
        <v>#VALUE!</v>
      </c>
      <c r="CD113" t="e">
        <f>AND('Planilla_General_07-12-2012_8_3'!F1692,"AAAAABq/mVE=")</f>
        <v>#VALUE!</v>
      </c>
      <c r="CE113" t="e">
        <f>AND('Planilla_General_07-12-2012_8_3'!G1692,"AAAAABq/mVI=")</f>
        <v>#VALUE!</v>
      </c>
      <c r="CF113" t="e">
        <f>AND('Planilla_General_07-12-2012_8_3'!H1692,"AAAAABq/mVM=")</f>
        <v>#VALUE!</v>
      </c>
      <c r="CG113" t="e">
        <f>AND('Planilla_General_07-12-2012_8_3'!I1692,"AAAAABq/mVQ=")</f>
        <v>#VALUE!</v>
      </c>
      <c r="CH113" t="e">
        <f>AND('Planilla_General_07-12-2012_8_3'!J1692,"AAAAABq/mVU=")</f>
        <v>#VALUE!</v>
      </c>
      <c r="CI113" t="e">
        <f>AND('Planilla_General_07-12-2012_8_3'!K1692,"AAAAABq/mVY=")</f>
        <v>#VALUE!</v>
      </c>
      <c r="CJ113" t="e">
        <f>AND('Planilla_General_07-12-2012_8_3'!L1692,"AAAAABq/mVc=")</f>
        <v>#VALUE!</v>
      </c>
      <c r="CK113" t="e">
        <f>AND('Planilla_General_07-12-2012_8_3'!M1692,"AAAAABq/mVg=")</f>
        <v>#VALUE!</v>
      </c>
      <c r="CL113" t="e">
        <f>AND('Planilla_General_07-12-2012_8_3'!N1692,"AAAAABq/mVk=")</f>
        <v>#VALUE!</v>
      </c>
      <c r="CM113" t="e">
        <f>AND('Planilla_General_07-12-2012_8_3'!O1692,"AAAAABq/mVo=")</f>
        <v>#VALUE!</v>
      </c>
      <c r="CN113" t="e">
        <f>AND('Planilla_General_07-12-2012_8_3'!P1692,"AAAAABq/mVs=")</f>
        <v>#VALUE!</v>
      </c>
      <c r="CO113">
        <f>IF('Planilla_General_07-12-2012_8_3'!1693:1693,"AAAAABq/mVw=",0)</f>
        <v>0</v>
      </c>
      <c r="CP113" t="e">
        <f>AND('Planilla_General_07-12-2012_8_3'!A1693,"AAAAABq/mV0=")</f>
        <v>#VALUE!</v>
      </c>
      <c r="CQ113" t="e">
        <f>AND('Planilla_General_07-12-2012_8_3'!B1693,"AAAAABq/mV4=")</f>
        <v>#VALUE!</v>
      </c>
      <c r="CR113" t="e">
        <f>AND('Planilla_General_07-12-2012_8_3'!C1693,"AAAAABq/mV8=")</f>
        <v>#VALUE!</v>
      </c>
      <c r="CS113" t="e">
        <f>AND('Planilla_General_07-12-2012_8_3'!D1693,"AAAAABq/mWA=")</f>
        <v>#VALUE!</v>
      </c>
      <c r="CT113" t="e">
        <f>AND('Planilla_General_07-12-2012_8_3'!E1693,"AAAAABq/mWE=")</f>
        <v>#VALUE!</v>
      </c>
      <c r="CU113" t="e">
        <f>AND('Planilla_General_07-12-2012_8_3'!F1693,"AAAAABq/mWI=")</f>
        <v>#VALUE!</v>
      </c>
      <c r="CV113" t="e">
        <f>AND('Planilla_General_07-12-2012_8_3'!G1693,"AAAAABq/mWM=")</f>
        <v>#VALUE!</v>
      </c>
      <c r="CW113" t="e">
        <f>AND('Planilla_General_07-12-2012_8_3'!H1693,"AAAAABq/mWQ=")</f>
        <v>#VALUE!</v>
      </c>
      <c r="CX113" t="e">
        <f>AND('Planilla_General_07-12-2012_8_3'!I1693,"AAAAABq/mWU=")</f>
        <v>#VALUE!</v>
      </c>
      <c r="CY113" t="e">
        <f>AND('Planilla_General_07-12-2012_8_3'!J1693,"AAAAABq/mWY=")</f>
        <v>#VALUE!</v>
      </c>
      <c r="CZ113" t="e">
        <f>AND('Planilla_General_07-12-2012_8_3'!K1693,"AAAAABq/mWc=")</f>
        <v>#VALUE!</v>
      </c>
      <c r="DA113" t="e">
        <f>AND('Planilla_General_07-12-2012_8_3'!L1693,"AAAAABq/mWg=")</f>
        <v>#VALUE!</v>
      </c>
      <c r="DB113" t="e">
        <f>AND('Planilla_General_07-12-2012_8_3'!M1693,"AAAAABq/mWk=")</f>
        <v>#VALUE!</v>
      </c>
      <c r="DC113" t="e">
        <f>AND('Planilla_General_07-12-2012_8_3'!N1693,"AAAAABq/mWo=")</f>
        <v>#VALUE!</v>
      </c>
      <c r="DD113" t="e">
        <f>AND('Planilla_General_07-12-2012_8_3'!O1693,"AAAAABq/mWs=")</f>
        <v>#VALUE!</v>
      </c>
      <c r="DE113" t="e">
        <f>AND('Planilla_General_07-12-2012_8_3'!P1693,"AAAAABq/mWw=")</f>
        <v>#VALUE!</v>
      </c>
      <c r="DF113">
        <f>IF('Planilla_General_07-12-2012_8_3'!1694:1694,"AAAAABq/mW0=",0)</f>
        <v>0</v>
      </c>
      <c r="DG113" t="e">
        <f>AND('Planilla_General_07-12-2012_8_3'!A1694,"AAAAABq/mW4=")</f>
        <v>#VALUE!</v>
      </c>
      <c r="DH113" t="e">
        <f>AND('Planilla_General_07-12-2012_8_3'!B1694,"AAAAABq/mW8=")</f>
        <v>#VALUE!</v>
      </c>
      <c r="DI113" t="e">
        <f>AND('Planilla_General_07-12-2012_8_3'!C1694,"AAAAABq/mXA=")</f>
        <v>#VALUE!</v>
      </c>
      <c r="DJ113" t="e">
        <f>AND('Planilla_General_07-12-2012_8_3'!D1694,"AAAAABq/mXE=")</f>
        <v>#VALUE!</v>
      </c>
      <c r="DK113" t="e">
        <f>AND('Planilla_General_07-12-2012_8_3'!E1694,"AAAAABq/mXI=")</f>
        <v>#VALUE!</v>
      </c>
      <c r="DL113" t="e">
        <f>AND('Planilla_General_07-12-2012_8_3'!F1694,"AAAAABq/mXM=")</f>
        <v>#VALUE!</v>
      </c>
      <c r="DM113" t="e">
        <f>AND('Planilla_General_07-12-2012_8_3'!G1694,"AAAAABq/mXQ=")</f>
        <v>#VALUE!</v>
      </c>
      <c r="DN113" t="e">
        <f>AND('Planilla_General_07-12-2012_8_3'!H1694,"AAAAABq/mXU=")</f>
        <v>#VALUE!</v>
      </c>
      <c r="DO113" t="e">
        <f>AND('Planilla_General_07-12-2012_8_3'!I1694,"AAAAABq/mXY=")</f>
        <v>#VALUE!</v>
      </c>
      <c r="DP113" t="e">
        <f>AND('Planilla_General_07-12-2012_8_3'!J1694,"AAAAABq/mXc=")</f>
        <v>#VALUE!</v>
      </c>
      <c r="DQ113" t="e">
        <f>AND('Planilla_General_07-12-2012_8_3'!K1694,"AAAAABq/mXg=")</f>
        <v>#VALUE!</v>
      </c>
      <c r="DR113" t="e">
        <f>AND('Planilla_General_07-12-2012_8_3'!L1694,"AAAAABq/mXk=")</f>
        <v>#VALUE!</v>
      </c>
      <c r="DS113" t="e">
        <f>AND('Planilla_General_07-12-2012_8_3'!M1694,"AAAAABq/mXo=")</f>
        <v>#VALUE!</v>
      </c>
      <c r="DT113" t="e">
        <f>AND('Planilla_General_07-12-2012_8_3'!N1694,"AAAAABq/mXs=")</f>
        <v>#VALUE!</v>
      </c>
      <c r="DU113" t="e">
        <f>AND('Planilla_General_07-12-2012_8_3'!O1694,"AAAAABq/mXw=")</f>
        <v>#VALUE!</v>
      </c>
      <c r="DV113" t="e">
        <f>AND('Planilla_General_07-12-2012_8_3'!P1694,"AAAAABq/mX0=")</f>
        <v>#VALUE!</v>
      </c>
      <c r="DW113">
        <f>IF('Planilla_General_07-12-2012_8_3'!1695:1695,"AAAAABq/mX4=",0)</f>
        <v>0</v>
      </c>
      <c r="DX113" t="e">
        <f>AND('Planilla_General_07-12-2012_8_3'!A1695,"AAAAABq/mX8=")</f>
        <v>#VALUE!</v>
      </c>
      <c r="DY113" t="e">
        <f>AND('Planilla_General_07-12-2012_8_3'!B1695,"AAAAABq/mYA=")</f>
        <v>#VALUE!</v>
      </c>
      <c r="DZ113" t="e">
        <f>AND('Planilla_General_07-12-2012_8_3'!C1695,"AAAAABq/mYE=")</f>
        <v>#VALUE!</v>
      </c>
      <c r="EA113" t="e">
        <f>AND('Planilla_General_07-12-2012_8_3'!D1695,"AAAAABq/mYI=")</f>
        <v>#VALUE!</v>
      </c>
      <c r="EB113" t="e">
        <f>AND('Planilla_General_07-12-2012_8_3'!E1695,"AAAAABq/mYM=")</f>
        <v>#VALUE!</v>
      </c>
      <c r="EC113" t="e">
        <f>AND('Planilla_General_07-12-2012_8_3'!F1695,"AAAAABq/mYQ=")</f>
        <v>#VALUE!</v>
      </c>
      <c r="ED113" t="e">
        <f>AND('Planilla_General_07-12-2012_8_3'!G1695,"AAAAABq/mYU=")</f>
        <v>#VALUE!</v>
      </c>
      <c r="EE113" t="e">
        <f>AND('Planilla_General_07-12-2012_8_3'!H1695,"AAAAABq/mYY=")</f>
        <v>#VALUE!</v>
      </c>
      <c r="EF113" t="e">
        <f>AND('Planilla_General_07-12-2012_8_3'!I1695,"AAAAABq/mYc=")</f>
        <v>#VALUE!</v>
      </c>
      <c r="EG113" t="e">
        <f>AND('Planilla_General_07-12-2012_8_3'!J1695,"AAAAABq/mYg=")</f>
        <v>#VALUE!</v>
      </c>
      <c r="EH113" t="e">
        <f>AND('Planilla_General_07-12-2012_8_3'!K1695,"AAAAABq/mYk=")</f>
        <v>#VALUE!</v>
      </c>
      <c r="EI113" t="e">
        <f>AND('Planilla_General_07-12-2012_8_3'!L1695,"AAAAABq/mYo=")</f>
        <v>#VALUE!</v>
      </c>
      <c r="EJ113" t="e">
        <f>AND('Planilla_General_07-12-2012_8_3'!M1695,"AAAAABq/mYs=")</f>
        <v>#VALUE!</v>
      </c>
      <c r="EK113" t="e">
        <f>AND('Planilla_General_07-12-2012_8_3'!N1695,"AAAAABq/mYw=")</f>
        <v>#VALUE!</v>
      </c>
      <c r="EL113" t="e">
        <f>AND('Planilla_General_07-12-2012_8_3'!O1695,"AAAAABq/mY0=")</f>
        <v>#VALUE!</v>
      </c>
      <c r="EM113" t="e">
        <f>AND('Planilla_General_07-12-2012_8_3'!P1695,"AAAAABq/mY4=")</f>
        <v>#VALUE!</v>
      </c>
      <c r="EN113">
        <f>IF('Planilla_General_07-12-2012_8_3'!1696:1696,"AAAAABq/mY8=",0)</f>
        <v>0</v>
      </c>
      <c r="EO113" t="e">
        <f>AND('Planilla_General_07-12-2012_8_3'!A1696,"AAAAABq/mZA=")</f>
        <v>#VALUE!</v>
      </c>
      <c r="EP113" t="e">
        <f>AND('Planilla_General_07-12-2012_8_3'!B1696,"AAAAABq/mZE=")</f>
        <v>#VALUE!</v>
      </c>
      <c r="EQ113" t="e">
        <f>AND('Planilla_General_07-12-2012_8_3'!C1696,"AAAAABq/mZI=")</f>
        <v>#VALUE!</v>
      </c>
      <c r="ER113" t="e">
        <f>AND('Planilla_General_07-12-2012_8_3'!D1696,"AAAAABq/mZM=")</f>
        <v>#VALUE!</v>
      </c>
      <c r="ES113" t="e">
        <f>AND('Planilla_General_07-12-2012_8_3'!E1696,"AAAAABq/mZQ=")</f>
        <v>#VALUE!</v>
      </c>
      <c r="ET113" t="e">
        <f>AND('Planilla_General_07-12-2012_8_3'!F1696,"AAAAABq/mZU=")</f>
        <v>#VALUE!</v>
      </c>
      <c r="EU113" t="e">
        <f>AND('Planilla_General_07-12-2012_8_3'!G1696,"AAAAABq/mZY=")</f>
        <v>#VALUE!</v>
      </c>
      <c r="EV113" t="e">
        <f>AND('Planilla_General_07-12-2012_8_3'!H1696,"AAAAABq/mZc=")</f>
        <v>#VALUE!</v>
      </c>
      <c r="EW113" t="e">
        <f>AND('Planilla_General_07-12-2012_8_3'!I1696,"AAAAABq/mZg=")</f>
        <v>#VALUE!</v>
      </c>
      <c r="EX113" t="e">
        <f>AND('Planilla_General_07-12-2012_8_3'!J1696,"AAAAABq/mZk=")</f>
        <v>#VALUE!</v>
      </c>
      <c r="EY113" t="e">
        <f>AND('Planilla_General_07-12-2012_8_3'!K1696,"AAAAABq/mZo=")</f>
        <v>#VALUE!</v>
      </c>
      <c r="EZ113" t="e">
        <f>AND('Planilla_General_07-12-2012_8_3'!L1696,"AAAAABq/mZs=")</f>
        <v>#VALUE!</v>
      </c>
      <c r="FA113" t="e">
        <f>AND('Planilla_General_07-12-2012_8_3'!M1696,"AAAAABq/mZw=")</f>
        <v>#VALUE!</v>
      </c>
      <c r="FB113" t="e">
        <f>AND('Planilla_General_07-12-2012_8_3'!N1696,"AAAAABq/mZ0=")</f>
        <v>#VALUE!</v>
      </c>
      <c r="FC113" t="e">
        <f>AND('Planilla_General_07-12-2012_8_3'!O1696,"AAAAABq/mZ4=")</f>
        <v>#VALUE!</v>
      </c>
      <c r="FD113" t="e">
        <f>AND('Planilla_General_07-12-2012_8_3'!P1696,"AAAAABq/mZ8=")</f>
        <v>#VALUE!</v>
      </c>
      <c r="FE113">
        <f>IF('Planilla_General_07-12-2012_8_3'!1697:1697,"AAAAABq/maA=",0)</f>
        <v>0</v>
      </c>
      <c r="FF113" t="e">
        <f>AND('Planilla_General_07-12-2012_8_3'!A1697,"AAAAABq/maE=")</f>
        <v>#VALUE!</v>
      </c>
      <c r="FG113" t="e">
        <f>AND('Planilla_General_07-12-2012_8_3'!B1697,"AAAAABq/maI=")</f>
        <v>#VALUE!</v>
      </c>
      <c r="FH113" t="e">
        <f>AND('Planilla_General_07-12-2012_8_3'!C1697,"AAAAABq/maM=")</f>
        <v>#VALUE!</v>
      </c>
      <c r="FI113" t="e">
        <f>AND('Planilla_General_07-12-2012_8_3'!D1697,"AAAAABq/maQ=")</f>
        <v>#VALUE!</v>
      </c>
      <c r="FJ113" t="e">
        <f>AND('Planilla_General_07-12-2012_8_3'!E1697,"AAAAABq/maU=")</f>
        <v>#VALUE!</v>
      </c>
      <c r="FK113" t="e">
        <f>AND('Planilla_General_07-12-2012_8_3'!F1697,"AAAAABq/maY=")</f>
        <v>#VALUE!</v>
      </c>
      <c r="FL113" t="e">
        <f>AND('Planilla_General_07-12-2012_8_3'!G1697,"AAAAABq/mac=")</f>
        <v>#VALUE!</v>
      </c>
      <c r="FM113" t="e">
        <f>AND('Planilla_General_07-12-2012_8_3'!H1697,"AAAAABq/mag=")</f>
        <v>#VALUE!</v>
      </c>
      <c r="FN113" t="e">
        <f>AND('Planilla_General_07-12-2012_8_3'!I1697,"AAAAABq/mak=")</f>
        <v>#VALUE!</v>
      </c>
      <c r="FO113" t="e">
        <f>AND('Planilla_General_07-12-2012_8_3'!J1697,"AAAAABq/mao=")</f>
        <v>#VALUE!</v>
      </c>
      <c r="FP113" t="e">
        <f>AND('Planilla_General_07-12-2012_8_3'!K1697,"AAAAABq/mas=")</f>
        <v>#VALUE!</v>
      </c>
      <c r="FQ113" t="e">
        <f>AND('Planilla_General_07-12-2012_8_3'!L1697,"AAAAABq/maw=")</f>
        <v>#VALUE!</v>
      </c>
      <c r="FR113" t="e">
        <f>AND('Planilla_General_07-12-2012_8_3'!M1697,"AAAAABq/ma0=")</f>
        <v>#VALUE!</v>
      </c>
      <c r="FS113" t="e">
        <f>AND('Planilla_General_07-12-2012_8_3'!N1697,"AAAAABq/ma4=")</f>
        <v>#VALUE!</v>
      </c>
      <c r="FT113" t="e">
        <f>AND('Planilla_General_07-12-2012_8_3'!O1697,"AAAAABq/ma8=")</f>
        <v>#VALUE!</v>
      </c>
      <c r="FU113" t="e">
        <f>AND('Planilla_General_07-12-2012_8_3'!P1697,"AAAAABq/mbA=")</f>
        <v>#VALUE!</v>
      </c>
      <c r="FV113">
        <f>IF('Planilla_General_07-12-2012_8_3'!1698:1698,"AAAAABq/mbE=",0)</f>
        <v>0</v>
      </c>
      <c r="FW113" t="e">
        <f>AND('Planilla_General_07-12-2012_8_3'!A1698,"AAAAABq/mbI=")</f>
        <v>#VALUE!</v>
      </c>
      <c r="FX113" t="e">
        <f>AND('Planilla_General_07-12-2012_8_3'!B1698,"AAAAABq/mbM=")</f>
        <v>#VALUE!</v>
      </c>
      <c r="FY113" t="e">
        <f>AND('Planilla_General_07-12-2012_8_3'!C1698,"AAAAABq/mbQ=")</f>
        <v>#VALUE!</v>
      </c>
      <c r="FZ113" t="e">
        <f>AND('Planilla_General_07-12-2012_8_3'!D1698,"AAAAABq/mbU=")</f>
        <v>#VALUE!</v>
      </c>
      <c r="GA113" t="e">
        <f>AND('Planilla_General_07-12-2012_8_3'!E1698,"AAAAABq/mbY=")</f>
        <v>#VALUE!</v>
      </c>
      <c r="GB113" t="e">
        <f>AND('Planilla_General_07-12-2012_8_3'!F1698,"AAAAABq/mbc=")</f>
        <v>#VALUE!</v>
      </c>
      <c r="GC113" t="e">
        <f>AND('Planilla_General_07-12-2012_8_3'!G1698,"AAAAABq/mbg=")</f>
        <v>#VALUE!</v>
      </c>
      <c r="GD113" t="e">
        <f>AND('Planilla_General_07-12-2012_8_3'!H1698,"AAAAABq/mbk=")</f>
        <v>#VALUE!</v>
      </c>
      <c r="GE113" t="e">
        <f>AND('Planilla_General_07-12-2012_8_3'!I1698,"AAAAABq/mbo=")</f>
        <v>#VALUE!</v>
      </c>
      <c r="GF113" t="e">
        <f>AND('Planilla_General_07-12-2012_8_3'!J1698,"AAAAABq/mbs=")</f>
        <v>#VALUE!</v>
      </c>
      <c r="GG113" t="e">
        <f>AND('Planilla_General_07-12-2012_8_3'!K1698,"AAAAABq/mbw=")</f>
        <v>#VALUE!</v>
      </c>
      <c r="GH113" t="e">
        <f>AND('Planilla_General_07-12-2012_8_3'!L1698,"AAAAABq/mb0=")</f>
        <v>#VALUE!</v>
      </c>
      <c r="GI113" t="e">
        <f>AND('Planilla_General_07-12-2012_8_3'!M1698,"AAAAABq/mb4=")</f>
        <v>#VALUE!</v>
      </c>
      <c r="GJ113" t="e">
        <f>AND('Planilla_General_07-12-2012_8_3'!N1698,"AAAAABq/mb8=")</f>
        <v>#VALUE!</v>
      </c>
      <c r="GK113" t="e">
        <f>AND('Planilla_General_07-12-2012_8_3'!O1698,"AAAAABq/mcA=")</f>
        <v>#VALUE!</v>
      </c>
      <c r="GL113" t="e">
        <f>AND('Planilla_General_07-12-2012_8_3'!P1698,"AAAAABq/mcE=")</f>
        <v>#VALUE!</v>
      </c>
      <c r="GM113">
        <f>IF('Planilla_General_07-12-2012_8_3'!1699:1699,"AAAAABq/mcI=",0)</f>
        <v>0</v>
      </c>
      <c r="GN113" t="e">
        <f>AND('Planilla_General_07-12-2012_8_3'!A1699,"AAAAABq/mcM=")</f>
        <v>#VALUE!</v>
      </c>
      <c r="GO113" t="e">
        <f>AND('Planilla_General_07-12-2012_8_3'!B1699,"AAAAABq/mcQ=")</f>
        <v>#VALUE!</v>
      </c>
      <c r="GP113" t="e">
        <f>AND('Planilla_General_07-12-2012_8_3'!C1699,"AAAAABq/mcU=")</f>
        <v>#VALUE!</v>
      </c>
      <c r="GQ113" t="e">
        <f>AND('Planilla_General_07-12-2012_8_3'!D1699,"AAAAABq/mcY=")</f>
        <v>#VALUE!</v>
      </c>
      <c r="GR113" t="e">
        <f>AND('Planilla_General_07-12-2012_8_3'!E1699,"AAAAABq/mcc=")</f>
        <v>#VALUE!</v>
      </c>
      <c r="GS113" t="e">
        <f>AND('Planilla_General_07-12-2012_8_3'!F1699,"AAAAABq/mcg=")</f>
        <v>#VALUE!</v>
      </c>
      <c r="GT113" t="e">
        <f>AND('Planilla_General_07-12-2012_8_3'!G1699,"AAAAABq/mck=")</f>
        <v>#VALUE!</v>
      </c>
      <c r="GU113" t="e">
        <f>AND('Planilla_General_07-12-2012_8_3'!H1699,"AAAAABq/mco=")</f>
        <v>#VALUE!</v>
      </c>
      <c r="GV113" t="e">
        <f>AND('Planilla_General_07-12-2012_8_3'!I1699,"AAAAABq/mcs=")</f>
        <v>#VALUE!</v>
      </c>
      <c r="GW113" t="e">
        <f>AND('Planilla_General_07-12-2012_8_3'!J1699,"AAAAABq/mcw=")</f>
        <v>#VALUE!</v>
      </c>
      <c r="GX113" t="e">
        <f>AND('Planilla_General_07-12-2012_8_3'!K1699,"AAAAABq/mc0=")</f>
        <v>#VALUE!</v>
      </c>
      <c r="GY113" t="e">
        <f>AND('Planilla_General_07-12-2012_8_3'!L1699,"AAAAABq/mc4=")</f>
        <v>#VALUE!</v>
      </c>
      <c r="GZ113" t="e">
        <f>AND('Planilla_General_07-12-2012_8_3'!M1699,"AAAAABq/mc8=")</f>
        <v>#VALUE!</v>
      </c>
      <c r="HA113" t="e">
        <f>AND('Planilla_General_07-12-2012_8_3'!N1699,"AAAAABq/mdA=")</f>
        <v>#VALUE!</v>
      </c>
      <c r="HB113" t="e">
        <f>AND('Planilla_General_07-12-2012_8_3'!O1699,"AAAAABq/mdE=")</f>
        <v>#VALUE!</v>
      </c>
      <c r="HC113" t="e">
        <f>AND('Planilla_General_07-12-2012_8_3'!P1699,"AAAAABq/mdI=")</f>
        <v>#VALUE!</v>
      </c>
      <c r="HD113">
        <f>IF('Planilla_General_07-12-2012_8_3'!1700:1700,"AAAAABq/mdM=",0)</f>
        <v>0</v>
      </c>
      <c r="HE113" t="e">
        <f>AND('Planilla_General_07-12-2012_8_3'!A1700,"AAAAABq/mdQ=")</f>
        <v>#VALUE!</v>
      </c>
      <c r="HF113" t="e">
        <f>AND('Planilla_General_07-12-2012_8_3'!B1700,"AAAAABq/mdU=")</f>
        <v>#VALUE!</v>
      </c>
      <c r="HG113" t="e">
        <f>AND('Planilla_General_07-12-2012_8_3'!C1700,"AAAAABq/mdY=")</f>
        <v>#VALUE!</v>
      </c>
      <c r="HH113" t="e">
        <f>AND('Planilla_General_07-12-2012_8_3'!D1700,"AAAAABq/mdc=")</f>
        <v>#VALUE!</v>
      </c>
      <c r="HI113" t="e">
        <f>AND('Planilla_General_07-12-2012_8_3'!E1700,"AAAAABq/mdg=")</f>
        <v>#VALUE!</v>
      </c>
      <c r="HJ113" t="e">
        <f>AND('Planilla_General_07-12-2012_8_3'!F1700,"AAAAABq/mdk=")</f>
        <v>#VALUE!</v>
      </c>
      <c r="HK113" t="e">
        <f>AND('Planilla_General_07-12-2012_8_3'!G1700,"AAAAABq/mdo=")</f>
        <v>#VALUE!</v>
      </c>
      <c r="HL113" t="e">
        <f>AND('Planilla_General_07-12-2012_8_3'!H1700,"AAAAABq/mds=")</f>
        <v>#VALUE!</v>
      </c>
      <c r="HM113" t="e">
        <f>AND('Planilla_General_07-12-2012_8_3'!I1700,"AAAAABq/mdw=")</f>
        <v>#VALUE!</v>
      </c>
      <c r="HN113" t="e">
        <f>AND('Planilla_General_07-12-2012_8_3'!J1700,"AAAAABq/md0=")</f>
        <v>#VALUE!</v>
      </c>
      <c r="HO113" t="e">
        <f>AND('Planilla_General_07-12-2012_8_3'!K1700,"AAAAABq/md4=")</f>
        <v>#VALUE!</v>
      </c>
      <c r="HP113" t="e">
        <f>AND('Planilla_General_07-12-2012_8_3'!L1700,"AAAAABq/md8=")</f>
        <v>#VALUE!</v>
      </c>
      <c r="HQ113" t="e">
        <f>AND('Planilla_General_07-12-2012_8_3'!M1700,"AAAAABq/meA=")</f>
        <v>#VALUE!</v>
      </c>
      <c r="HR113" t="e">
        <f>AND('Planilla_General_07-12-2012_8_3'!N1700,"AAAAABq/meE=")</f>
        <v>#VALUE!</v>
      </c>
      <c r="HS113" t="e">
        <f>AND('Planilla_General_07-12-2012_8_3'!O1700,"AAAAABq/meI=")</f>
        <v>#VALUE!</v>
      </c>
      <c r="HT113" t="e">
        <f>AND('Planilla_General_07-12-2012_8_3'!P1700,"AAAAABq/meM=")</f>
        <v>#VALUE!</v>
      </c>
      <c r="HU113">
        <f>IF('Planilla_General_07-12-2012_8_3'!1701:1701,"AAAAABq/meQ=",0)</f>
        <v>0</v>
      </c>
      <c r="HV113" t="e">
        <f>AND('Planilla_General_07-12-2012_8_3'!A1701,"AAAAABq/meU=")</f>
        <v>#VALUE!</v>
      </c>
      <c r="HW113" t="e">
        <f>AND('Planilla_General_07-12-2012_8_3'!B1701,"AAAAABq/meY=")</f>
        <v>#VALUE!</v>
      </c>
      <c r="HX113" t="e">
        <f>AND('Planilla_General_07-12-2012_8_3'!C1701,"AAAAABq/mec=")</f>
        <v>#VALUE!</v>
      </c>
      <c r="HY113" t="e">
        <f>AND('Planilla_General_07-12-2012_8_3'!D1701,"AAAAABq/meg=")</f>
        <v>#VALUE!</v>
      </c>
      <c r="HZ113" t="e">
        <f>AND('Planilla_General_07-12-2012_8_3'!E1701,"AAAAABq/mek=")</f>
        <v>#VALUE!</v>
      </c>
      <c r="IA113" t="e">
        <f>AND('Planilla_General_07-12-2012_8_3'!F1701,"AAAAABq/meo=")</f>
        <v>#VALUE!</v>
      </c>
      <c r="IB113" t="e">
        <f>AND('Planilla_General_07-12-2012_8_3'!G1701,"AAAAABq/mes=")</f>
        <v>#VALUE!</v>
      </c>
      <c r="IC113" t="e">
        <f>AND('Planilla_General_07-12-2012_8_3'!H1701,"AAAAABq/mew=")</f>
        <v>#VALUE!</v>
      </c>
      <c r="ID113" t="e">
        <f>AND('Planilla_General_07-12-2012_8_3'!I1701,"AAAAABq/me0=")</f>
        <v>#VALUE!</v>
      </c>
      <c r="IE113" t="e">
        <f>AND('Planilla_General_07-12-2012_8_3'!J1701,"AAAAABq/me4=")</f>
        <v>#VALUE!</v>
      </c>
      <c r="IF113" t="e">
        <f>AND('Planilla_General_07-12-2012_8_3'!K1701,"AAAAABq/me8=")</f>
        <v>#VALUE!</v>
      </c>
      <c r="IG113" t="e">
        <f>AND('Planilla_General_07-12-2012_8_3'!L1701,"AAAAABq/mfA=")</f>
        <v>#VALUE!</v>
      </c>
      <c r="IH113" t="e">
        <f>AND('Planilla_General_07-12-2012_8_3'!M1701,"AAAAABq/mfE=")</f>
        <v>#VALUE!</v>
      </c>
      <c r="II113" t="e">
        <f>AND('Planilla_General_07-12-2012_8_3'!N1701,"AAAAABq/mfI=")</f>
        <v>#VALUE!</v>
      </c>
      <c r="IJ113" t="e">
        <f>AND('Planilla_General_07-12-2012_8_3'!O1701,"AAAAABq/mfM=")</f>
        <v>#VALUE!</v>
      </c>
      <c r="IK113" t="e">
        <f>AND('Planilla_General_07-12-2012_8_3'!P1701,"AAAAABq/mfQ=")</f>
        <v>#VALUE!</v>
      </c>
      <c r="IL113">
        <f>IF('Planilla_General_07-12-2012_8_3'!1702:1702,"AAAAABq/mfU=",0)</f>
        <v>0</v>
      </c>
      <c r="IM113" t="e">
        <f>AND('Planilla_General_07-12-2012_8_3'!A1702,"AAAAABq/mfY=")</f>
        <v>#VALUE!</v>
      </c>
      <c r="IN113" t="e">
        <f>AND('Planilla_General_07-12-2012_8_3'!B1702,"AAAAABq/mfc=")</f>
        <v>#VALUE!</v>
      </c>
      <c r="IO113" t="e">
        <f>AND('Planilla_General_07-12-2012_8_3'!C1702,"AAAAABq/mfg=")</f>
        <v>#VALUE!</v>
      </c>
      <c r="IP113" t="e">
        <f>AND('Planilla_General_07-12-2012_8_3'!D1702,"AAAAABq/mfk=")</f>
        <v>#VALUE!</v>
      </c>
      <c r="IQ113" t="e">
        <f>AND('Planilla_General_07-12-2012_8_3'!E1702,"AAAAABq/mfo=")</f>
        <v>#VALUE!</v>
      </c>
      <c r="IR113" t="e">
        <f>AND('Planilla_General_07-12-2012_8_3'!F1702,"AAAAABq/mfs=")</f>
        <v>#VALUE!</v>
      </c>
      <c r="IS113" t="e">
        <f>AND('Planilla_General_07-12-2012_8_3'!G1702,"AAAAABq/mfw=")</f>
        <v>#VALUE!</v>
      </c>
      <c r="IT113" t="e">
        <f>AND('Planilla_General_07-12-2012_8_3'!H1702,"AAAAABq/mf0=")</f>
        <v>#VALUE!</v>
      </c>
      <c r="IU113" t="e">
        <f>AND('Planilla_General_07-12-2012_8_3'!I1702,"AAAAABq/mf4=")</f>
        <v>#VALUE!</v>
      </c>
      <c r="IV113" t="e">
        <f>AND('Planilla_General_07-12-2012_8_3'!J1702,"AAAAABq/mf8=")</f>
        <v>#VALUE!</v>
      </c>
    </row>
    <row r="114" spans="1:256" x14ac:dyDescent="0.25">
      <c r="A114" t="e">
        <f>AND('Planilla_General_07-12-2012_8_3'!K1702,"AAAAAF+pvwA=")</f>
        <v>#VALUE!</v>
      </c>
      <c r="B114" t="e">
        <f>AND('Planilla_General_07-12-2012_8_3'!L1702,"AAAAAF+pvwE=")</f>
        <v>#VALUE!</v>
      </c>
      <c r="C114" t="e">
        <f>AND('Planilla_General_07-12-2012_8_3'!M1702,"AAAAAF+pvwI=")</f>
        <v>#VALUE!</v>
      </c>
      <c r="D114" t="e">
        <f>AND('Planilla_General_07-12-2012_8_3'!N1702,"AAAAAF+pvwM=")</f>
        <v>#VALUE!</v>
      </c>
      <c r="E114" t="e">
        <f>AND('Planilla_General_07-12-2012_8_3'!O1702,"AAAAAF+pvwQ=")</f>
        <v>#VALUE!</v>
      </c>
      <c r="F114" t="e">
        <f>AND('Planilla_General_07-12-2012_8_3'!P1702,"AAAAAF+pvwU=")</f>
        <v>#VALUE!</v>
      </c>
      <c r="G114" t="e">
        <f>IF('Planilla_General_07-12-2012_8_3'!1703:1703,"AAAAAF+pvwY=",0)</f>
        <v>#VALUE!</v>
      </c>
      <c r="H114" t="e">
        <f>AND('Planilla_General_07-12-2012_8_3'!A1703,"AAAAAF+pvwc=")</f>
        <v>#VALUE!</v>
      </c>
      <c r="I114" t="e">
        <f>AND('Planilla_General_07-12-2012_8_3'!B1703,"AAAAAF+pvwg=")</f>
        <v>#VALUE!</v>
      </c>
      <c r="J114" t="e">
        <f>AND('Planilla_General_07-12-2012_8_3'!C1703,"AAAAAF+pvwk=")</f>
        <v>#VALUE!</v>
      </c>
      <c r="K114" t="e">
        <f>AND('Planilla_General_07-12-2012_8_3'!D1703,"AAAAAF+pvwo=")</f>
        <v>#VALUE!</v>
      </c>
      <c r="L114" t="e">
        <f>AND('Planilla_General_07-12-2012_8_3'!E1703,"AAAAAF+pvws=")</f>
        <v>#VALUE!</v>
      </c>
      <c r="M114" t="e">
        <f>AND('Planilla_General_07-12-2012_8_3'!F1703,"AAAAAF+pvww=")</f>
        <v>#VALUE!</v>
      </c>
      <c r="N114" t="e">
        <f>AND('Planilla_General_07-12-2012_8_3'!G1703,"AAAAAF+pvw0=")</f>
        <v>#VALUE!</v>
      </c>
      <c r="O114" t="e">
        <f>AND('Planilla_General_07-12-2012_8_3'!H1703,"AAAAAF+pvw4=")</f>
        <v>#VALUE!</v>
      </c>
      <c r="P114" t="e">
        <f>AND('Planilla_General_07-12-2012_8_3'!I1703,"AAAAAF+pvw8=")</f>
        <v>#VALUE!</v>
      </c>
      <c r="Q114" t="e">
        <f>AND('Planilla_General_07-12-2012_8_3'!J1703,"AAAAAF+pvxA=")</f>
        <v>#VALUE!</v>
      </c>
      <c r="R114" t="e">
        <f>AND('Planilla_General_07-12-2012_8_3'!K1703,"AAAAAF+pvxE=")</f>
        <v>#VALUE!</v>
      </c>
      <c r="S114" t="e">
        <f>AND('Planilla_General_07-12-2012_8_3'!L1703,"AAAAAF+pvxI=")</f>
        <v>#VALUE!</v>
      </c>
      <c r="T114" t="e">
        <f>AND('Planilla_General_07-12-2012_8_3'!M1703,"AAAAAF+pvxM=")</f>
        <v>#VALUE!</v>
      </c>
      <c r="U114" t="e">
        <f>AND('Planilla_General_07-12-2012_8_3'!N1703,"AAAAAF+pvxQ=")</f>
        <v>#VALUE!</v>
      </c>
      <c r="V114" t="e">
        <f>AND('Planilla_General_07-12-2012_8_3'!O1703,"AAAAAF+pvxU=")</f>
        <v>#VALUE!</v>
      </c>
      <c r="W114" t="e">
        <f>AND('Planilla_General_07-12-2012_8_3'!P1703,"AAAAAF+pvxY=")</f>
        <v>#VALUE!</v>
      </c>
      <c r="X114">
        <f>IF('Planilla_General_07-12-2012_8_3'!1704:1704,"AAAAAF+pvxc=",0)</f>
        <v>0</v>
      </c>
      <c r="Y114" t="e">
        <f>AND('Planilla_General_07-12-2012_8_3'!A1704,"AAAAAF+pvxg=")</f>
        <v>#VALUE!</v>
      </c>
      <c r="Z114" t="e">
        <f>AND('Planilla_General_07-12-2012_8_3'!B1704,"AAAAAF+pvxk=")</f>
        <v>#VALUE!</v>
      </c>
      <c r="AA114" t="e">
        <f>AND('Planilla_General_07-12-2012_8_3'!C1704,"AAAAAF+pvxo=")</f>
        <v>#VALUE!</v>
      </c>
      <c r="AB114" t="e">
        <f>AND('Planilla_General_07-12-2012_8_3'!D1704,"AAAAAF+pvxs=")</f>
        <v>#VALUE!</v>
      </c>
      <c r="AC114" t="e">
        <f>AND('Planilla_General_07-12-2012_8_3'!E1704,"AAAAAF+pvxw=")</f>
        <v>#VALUE!</v>
      </c>
      <c r="AD114" t="e">
        <f>AND('Planilla_General_07-12-2012_8_3'!F1704,"AAAAAF+pvx0=")</f>
        <v>#VALUE!</v>
      </c>
      <c r="AE114" t="e">
        <f>AND('Planilla_General_07-12-2012_8_3'!G1704,"AAAAAF+pvx4=")</f>
        <v>#VALUE!</v>
      </c>
      <c r="AF114" t="e">
        <f>AND('Planilla_General_07-12-2012_8_3'!H1704,"AAAAAF+pvx8=")</f>
        <v>#VALUE!</v>
      </c>
      <c r="AG114" t="e">
        <f>AND('Planilla_General_07-12-2012_8_3'!I1704,"AAAAAF+pvyA=")</f>
        <v>#VALUE!</v>
      </c>
      <c r="AH114" t="e">
        <f>AND('Planilla_General_07-12-2012_8_3'!J1704,"AAAAAF+pvyE=")</f>
        <v>#VALUE!</v>
      </c>
      <c r="AI114" t="e">
        <f>AND('Planilla_General_07-12-2012_8_3'!K1704,"AAAAAF+pvyI=")</f>
        <v>#VALUE!</v>
      </c>
      <c r="AJ114" t="e">
        <f>AND('Planilla_General_07-12-2012_8_3'!L1704,"AAAAAF+pvyM=")</f>
        <v>#VALUE!</v>
      </c>
      <c r="AK114" t="e">
        <f>AND('Planilla_General_07-12-2012_8_3'!M1704,"AAAAAF+pvyQ=")</f>
        <v>#VALUE!</v>
      </c>
      <c r="AL114" t="e">
        <f>AND('Planilla_General_07-12-2012_8_3'!N1704,"AAAAAF+pvyU=")</f>
        <v>#VALUE!</v>
      </c>
      <c r="AM114" t="e">
        <f>AND('Planilla_General_07-12-2012_8_3'!O1704,"AAAAAF+pvyY=")</f>
        <v>#VALUE!</v>
      </c>
      <c r="AN114" t="e">
        <f>AND('Planilla_General_07-12-2012_8_3'!P1704,"AAAAAF+pvyc=")</f>
        <v>#VALUE!</v>
      </c>
      <c r="AO114">
        <f>IF('Planilla_General_07-12-2012_8_3'!1705:1705,"AAAAAF+pvyg=",0)</f>
        <v>0</v>
      </c>
      <c r="AP114" t="e">
        <f>AND('Planilla_General_07-12-2012_8_3'!A1705,"AAAAAF+pvyk=")</f>
        <v>#VALUE!</v>
      </c>
      <c r="AQ114" t="e">
        <f>AND('Planilla_General_07-12-2012_8_3'!B1705,"AAAAAF+pvyo=")</f>
        <v>#VALUE!</v>
      </c>
      <c r="AR114" t="e">
        <f>AND('Planilla_General_07-12-2012_8_3'!C1705,"AAAAAF+pvys=")</f>
        <v>#VALUE!</v>
      </c>
      <c r="AS114" t="e">
        <f>AND('Planilla_General_07-12-2012_8_3'!D1705,"AAAAAF+pvyw=")</f>
        <v>#VALUE!</v>
      </c>
      <c r="AT114" t="e">
        <f>AND('Planilla_General_07-12-2012_8_3'!E1705,"AAAAAF+pvy0=")</f>
        <v>#VALUE!</v>
      </c>
      <c r="AU114" t="e">
        <f>AND('Planilla_General_07-12-2012_8_3'!F1705,"AAAAAF+pvy4=")</f>
        <v>#VALUE!</v>
      </c>
      <c r="AV114" t="e">
        <f>AND('Planilla_General_07-12-2012_8_3'!G1705,"AAAAAF+pvy8=")</f>
        <v>#VALUE!</v>
      </c>
      <c r="AW114" t="e">
        <f>AND('Planilla_General_07-12-2012_8_3'!H1705,"AAAAAF+pvzA=")</f>
        <v>#VALUE!</v>
      </c>
      <c r="AX114" t="e">
        <f>AND('Planilla_General_07-12-2012_8_3'!I1705,"AAAAAF+pvzE=")</f>
        <v>#VALUE!</v>
      </c>
      <c r="AY114" t="e">
        <f>AND('Planilla_General_07-12-2012_8_3'!J1705,"AAAAAF+pvzI=")</f>
        <v>#VALUE!</v>
      </c>
      <c r="AZ114" t="e">
        <f>AND('Planilla_General_07-12-2012_8_3'!K1705,"AAAAAF+pvzM=")</f>
        <v>#VALUE!</v>
      </c>
      <c r="BA114" t="e">
        <f>AND('Planilla_General_07-12-2012_8_3'!L1705,"AAAAAF+pvzQ=")</f>
        <v>#VALUE!</v>
      </c>
      <c r="BB114" t="e">
        <f>AND('Planilla_General_07-12-2012_8_3'!M1705,"AAAAAF+pvzU=")</f>
        <v>#VALUE!</v>
      </c>
      <c r="BC114" t="e">
        <f>AND('Planilla_General_07-12-2012_8_3'!N1705,"AAAAAF+pvzY=")</f>
        <v>#VALUE!</v>
      </c>
      <c r="BD114" t="e">
        <f>AND('Planilla_General_07-12-2012_8_3'!O1705,"AAAAAF+pvzc=")</f>
        <v>#VALUE!</v>
      </c>
      <c r="BE114" t="e">
        <f>AND('Planilla_General_07-12-2012_8_3'!P1705,"AAAAAF+pvzg=")</f>
        <v>#VALUE!</v>
      </c>
      <c r="BF114">
        <f>IF('Planilla_General_07-12-2012_8_3'!1706:1706,"AAAAAF+pvzk=",0)</f>
        <v>0</v>
      </c>
      <c r="BG114" t="e">
        <f>AND('Planilla_General_07-12-2012_8_3'!A1706,"AAAAAF+pvzo=")</f>
        <v>#VALUE!</v>
      </c>
      <c r="BH114" t="e">
        <f>AND('Planilla_General_07-12-2012_8_3'!B1706,"AAAAAF+pvzs=")</f>
        <v>#VALUE!</v>
      </c>
      <c r="BI114" t="e">
        <f>AND('Planilla_General_07-12-2012_8_3'!C1706,"AAAAAF+pvzw=")</f>
        <v>#VALUE!</v>
      </c>
      <c r="BJ114" t="e">
        <f>AND('Planilla_General_07-12-2012_8_3'!D1706,"AAAAAF+pvz0=")</f>
        <v>#VALUE!</v>
      </c>
      <c r="BK114" t="e">
        <f>AND('Planilla_General_07-12-2012_8_3'!E1706,"AAAAAF+pvz4=")</f>
        <v>#VALUE!</v>
      </c>
      <c r="BL114" t="e">
        <f>AND('Planilla_General_07-12-2012_8_3'!F1706,"AAAAAF+pvz8=")</f>
        <v>#VALUE!</v>
      </c>
      <c r="BM114" t="e">
        <f>AND('Planilla_General_07-12-2012_8_3'!G1706,"AAAAAF+pv0A=")</f>
        <v>#VALUE!</v>
      </c>
      <c r="BN114" t="e">
        <f>AND('Planilla_General_07-12-2012_8_3'!H1706,"AAAAAF+pv0E=")</f>
        <v>#VALUE!</v>
      </c>
      <c r="BO114" t="e">
        <f>AND('Planilla_General_07-12-2012_8_3'!I1706,"AAAAAF+pv0I=")</f>
        <v>#VALUE!</v>
      </c>
      <c r="BP114" t="e">
        <f>AND('Planilla_General_07-12-2012_8_3'!J1706,"AAAAAF+pv0M=")</f>
        <v>#VALUE!</v>
      </c>
      <c r="BQ114" t="e">
        <f>AND('Planilla_General_07-12-2012_8_3'!K1706,"AAAAAF+pv0Q=")</f>
        <v>#VALUE!</v>
      </c>
      <c r="BR114" t="e">
        <f>AND('Planilla_General_07-12-2012_8_3'!L1706,"AAAAAF+pv0U=")</f>
        <v>#VALUE!</v>
      </c>
      <c r="BS114" t="e">
        <f>AND('Planilla_General_07-12-2012_8_3'!M1706,"AAAAAF+pv0Y=")</f>
        <v>#VALUE!</v>
      </c>
      <c r="BT114" t="e">
        <f>AND('Planilla_General_07-12-2012_8_3'!N1706,"AAAAAF+pv0c=")</f>
        <v>#VALUE!</v>
      </c>
      <c r="BU114" t="e">
        <f>AND('Planilla_General_07-12-2012_8_3'!O1706,"AAAAAF+pv0g=")</f>
        <v>#VALUE!</v>
      </c>
      <c r="BV114" t="e">
        <f>AND('Planilla_General_07-12-2012_8_3'!P1706,"AAAAAF+pv0k=")</f>
        <v>#VALUE!</v>
      </c>
      <c r="BW114">
        <f>IF('Planilla_General_07-12-2012_8_3'!1707:1707,"AAAAAF+pv0o=",0)</f>
        <v>0</v>
      </c>
      <c r="BX114" t="e">
        <f>AND('Planilla_General_07-12-2012_8_3'!A1707,"AAAAAF+pv0s=")</f>
        <v>#VALUE!</v>
      </c>
      <c r="BY114" t="e">
        <f>AND('Planilla_General_07-12-2012_8_3'!B1707,"AAAAAF+pv0w=")</f>
        <v>#VALUE!</v>
      </c>
      <c r="BZ114" t="e">
        <f>AND('Planilla_General_07-12-2012_8_3'!C1707,"AAAAAF+pv00=")</f>
        <v>#VALUE!</v>
      </c>
      <c r="CA114" t="e">
        <f>AND('Planilla_General_07-12-2012_8_3'!D1707,"AAAAAF+pv04=")</f>
        <v>#VALUE!</v>
      </c>
      <c r="CB114" t="e">
        <f>AND('Planilla_General_07-12-2012_8_3'!E1707,"AAAAAF+pv08=")</f>
        <v>#VALUE!</v>
      </c>
      <c r="CC114" t="e">
        <f>AND('Planilla_General_07-12-2012_8_3'!F1707,"AAAAAF+pv1A=")</f>
        <v>#VALUE!</v>
      </c>
      <c r="CD114" t="e">
        <f>AND('Planilla_General_07-12-2012_8_3'!G1707,"AAAAAF+pv1E=")</f>
        <v>#VALUE!</v>
      </c>
      <c r="CE114" t="e">
        <f>AND('Planilla_General_07-12-2012_8_3'!H1707,"AAAAAF+pv1I=")</f>
        <v>#VALUE!</v>
      </c>
      <c r="CF114" t="e">
        <f>AND('Planilla_General_07-12-2012_8_3'!I1707,"AAAAAF+pv1M=")</f>
        <v>#VALUE!</v>
      </c>
      <c r="CG114" t="e">
        <f>AND('Planilla_General_07-12-2012_8_3'!J1707,"AAAAAF+pv1Q=")</f>
        <v>#VALUE!</v>
      </c>
      <c r="CH114" t="e">
        <f>AND('Planilla_General_07-12-2012_8_3'!K1707,"AAAAAF+pv1U=")</f>
        <v>#VALUE!</v>
      </c>
      <c r="CI114" t="e">
        <f>AND('Planilla_General_07-12-2012_8_3'!L1707,"AAAAAF+pv1Y=")</f>
        <v>#VALUE!</v>
      </c>
      <c r="CJ114" t="e">
        <f>AND('Planilla_General_07-12-2012_8_3'!M1707,"AAAAAF+pv1c=")</f>
        <v>#VALUE!</v>
      </c>
      <c r="CK114" t="e">
        <f>AND('Planilla_General_07-12-2012_8_3'!N1707,"AAAAAF+pv1g=")</f>
        <v>#VALUE!</v>
      </c>
      <c r="CL114" t="e">
        <f>AND('Planilla_General_07-12-2012_8_3'!O1707,"AAAAAF+pv1k=")</f>
        <v>#VALUE!</v>
      </c>
      <c r="CM114" t="e">
        <f>AND('Planilla_General_07-12-2012_8_3'!P1707,"AAAAAF+pv1o=")</f>
        <v>#VALUE!</v>
      </c>
      <c r="CN114">
        <f>IF('Planilla_General_07-12-2012_8_3'!1708:1708,"AAAAAF+pv1s=",0)</f>
        <v>0</v>
      </c>
      <c r="CO114" t="e">
        <f>AND('Planilla_General_07-12-2012_8_3'!A1708,"AAAAAF+pv1w=")</f>
        <v>#VALUE!</v>
      </c>
      <c r="CP114" t="e">
        <f>AND('Planilla_General_07-12-2012_8_3'!B1708,"AAAAAF+pv10=")</f>
        <v>#VALUE!</v>
      </c>
      <c r="CQ114" t="e">
        <f>AND('Planilla_General_07-12-2012_8_3'!C1708,"AAAAAF+pv14=")</f>
        <v>#VALUE!</v>
      </c>
      <c r="CR114" t="e">
        <f>AND('Planilla_General_07-12-2012_8_3'!D1708,"AAAAAF+pv18=")</f>
        <v>#VALUE!</v>
      </c>
      <c r="CS114" t="e">
        <f>AND('Planilla_General_07-12-2012_8_3'!E1708,"AAAAAF+pv2A=")</f>
        <v>#VALUE!</v>
      </c>
      <c r="CT114" t="e">
        <f>AND('Planilla_General_07-12-2012_8_3'!F1708,"AAAAAF+pv2E=")</f>
        <v>#VALUE!</v>
      </c>
      <c r="CU114" t="e">
        <f>AND('Planilla_General_07-12-2012_8_3'!G1708,"AAAAAF+pv2I=")</f>
        <v>#VALUE!</v>
      </c>
      <c r="CV114" t="e">
        <f>AND('Planilla_General_07-12-2012_8_3'!H1708,"AAAAAF+pv2M=")</f>
        <v>#VALUE!</v>
      </c>
      <c r="CW114" t="e">
        <f>AND('Planilla_General_07-12-2012_8_3'!I1708,"AAAAAF+pv2Q=")</f>
        <v>#VALUE!</v>
      </c>
      <c r="CX114" t="e">
        <f>AND('Planilla_General_07-12-2012_8_3'!J1708,"AAAAAF+pv2U=")</f>
        <v>#VALUE!</v>
      </c>
      <c r="CY114" t="e">
        <f>AND('Planilla_General_07-12-2012_8_3'!K1708,"AAAAAF+pv2Y=")</f>
        <v>#VALUE!</v>
      </c>
      <c r="CZ114" t="e">
        <f>AND('Planilla_General_07-12-2012_8_3'!L1708,"AAAAAF+pv2c=")</f>
        <v>#VALUE!</v>
      </c>
      <c r="DA114" t="e">
        <f>AND('Planilla_General_07-12-2012_8_3'!M1708,"AAAAAF+pv2g=")</f>
        <v>#VALUE!</v>
      </c>
      <c r="DB114" t="e">
        <f>AND('Planilla_General_07-12-2012_8_3'!N1708,"AAAAAF+pv2k=")</f>
        <v>#VALUE!</v>
      </c>
      <c r="DC114" t="e">
        <f>AND('Planilla_General_07-12-2012_8_3'!O1708,"AAAAAF+pv2o=")</f>
        <v>#VALUE!</v>
      </c>
      <c r="DD114" t="e">
        <f>AND('Planilla_General_07-12-2012_8_3'!P1708,"AAAAAF+pv2s=")</f>
        <v>#VALUE!</v>
      </c>
      <c r="DE114">
        <f>IF('Planilla_General_07-12-2012_8_3'!1709:1709,"AAAAAF+pv2w=",0)</f>
        <v>0</v>
      </c>
      <c r="DF114" t="e">
        <f>AND('Planilla_General_07-12-2012_8_3'!A1709,"AAAAAF+pv20=")</f>
        <v>#VALUE!</v>
      </c>
      <c r="DG114" t="e">
        <f>AND('Planilla_General_07-12-2012_8_3'!B1709,"AAAAAF+pv24=")</f>
        <v>#VALUE!</v>
      </c>
      <c r="DH114" t="e">
        <f>AND('Planilla_General_07-12-2012_8_3'!C1709,"AAAAAF+pv28=")</f>
        <v>#VALUE!</v>
      </c>
      <c r="DI114" t="e">
        <f>AND('Planilla_General_07-12-2012_8_3'!D1709,"AAAAAF+pv3A=")</f>
        <v>#VALUE!</v>
      </c>
      <c r="DJ114" t="e">
        <f>AND('Planilla_General_07-12-2012_8_3'!E1709,"AAAAAF+pv3E=")</f>
        <v>#VALUE!</v>
      </c>
      <c r="DK114" t="e">
        <f>AND('Planilla_General_07-12-2012_8_3'!F1709,"AAAAAF+pv3I=")</f>
        <v>#VALUE!</v>
      </c>
      <c r="DL114" t="e">
        <f>AND('Planilla_General_07-12-2012_8_3'!G1709,"AAAAAF+pv3M=")</f>
        <v>#VALUE!</v>
      </c>
      <c r="DM114" t="e">
        <f>AND('Planilla_General_07-12-2012_8_3'!H1709,"AAAAAF+pv3Q=")</f>
        <v>#VALUE!</v>
      </c>
      <c r="DN114" t="e">
        <f>AND('Planilla_General_07-12-2012_8_3'!I1709,"AAAAAF+pv3U=")</f>
        <v>#VALUE!</v>
      </c>
      <c r="DO114" t="e">
        <f>AND('Planilla_General_07-12-2012_8_3'!J1709,"AAAAAF+pv3Y=")</f>
        <v>#VALUE!</v>
      </c>
      <c r="DP114" t="e">
        <f>AND('Planilla_General_07-12-2012_8_3'!K1709,"AAAAAF+pv3c=")</f>
        <v>#VALUE!</v>
      </c>
      <c r="DQ114" t="e">
        <f>AND('Planilla_General_07-12-2012_8_3'!L1709,"AAAAAF+pv3g=")</f>
        <v>#VALUE!</v>
      </c>
      <c r="DR114" t="e">
        <f>AND('Planilla_General_07-12-2012_8_3'!M1709,"AAAAAF+pv3k=")</f>
        <v>#VALUE!</v>
      </c>
      <c r="DS114" t="e">
        <f>AND('Planilla_General_07-12-2012_8_3'!N1709,"AAAAAF+pv3o=")</f>
        <v>#VALUE!</v>
      </c>
      <c r="DT114" t="e">
        <f>AND('Planilla_General_07-12-2012_8_3'!O1709,"AAAAAF+pv3s=")</f>
        <v>#VALUE!</v>
      </c>
      <c r="DU114" t="e">
        <f>AND('Planilla_General_07-12-2012_8_3'!P1709,"AAAAAF+pv3w=")</f>
        <v>#VALUE!</v>
      </c>
      <c r="DV114">
        <f>IF('Planilla_General_07-12-2012_8_3'!1710:1710,"AAAAAF+pv30=",0)</f>
        <v>0</v>
      </c>
      <c r="DW114" t="e">
        <f>AND('Planilla_General_07-12-2012_8_3'!A1710,"AAAAAF+pv34=")</f>
        <v>#VALUE!</v>
      </c>
      <c r="DX114" t="e">
        <f>AND('Planilla_General_07-12-2012_8_3'!B1710,"AAAAAF+pv38=")</f>
        <v>#VALUE!</v>
      </c>
      <c r="DY114" t="e">
        <f>AND('Planilla_General_07-12-2012_8_3'!C1710,"AAAAAF+pv4A=")</f>
        <v>#VALUE!</v>
      </c>
      <c r="DZ114" t="e">
        <f>AND('Planilla_General_07-12-2012_8_3'!D1710,"AAAAAF+pv4E=")</f>
        <v>#VALUE!</v>
      </c>
      <c r="EA114" t="e">
        <f>AND('Planilla_General_07-12-2012_8_3'!E1710,"AAAAAF+pv4I=")</f>
        <v>#VALUE!</v>
      </c>
      <c r="EB114" t="e">
        <f>AND('Planilla_General_07-12-2012_8_3'!F1710,"AAAAAF+pv4M=")</f>
        <v>#VALUE!</v>
      </c>
      <c r="EC114" t="e">
        <f>AND('Planilla_General_07-12-2012_8_3'!G1710,"AAAAAF+pv4Q=")</f>
        <v>#VALUE!</v>
      </c>
      <c r="ED114" t="e">
        <f>AND('Planilla_General_07-12-2012_8_3'!H1710,"AAAAAF+pv4U=")</f>
        <v>#VALUE!</v>
      </c>
      <c r="EE114" t="e">
        <f>AND('Planilla_General_07-12-2012_8_3'!I1710,"AAAAAF+pv4Y=")</f>
        <v>#VALUE!</v>
      </c>
      <c r="EF114" t="e">
        <f>AND('Planilla_General_07-12-2012_8_3'!J1710,"AAAAAF+pv4c=")</f>
        <v>#VALUE!</v>
      </c>
      <c r="EG114" t="e">
        <f>AND('Planilla_General_07-12-2012_8_3'!K1710,"AAAAAF+pv4g=")</f>
        <v>#VALUE!</v>
      </c>
      <c r="EH114" t="e">
        <f>AND('Planilla_General_07-12-2012_8_3'!L1710,"AAAAAF+pv4k=")</f>
        <v>#VALUE!</v>
      </c>
      <c r="EI114" t="e">
        <f>AND('Planilla_General_07-12-2012_8_3'!M1710,"AAAAAF+pv4o=")</f>
        <v>#VALUE!</v>
      </c>
      <c r="EJ114" t="e">
        <f>AND('Planilla_General_07-12-2012_8_3'!N1710,"AAAAAF+pv4s=")</f>
        <v>#VALUE!</v>
      </c>
      <c r="EK114" t="e">
        <f>AND('Planilla_General_07-12-2012_8_3'!O1710,"AAAAAF+pv4w=")</f>
        <v>#VALUE!</v>
      </c>
      <c r="EL114" t="e">
        <f>AND('Planilla_General_07-12-2012_8_3'!P1710,"AAAAAF+pv40=")</f>
        <v>#VALUE!</v>
      </c>
      <c r="EM114">
        <f>IF('Planilla_General_07-12-2012_8_3'!1711:1711,"AAAAAF+pv44=",0)</f>
        <v>0</v>
      </c>
      <c r="EN114" t="e">
        <f>AND('Planilla_General_07-12-2012_8_3'!A1711,"AAAAAF+pv48=")</f>
        <v>#VALUE!</v>
      </c>
      <c r="EO114" t="e">
        <f>AND('Planilla_General_07-12-2012_8_3'!B1711,"AAAAAF+pv5A=")</f>
        <v>#VALUE!</v>
      </c>
      <c r="EP114" t="e">
        <f>AND('Planilla_General_07-12-2012_8_3'!C1711,"AAAAAF+pv5E=")</f>
        <v>#VALUE!</v>
      </c>
      <c r="EQ114" t="e">
        <f>AND('Planilla_General_07-12-2012_8_3'!D1711,"AAAAAF+pv5I=")</f>
        <v>#VALUE!</v>
      </c>
      <c r="ER114" t="e">
        <f>AND('Planilla_General_07-12-2012_8_3'!E1711,"AAAAAF+pv5M=")</f>
        <v>#VALUE!</v>
      </c>
      <c r="ES114" t="e">
        <f>AND('Planilla_General_07-12-2012_8_3'!F1711,"AAAAAF+pv5Q=")</f>
        <v>#VALUE!</v>
      </c>
      <c r="ET114" t="e">
        <f>AND('Planilla_General_07-12-2012_8_3'!G1711,"AAAAAF+pv5U=")</f>
        <v>#VALUE!</v>
      </c>
      <c r="EU114" t="e">
        <f>AND('Planilla_General_07-12-2012_8_3'!H1711,"AAAAAF+pv5Y=")</f>
        <v>#VALUE!</v>
      </c>
      <c r="EV114" t="e">
        <f>AND('Planilla_General_07-12-2012_8_3'!I1711,"AAAAAF+pv5c=")</f>
        <v>#VALUE!</v>
      </c>
      <c r="EW114" t="e">
        <f>AND('Planilla_General_07-12-2012_8_3'!J1711,"AAAAAF+pv5g=")</f>
        <v>#VALUE!</v>
      </c>
      <c r="EX114" t="e">
        <f>AND('Planilla_General_07-12-2012_8_3'!K1711,"AAAAAF+pv5k=")</f>
        <v>#VALUE!</v>
      </c>
      <c r="EY114" t="e">
        <f>AND('Planilla_General_07-12-2012_8_3'!L1711,"AAAAAF+pv5o=")</f>
        <v>#VALUE!</v>
      </c>
      <c r="EZ114" t="e">
        <f>AND('Planilla_General_07-12-2012_8_3'!M1711,"AAAAAF+pv5s=")</f>
        <v>#VALUE!</v>
      </c>
      <c r="FA114" t="e">
        <f>AND('Planilla_General_07-12-2012_8_3'!N1711,"AAAAAF+pv5w=")</f>
        <v>#VALUE!</v>
      </c>
      <c r="FB114" t="e">
        <f>AND('Planilla_General_07-12-2012_8_3'!O1711,"AAAAAF+pv50=")</f>
        <v>#VALUE!</v>
      </c>
      <c r="FC114" t="e">
        <f>AND('Planilla_General_07-12-2012_8_3'!P1711,"AAAAAF+pv54=")</f>
        <v>#VALUE!</v>
      </c>
      <c r="FD114">
        <f>IF('Planilla_General_07-12-2012_8_3'!1712:1712,"AAAAAF+pv58=",0)</f>
        <v>0</v>
      </c>
      <c r="FE114" t="e">
        <f>AND('Planilla_General_07-12-2012_8_3'!A1712,"AAAAAF+pv6A=")</f>
        <v>#VALUE!</v>
      </c>
      <c r="FF114" t="e">
        <f>AND('Planilla_General_07-12-2012_8_3'!B1712,"AAAAAF+pv6E=")</f>
        <v>#VALUE!</v>
      </c>
      <c r="FG114" t="e">
        <f>AND('Planilla_General_07-12-2012_8_3'!C1712,"AAAAAF+pv6I=")</f>
        <v>#VALUE!</v>
      </c>
      <c r="FH114" t="e">
        <f>AND('Planilla_General_07-12-2012_8_3'!D1712,"AAAAAF+pv6M=")</f>
        <v>#VALUE!</v>
      </c>
      <c r="FI114" t="e">
        <f>AND('Planilla_General_07-12-2012_8_3'!E1712,"AAAAAF+pv6Q=")</f>
        <v>#VALUE!</v>
      </c>
      <c r="FJ114" t="e">
        <f>AND('Planilla_General_07-12-2012_8_3'!F1712,"AAAAAF+pv6U=")</f>
        <v>#VALUE!</v>
      </c>
      <c r="FK114" t="e">
        <f>AND('Planilla_General_07-12-2012_8_3'!G1712,"AAAAAF+pv6Y=")</f>
        <v>#VALUE!</v>
      </c>
      <c r="FL114" t="e">
        <f>AND('Planilla_General_07-12-2012_8_3'!H1712,"AAAAAF+pv6c=")</f>
        <v>#VALUE!</v>
      </c>
      <c r="FM114" t="e">
        <f>AND('Planilla_General_07-12-2012_8_3'!I1712,"AAAAAF+pv6g=")</f>
        <v>#VALUE!</v>
      </c>
      <c r="FN114" t="e">
        <f>AND('Planilla_General_07-12-2012_8_3'!J1712,"AAAAAF+pv6k=")</f>
        <v>#VALUE!</v>
      </c>
      <c r="FO114" t="e">
        <f>AND('Planilla_General_07-12-2012_8_3'!K1712,"AAAAAF+pv6o=")</f>
        <v>#VALUE!</v>
      </c>
      <c r="FP114" t="e">
        <f>AND('Planilla_General_07-12-2012_8_3'!L1712,"AAAAAF+pv6s=")</f>
        <v>#VALUE!</v>
      </c>
      <c r="FQ114" t="e">
        <f>AND('Planilla_General_07-12-2012_8_3'!M1712,"AAAAAF+pv6w=")</f>
        <v>#VALUE!</v>
      </c>
      <c r="FR114" t="e">
        <f>AND('Planilla_General_07-12-2012_8_3'!N1712,"AAAAAF+pv60=")</f>
        <v>#VALUE!</v>
      </c>
      <c r="FS114" t="e">
        <f>AND('Planilla_General_07-12-2012_8_3'!O1712,"AAAAAF+pv64=")</f>
        <v>#VALUE!</v>
      </c>
      <c r="FT114" t="e">
        <f>AND('Planilla_General_07-12-2012_8_3'!P1712,"AAAAAF+pv68=")</f>
        <v>#VALUE!</v>
      </c>
      <c r="FU114">
        <f>IF('Planilla_General_07-12-2012_8_3'!1713:1713,"AAAAAF+pv7A=",0)</f>
        <v>0</v>
      </c>
      <c r="FV114" t="e">
        <f>AND('Planilla_General_07-12-2012_8_3'!A1713,"AAAAAF+pv7E=")</f>
        <v>#VALUE!</v>
      </c>
      <c r="FW114" t="e">
        <f>AND('Planilla_General_07-12-2012_8_3'!B1713,"AAAAAF+pv7I=")</f>
        <v>#VALUE!</v>
      </c>
      <c r="FX114" t="e">
        <f>AND('Planilla_General_07-12-2012_8_3'!C1713,"AAAAAF+pv7M=")</f>
        <v>#VALUE!</v>
      </c>
      <c r="FY114" t="e">
        <f>AND('Planilla_General_07-12-2012_8_3'!D1713,"AAAAAF+pv7Q=")</f>
        <v>#VALUE!</v>
      </c>
      <c r="FZ114" t="e">
        <f>AND('Planilla_General_07-12-2012_8_3'!E1713,"AAAAAF+pv7U=")</f>
        <v>#VALUE!</v>
      </c>
      <c r="GA114" t="e">
        <f>AND('Planilla_General_07-12-2012_8_3'!F1713,"AAAAAF+pv7Y=")</f>
        <v>#VALUE!</v>
      </c>
      <c r="GB114" t="e">
        <f>AND('Planilla_General_07-12-2012_8_3'!G1713,"AAAAAF+pv7c=")</f>
        <v>#VALUE!</v>
      </c>
      <c r="GC114" t="e">
        <f>AND('Planilla_General_07-12-2012_8_3'!H1713,"AAAAAF+pv7g=")</f>
        <v>#VALUE!</v>
      </c>
      <c r="GD114" t="e">
        <f>AND('Planilla_General_07-12-2012_8_3'!I1713,"AAAAAF+pv7k=")</f>
        <v>#VALUE!</v>
      </c>
      <c r="GE114" t="e">
        <f>AND('Planilla_General_07-12-2012_8_3'!J1713,"AAAAAF+pv7o=")</f>
        <v>#VALUE!</v>
      </c>
      <c r="GF114" t="e">
        <f>AND('Planilla_General_07-12-2012_8_3'!K1713,"AAAAAF+pv7s=")</f>
        <v>#VALUE!</v>
      </c>
      <c r="GG114" t="e">
        <f>AND('Planilla_General_07-12-2012_8_3'!L1713,"AAAAAF+pv7w=")</f>
        <v>#VALUE!</v>
      </c>
      <c r="GH114" t="e">
        <f>AND('Planilla_General_07-12-2012_8_3'!M1713,"AAAAAF+pv70=")</f>
        <v>#VALUE!</v>
      </c>
      <c r="GI114" t="e">
        <f>AND('Planilla_General_07-12-2012_8_3'!N1713,"AAAAAF+pv74=")</f>
        <v>#VALUE!</v>
      </c>
      <c r="GJ114" t="e">
        <f>AND('Planilla_General_07-12-2012_8_3'!O1713,"AAAAAF+pv78=")</f>
        <v>#VALUE!</v>
      </c>
      <c r="GK114" t="e">
        <f>AND('Planilla_General_07-12-2012_8_3'!P1713,"AAAAAF+pv8A=")</f>
        <v>#VALUE!</v>
      </c>
      <c r="GL114">
        <f>IF('Planilla_General_07-12-2012_8_3'!1714:1714,"AAAAAF+pv8E=",0)</f>
        <v>0</v>
      </c>
      <c r="GM114" t="e">
        <f>AND('Planilla_General_07-12-2012_8_3'!A1714,"AAAAAF+pv8I=")</f>
        <v>#VALUE!</v>
      </c>
      <c r="GN114" t="e">
        <f>AND('Planilla_General_07-12-2012_8_3'!B1714,"AAAAAF+pv8M=")</f>
        <v>#VALUE!</v>
      </c>
      <c r="GO114" t="e">
        <f>AND('Planilla_General_07-12-2012_8_3'!C1714,"AAAAAF+pv8Q=")</f>
        <v>#VALUE!</v>
      </c>
      <c r="GP114" t="e">
        <f>AND('Planilla_General_07-12-2012_8_3'!D1714,"AAAAAF+pv8U=")</f>
        <v>#VALUE!</v>
      </c>
      <c r="GQ114" t="e">
        <f>AND('Planilla_General_07-12-2012_8_3'!E1714,"AAAAAF+pv8Y=")</f>
        <v>#VALUE!</v>
      </c>
      <c r="GR114" t="e">
        <f>AND('Planilla_General_07-12-2012_8_3'!F1714,"AAAAAF+pv8c=")</f>
        <v>#VALUE!</v>
      </c>
      <c r="GS114" t="e">
        <f>AND('Planilla_General_07-12-2012_8_3'!G1714,"AAAAAF+pv8g=")</f>
        <v>#VALUE!</v>
      </c>
      <c r="GT114" t="e">
        <f>AND('Planilla_General_07-12-2012_8_3'!H1714,"AAAAAF+pv8k=")</f>
        <v>#VALUE!</v>
      </c>
      <c r="GU114" t="e">
        <f>AND('Planilla_General_07-12-2012_8_3'!I1714,"AAAAAF+pv8o=")</f>
        <v>#VALUE!</v>
      </c>
      <c r="GV114" t="e">
        <f>AND('Planilla_General_07-12-2012_8_3'!J1714,"AAAAAF+pv8s=")</f>
        <v>#VALUE!</v>
      </c>
      <c r="GW114" t="e">
        <f>AND('Planilla_General_07-12-2012_8_3'!K1714,"AAAAAF+pv8w=")</f>
        <v>#VALUE!</v>
      </c>
      <c r="GX114" t="e">
        <f>AND('Planilla_General_07-12-2012_8_3'!L1714,"AAAAAF+pv80=")</f>
        <v>#VALUE!</v>
      </c>
      <c r="GY114" t="e">
        <f>AND('Planilla_General_07-12-2012_8_3'!M1714,"AAAAAF+pv84=")</f>
        <v>#VALUE!</v>
      </c>
      <c r="GZ114" t="e">
        <f>AND('Planilla_General_07-12-2012_8_3'!N1714,"AAAAAF+pv88=")</f>
        <v>#VALUE!</v>
      </c>
      <c r="HA114" t="e">
        <f>AND('Planilla_General_07-12-2012_8_3'!O1714,"AAAAAF+pv9A=")</f>
        <v>#VALUE!</v>
      </c>
      <c r="HB114" t="e">
        <f>AND('Planilla_General_07-12-2012_8_3'!P1714,"AAAAAF+pv9E=")</f>
        <v>#VALUE!</v>
      </c>
      <c r="HC114">
        <f>IF('Planilla_General_07-12-2012_8_3'!1715:1715,"AAAAAF+pv9I=",0)</f>
        <v>0</v>
      </c>
      <c r="HD114" t="e">
        <f>AND('Planilla_General_07-12-2012_8_3'!A1715,"AAAAAF+pv9M=")</f>
        <v>#VALUE!</v>
      </c>
      <c r="HE114" t="e">
        <f>AND('Planilla_General_07-12-2012_8_3'!B1715,"AAAAAF+pv9Q=")</f>
        <v>#VALUE!</v>
      </c>
      <c r="HF114" t="e">
        <f>AND('Planilla_General_07-12-2012_8_3'!C1715,"AAAAAF+pv9U=")</f>
        <v>#VALUE!</v>
      </c>
      <c r="HG114" t="e">
        <f>AND('Planilla_General_07-12-2012_8_3'!D1715,"AAAAAF+pv9Y=")</f>
        <v>#VALUE!</v>
      </c>
      <c r="HH114" t="e">
        <f>AND('Planilla_General_07-12-2012_8_3'!E1715,"AAAAAF+pv9c=")</f>
        <v>#VALUE!</v>
      </c>
      <c r="HI114" t="e">
        <f>AND('Planilla_General_07-12-2012_8_3'!F1715,"AAAAAF+pv9g=")</f>
        <v>#VALUE!</v>
      </c>
      <c r="HJ114" t="e">
        <f>AND('Planilla_General_07-12-2012_8_3'!G1715,"AAAAAF+pv9k=")</f>
        <v>#VALUE!</v>
      </c>
      <c r="HK114" t="e">
        <f>AND('Planilla_General_07-12-2012_8_3'!H1715,"AAAAAF+pv9o=")</f>
        <v>#VALUE!</v>
      </c>
      <c r="HL114" t="e">
        <f>AND('Planilla_General_07-12-2012_8_3'!I1715,"AAAAAF+pv9s=")</f>
        <v>#VALUE!</v>
      </c>
      <c r="HM114" t="e">
        <f>AND('Planilla_General_07-12-2012_8_3'!J1715,"AAAAAF+pv9w=")</f>
        <v>#VALUE!</v>
      </c>
      <c r="HN114" t="e">
        <f>AND('Planilla_General_07-12-2012_8_3'!K1715,"AAAAAF+pv90=")</f>
        <v>#VALUE!</v>
      </c>
      <c r="HO114" t="e">
        <f>AND('Planilla_General_07-12-2012_8_3'!L1715,"AAAAAF+pv94=")</f>
        <v>#VALUE!</v>
      </c>
      <c r="HP114" t="e">
        <f>AND('Planilla_General_07-12-2012_8_3'!M1715,"AAAAAF+pv98=")</f>
        <v>#VALUE!</v>
      </c>
      <c r="HQ114" t="e">
        <f>AND('Planilla_General_07-12-2012_8_3'!N1715,"AAAAAF+pv+A=")</f>
        <v>#VALUE!</v>
      </c>
      <c r="HR114" t="e">
        <f>AND('Planilla_General_07-12-2012_8_3'!O1715,"AAAAAF+pv+E=")</f>
        <v>#VALUE!</v>
      </c>
      <c r="HS114" t="e">
        <f>AND('Planilla_General_07-12-2012_8_3'!P1715,"AAAAAF+pv+I=")</f>
        <v>#VALUE!</v>
      </c>
      <c r="HT114">
        <f>IF('Planilla_General_07-12-2012_8_3'!1716:1716,"AAAAAF+pv+M=",0)</f>
        <v>0</v>
      </c>
      <c r="HU114" t="e">
        <f>AND('Planilla_General_07-12-2012_8_3'!A1716,"AAAAAF+pv+Q=")</f>
        <v>#VALUE!</v>
      </c>
      <c r="HV114" t="e">
        <f>AND('Planilla_General_07-12-2012_8_3'!B1716,"AAAAAF+pv+U=")</f>
        <v>#VALUE!</v>
      </c>
      <c r="HW114" t="e">
        <f>AND('Planilla_General_07-12-2012_8_3'!C1716,"AAAAAF+pv+Y=")</f>
        <v>#VALUE!</v>
      </c>
      <c r="HX114" t="e">
        <f>AND('Planilla_General_07-12-2012_8_3'!D1716,"AAAAAF+pv+c=")</f>
        <v>#VALUE!</v>
      </c>
      <c r="HY114" t="e">
        <f>AND('Planilla_General_07-12-2012_8_3'!E1716,"AAAAAF+pv+g=")</f>
        <v>#VALUE!</v>
      </c>
      <c r="HZ114" t="e">
        <f>AND('Planilla_General_07-12-2012_8_3'!F1716,"AAAAAF+pv+k=")</f>
        <v>#VALUE!</v>
      </c>
      <c r="IA114" t="e">
        <f>AND('Planilla_General_07-12-2012_8_3'!G1716,"AAAAAF+pv+o=")</f>
        <v>#VALUE!</v>
      </c>
      <c r="IB114" t="e">
        <f>AND('Planilla_General_07-12-2012_8_3'!H1716,"AAAAAF+pv+s=")</f>
        <v>#VALUE!</v>
      </c>
      <c r="IC114" t="e">
        <f>AND('Planilla_General_07-12-2012_8_3'!I1716,"AAAAAF+pv+w=")</f>
        <v>#VALUE!</v>
      </c>
      <c r="ID114" t="e">
        <f>AND('Planilla_General_07-12-2012_8_3'!J1716,"AAAAAF+pv+0=")</f>
        <v>#VALUE!</v>
      </c>
      <c r="IE114" t="e">
        <f>AND('Planilla_General_07-12-2012_8_3'!K1716,"AAAAAF+pv+4=")</f>
        <v>#VALUE!</v>
      </c>
      <c r="IF114" t="e">
        <f>AND('Planilla_General_07-12-2012_8_3'!L1716,"AAAAAF+pv+8=")</f>
        <v>#VALUE!</v>
      </c>
      <c r="IG114" t="e">
        <f>AND('Planilla_General_07-12-2012_8_3'!M1716,"AAAAAF+pv/A=")</f>
        <v>#VALUE!</v>
      </c>
      <c r="IH114" t="e">
        <f>AND('Planilla_General_07-12-2012_8_3'!N1716,"AAAAAF+pv/E=")</f>
        <v>#VALUE!</v>
      </c>
      <c r="II114" t="e">
        <f>AND('Planilla_General_07-12-2012_8_3'!O1716,"AAAAAF+pv/I=")</f>
        <v>#VALUE!</v>
      </c>
      <c r="IJ114" t="e">
        <f>AND('Planilla_General_07-12-2012_8_3'!P1716,"AAAAAF+pv/M=")</f>
        <v>#VALUE!</v>
      </c>
      <c r="IK114">
        <f>IF('Planilla_General_07-12-2012_8_3'!1717:1717,"AAAAAF+pv/Q=",0)</f>
        <v>0</v>
      </c>
      <c r="IL114" t="e">
        <f>AND('Planilla_General_07-12-2012_8_3'!A1717,"AAAAAF+pv/U=")</f>
        <v>#VALUE!</v>
      </c>
      <c r="IM114" t="e">
        <f>AND('Planilla_General_07-12-2012_8_3'!B1717,"AAAAAF+pv/Y=")</f>
        <v>#VALUE!</v>
      </c>
      <c r="IN114" t="e">
        <f>AND('Planilla_General_07-12-2012_8_3'!C1717,"AAAAAF+pv/c=")</f>
        <v>#VALUE!</v>
      </c>
      <c r="IO114" t="e">
        <f>AND('Planilla_General_07-12-2012_8_3'!D1717,"AAAAAF+pv/g=")</f>
        <v>#VALUE!</v>
      </c>
      <c r="IP114" t="e">
        <f>AND('Planilla_General_07-12-2012_8_3'!E1717,"AAAAAF+pv/k=")</f>
        <v>#VALUE!</v>
      </c>
      <c r="IQ114" t="e">
        <f>AND('Planilla_General_07-12-2012_8_3'!F1717,"AAAAAF+pv/o=")</f>
        <v>#VALUE!</v>
      </c>
      <c r="IR114" t="e">
        <f>AND('Planilla_General_07-12-2012_8_3'!G1717,"AAAAAF+pv/s=")</f>
        <v>#VALUE!</v>
      </c>
      <c r="IS114" t="e">
        <f>AND('Planilla_General_07-12-2012_8_3'!H1717,"AAAAAF+pv/w=")</f>
        <v>#VALUE!</v>
      </c>
      <c r="IT114" t="e">
        <f>AND('Planilla_General_07-12-2012_8_3'!I1717,"AAAAAF+pv/0=")</f>
        <v>#VALUE!</v>
      </c>
      <c r="IU114" t="e">
        <f>AND('Planilla_General_07-12-2012_8_3'!J1717,"AAAAAF+pv/4=")</f>
        <v>#VALUE!</v>
      </c>
      <c r="IV114" t="e">
        <f>AND('Planilla_General_07-12-2012_8_3'!K1717,"AAAAAF+pv/8=")</f>
        <v>#VALUE!</v>
      </c>
    </row>
    <row r="115" spans="1:256" x14ac:dyDescent="0.25">
      <c r="A115" t="e">
        <f>AND('Planilla_General_07-12-2012_8_3'!L1717,"AAAAAH/5vQA=")</f>
        <v>#VALUE!</v>
      </c>
      <c r="B115" t="e">
        <f>AND('Planilla_General_07-12-2012_8_3'!M1717,"AAAAAH/5vQE=")</f>
        <v>#VALUE!</v>
      </c>
      <c r="C115" t="e">
        <f>AND('Planilla_General_07-12-2012_8_3'!N1717,"AAAAAH/5vQI=")</f>
        <v>#VALUE!</v>
      </c>
      <c r="D115" t="e">
        <f>AND('Planilla_General_07-12-2012_8_3'!O1717,"AAAAAH/5vQM=")</f>
        <v>#VALUE!</v>
      </c>
      <c r="E115" t="e">
        <f>AND('Planilla_General_07-12-2012_8_3'!P1717,"AAAAAH/5vQQ=")</f>
        <v>#VALUE!</v>
      </c>
      <c r="F115" t="e">
        <f>IF('Planilla_General_07-12-2012_8_3'!1718:1718,"AAAAAH/5vQU=",0)</f>
        <v>#VALUE!</v>
      </c>
      <c r="G115" t="e">
        <f>AND('Planilla_General_07-12-2012_8_3'!A1718,"AAAAAH/5vQY=")</f>
        <v>#VALUE!</v>
      </c>
      <c r="H115" t="e">
        <f>AND('Planilla_General_07-12-2012_8_3'!B1718,"AAAAAH/5vQc=")</f>
        <v>#VALUE!</v>
      </c>
      <c r="I115" t="e">
        <f>AND('Planilla_General_07-12-2012_8_3'!C1718,"AAAAAH/5vQg=")</f>
        <v>#VALUE!</v>
      </c>
      <c r="J115" t="e">
        <f>AND('Planilla_General_07-12-2012_8_3'!D1718,"AAAAAH/5vQk=")</f>
        <v>#VALUE!</v>
      </c>
      <c r="K115" t="e">
        <f>AND('Planilla_General_07-12-2012_8_3'!E1718,"AAAAAH/5vQo=")</f>
        <v>#VALUE!</v>
      </c>
      <c r="L115" t="e">
        <f>AND('Planilla_General_07-12-2012_8_3'!F1718,"AAAAAH/5vQs=")</f>
        <v>#VALUE!</v>
      </c>
      <c r="M115" t="e">
        <f>AND('Planilla_General_07-12-2012_8_3'!G1718,"AAAAAH/5vQw=")</f>
        <v>#VALUE!</v>
      </c>
      <c r="N115" t="e">
        <f>AND('Planilla_General_07-12-2012_8_3'!H1718,"AAAAAH/5vQ0=")</f>
        <v>#VALUE!</v>
      </c>
      <c r="O115" t="e">
        <f>AND('Planilla_General_07-12-2012_8_3'!I1718,"AAAAAH/5vQ4=")</f>
        <v>#VALUE!</v>
      </c>
      <c r="P115" t="e">
        <f>AND('Planilla_General_07-12-2012_8_3'!J1718,"AAAAAH/5vQ8=")</f>
        <v>#VALUE!</v>
      </c>
      <c r="Q115" t="e">
        <f>AND('Planilla_General_07-12-2012_8_3'!K1718,"AAAAAH/5vRA=")</f>
        <v>#VALUE!</v>
      </c>
      <c r="R115" t="e">
        <f>AND('Planilla_General_07-12-2012_8_3'!L1718,"AAAAAH/5vRE=")</f>
        <v>#VALUE!</v>
      </c>
      <c r="S115" t="e">
        <f>AND('Planilla_General_07-12-2012_8_3'!M1718,"AAAAAH/5vRI=")</f>
        <v>#VALUE!</v>
      </c>
      <c r="T115" t="e">
        <f>AND('Planilla_General_07-12-2012_8_3'!N1718,"AAAAAH/5vRM=")</f>
        <v>#VALUE!</v>
      </c>
      <c r="U115" t="e">
        <f>AND('Planilla_General_07-12-2012_8_3'!O1718,"AAAAAH/5vRQ=")</f>
        <v>#VALUE!</v>
      </c>
      <c r="V115" t="e">
        <f>AND('Planilla_General_07-12-2012_8_3'!P1718,"AAAAAH/5vRU=")</f>
        <v>#VALUE!</v>
      </c>
      <c r="W115">
        <f>IF('Planilla_General_07-12-2012_8_3'!1719:1719,"AAAAAH/5vRY=",0)</f>
        <v>0</v>
      </c>
      <c r="X115" t="e">
        <f>AND('Planilla_General_07-12-2012_8_3'!A1719,"AAAAAH/5vRc=")</f>
        <v>#VALUE!</v>
      </c>
      <c r="Y115" t="e">
        <f>AND('Planilla_General_07-12-2012_8_3'!B1719,"AAAAAH/5vRg=")</f>
        <v>#VALUE!</v>
      </c>
      <c r="Z115" t="e">
        <f>AND('Planilla_General_07-12-2012_8_3'!C1719,"AAAAAH/5vRk=")</f>
        <v>#VALUE!</v>
      </c>
      <c r="AA115" t="e">
        <f>AND('Planilla_General_07-12-2012_8_3'!D1719,"AAAAAH/5vRo=")</f>
        <v>#VALUE!</v>
      </c>
      <c r="AB115" t="e">
        <f>AND('Planilla_General_07-12-2012_8_3'!E1719,"AAAAAH/5vRs=")</f>
        <v>#VALUE!</v>
      </c>
      <c r="AC115" t="e">
        <f>AND('Planilla_General_07-12-2012_8_3'!F1719,"AAAAAH/5vRw=")</f>
        <v>#VALUE!</v>
      </c>
      <c r="AD115" t="e">
        <f>AND('Planilla_General_07-12-2012_8_3'!G1719,"AAAAAH/5vR0=")</f>
        <v>#VALUE!</v>
      </c>
      <c r="AE115" t="e">
        <f>AND('Planilla_General_07-12-2012_8_3'!H1719,"AAAAAH/5vR4=")</f>
        <v>#VALUE!</v>
      </c>
      <c r="AF115" t="e">
        <f>AND('Planilla_General_07-12-2012_8_3'!I1719,"AAAAAH/5vR8=")</f>
        <v>#VALUE!</v>
      </c>
      <c r="AG115" t="e">
        <f>AND('Planilla_General_07-12-2012_8_3'!J1719,"AAAAAH/5vSA=")</f>
        <v>#VALUE!</v>
      </c>
      <c r="AH115" t="e">
        <f>AND('Planilla_General_07-12-2012_8_3'!K1719,"AAAAAH/5vSE=")</f>
        <v>#VALUE!</v>
      </c>
      <c r="AI115" t="e">
        <f>AND('Planilla_General_07-12-2012_8_3'!L1719,"AAAAAH/5vSI=")</f>
        <v>#VALUE!</v>
      </c>
      <c r="AJ115" t="e">
        <f>AND('Planilla_General_07-12-2012_8_3'!M1719,"AAAAAH/5vSM=")</f>
        <v>#VALUE!</v>
      </c>
      <c r="AK115" t="e">
        <f>AND('Planilla_General_07-12-2012_8_3'!N1719,"AAAAAH/5vSQ=")</f>
        <v>#VALUE!</v>
      </c>
      <c r="AL115" t="e">
        <f>AND('Planilla_General_07-12-2012_8_3'!O1719,"AAAAAH/5vSU=")</f>
        <v>#VALUE!</v>
      </c>
      <c r="AM115" t="e">
        <f>AND('Planilla_General_07-12-2012_8_3'!P1719,"AAAAAH/5vSY=")</f>
        <v>#VALUE!</v>
      </c>
      <c r="AN115">
        <f>IF('Planilla_General_07-12-2012_8_3'!1720:1720,"AAAAAH/5vSc=",0)</f>
        <v>0</v>
      </c>
      <c r="AO115" t="e">
        <f>AND('Planilla_General_07-12-2012_8_3'!A1720,"AAAAAH/5vSg=")</f>
        <v>#VALUE!</v>
      </c>
      <c r="AP115" t="e">
        <f>AND('Planilla_General_07-12-2012_8_3'!B1720,"AAAAAH/5vSk=")</f>
        <v>#VALUE!</v>
      </c>
      <c r="AQ115" t="e">
        <f>AND('Planilla_General_07-12-2012_8_3'!C1720,"AAAAAH/5vSo=")</f>
        <v>#VALUE!</v>
      </c>
      <c r="AR115" t="e">
        <f>AND('Planilla_General_07-12-2012_8_3'!D1720,"AAAAAH/5vSs=")</f>
        <v>#VALUE!</v>
      </c>
      <c r="AS115" t="e">
        <f>AND('Planilla_General_07-12-2012_8_3'!E1720,"AAAAAH/5vSw=")</f>
        <v>#VALUE!</v>
      </c>
      <c r="AT115" t="e">
        <f>AND('Planilla_General_07-12-2012_8_3'!F1720,"AAAAAH/5vS0=")</f>
        <v>#VALUE!</v>
      </c>
      <c r="AU115" t="e">
        <f>AND('Planilla_General_07-12-2012_8_3'!G1720,"AAAAAH/5vS4=")</f>
        <v>#VALUE!</v>
      </c>
      <c r="AV115" t="e">
        <f>AND('Planilla_General_07-12-2012_8_3'!H1720,"AAAAAH/5vS8=")</f>
        <v>#VALUE!</v>
      </c>
      <c r="AW115" t="e">
        <f>AND('Planilla_General_07-12-2012_8_3'!I1720,"AAAAAH/5vTA=")</f>
        <v>#VALUE!</v>
      </c>
      <c r="AX115" t="e">
        <f>AND('Planilla_General_07-12-2012_8_3'!J1720,"AAAAAH/5vTE=")</f>
        <v>#VALUE!</v>
      </c>
      <c r="AY115" t="e">
        <f>AND('Planilla_General_07-12-2012_8_3'!K1720,"AAAAAH/5vTI=")</f>
        <v>#VALUE!</v>
      </c>
      <c r="AZ115" t="e">
        <f>AND('Planilla_General_07-12-2012_8_3'!L1720,"AAAAAH/5vTM=")</f>
        <v>#VALUE!</v>
      </c>
      <c r="BA115" t="e">
        <f>AND('Planilla_General_07-12-2012_8_3'!M1720,"AAAAAH/5vTQ=")</f>
        <v>#VALUE!</v>
      </c>
      <c r="BB115" t="e">
        <f>AND('Planilla_General_07-12-2012_8_3'!N1720,"AAAAAH/5vTU=")</f>
        <v>#VALUE!</v>
      </c>
      <c r="BC115" t="e">
        <f>AND('Planilla_General_07-12-2012_8_3'!O1720,"AAAAAH/5vTY=")</f>
        <v>#VALUE!</v>
      </c>
      <c r="BD115" t="e">
        <f>AND('Planilla_General_07-12-2012_8_3'!P1720,"AAAAAH/5vTc=")</f>
        <v>#VALUE!</v>
      </c>
      <c r="BE115">
        <f>IF('Planilla_General_07-12-2012_8_3'!1721:1721,"AAAAAH/5vTg=",0)</f>
        <v>0</v>
      </c>
      <c r="BF115" t="e">
        <f>AND('Planilla_General_07-12-2012_8_3'!A1721,"AAAAAH/5vTk=")</f>
        <v>#VALUE!</v>
      </c>
      <c r="BG115" t="e">
        <f>AND('Planilla_General_07-12-2012_8_3'!B1721,"AAAAAH/5vTo=")</f>
        <v>#VALUE!</v>
      </c>
      <c r="BH115" t="e">
        <f>AND('Planilla_General_07-12-2012_8_3'!C1721,"AAAAAH/5vTs=")</f>
        <v>#VALUE!</v>
      </c>
      <c r="BI115" t="e">
        <f>AND('Planilla_General_07-12-2012_8_3'!D1721,"AAAAAH/5vTw=")</f>
        <v>#VALUE!</v>
      </c>
      <c r="BJ115" t="e">
        <f>AND('Planilla_General_07-12-2012_8_3'!E1721,"AAAAAH/5vT0=")</f>
        <v>#VALUE!</v>
      </c>
      <c r="BK115" t="e">
        <f>AND('Planilla_General_07-12-2012_8_3'!F1721,"AAAAAH/5vT4=")</f>
        <v>#VALUE!</v>
      </c>
      <c r="BL115" t="e">
        <f>AND('Planilla_General_07-12-2012_8_3'!G1721,"AAAAAH/5vT8=")</f>
        <v>#VALUE!</v>
      </c>
      <c r="BM115" t="e">
        <f>AND('Planilla_General_07-12-2012_8_3'!H1721,"AAAAAH/5vUA=")</f>
        <v>#VALUE!</v>
      </c>
      <c r="BN115" t="e">
        <f>AND('Planilla_General_07-12-2012_8_3'!I1721,"AAAAAH/5vUE=")</f>
        <v>#VALUE!</v>
      </c>
      <c r="BO115" t="e">
        <f>AND('Planilla_General_07-12-2012_8_3'!J1721,"AAAAAH/5vUI=")</f>
        <v>#VALUE!</v>
      </c>
      <c r="BP115" t="e">
        <f>AND('Planilla_General_07-12-2012_8_3'!K1721,"AAAAAH/5vUM=")</f>
        <v>#VALUE!</v>
      </c>
      <c r="BQ115" t="e">
        <f>AND('Planilla_General_07-12-2012_8_3'!L1721,"AAAAAH/5vUQ=")</f>
        <v>#VALUE!</v>
      </c>
      <c r="BR115" t="e">
        <f>AND('Planilla_General_07-12-2012_8_3'!M1721,"AAAAAH/5vUU=")</f>
        <v>#VALUE!</v>
      </c>
      <c r="BS115" t="e">
        <f>AND('Planilla_General_07-12-2012_8_3'!N1721,"AAAAAH/5vUY=")</f>
        <v>#VALUE!</v>
      </c>
      <c r="BT115" t="e">
        <f>AND('Planilla_General_07-12-2012_8_3'!O1721,"AAAAAH/5vUc=")</f>
        <v>#VALUE!</v>
      </c>
      <c r="BU115" t="e">
        <f>AND('Planilla_General_07-12-2012_8_3'!P1721,"AAAAAH/5vUg=")</f>
        <v>#VALUE!</v>
      </c>
      <c r="BV115">
        <f>IF('Planilla_General_07-12-2012_8_3'!1722:1722,"AAAAAH/5vUk=",0)</f>
        <v>0</v>
      </c>
      <c r="BW115" t="e">
        <f>AND('Planilla_General_07-12-2012_8_3'!A1722,"AAAAAH/5vUo=")</f>
        <v>#VALUE!</v>
      </c>
      <c r="BX115" t="e">
        <f>AND('Planilla_General_07-12-2012_8_3'!B1722,"AAAAAH/5vUs=")</f>
        <v>#VALUE!</v>
      </c>
      <c r="BY115" t="e">
        <f>AND('Planilla_General_07-12-2012_8_3'!C1722,"AAAAAH/5vUw=")</f>
        <v>#VALUE!</v>
      </c>
      <c r="BZ115" t="e">
        <f>AND('Planilla_General_07-12-2012_8_3'!D1722,"AAAAAH/5vU0=")</f>
        <v>#VALUE!</v>
      </c>
      <c r="CA115" t="e">
        <f>AND('Planilla_General_07-12-2012_8_3'!E1722,"AAAAAH/5vU4=")</f>
        <v>#VALUE!</v>
      </c>
      <c r="CB115" t="e">
        <f>AND('Planilla_General_07-12-2012_8_3'!F1722,"AAAAAH/5vU8=")</f>
        <v>#VALUE!</v>
      </c>
      <c r="CC115" t="e">
        <f>AND('Planilla_General_07-12-2012_8_3'!G1722,"AAAAAH/5vVA=")</f>
        <v>#VALUE!</v>
      </c>
      <c r="CD115" t="e">
        <f>AND('Planilla_General_07-12-2012_8_3'!H1722,"AAAAAH/5vVE=")</f>
        <v>#VALUE!</v>
      </c>
      <c r="CE115" t="e">
        <f>AND('Planilla_General_07-12-2012_8_3'!I1722,"AAAAAH/5vVI=")</f>
        <v>#VALUE!</v>
      </c>
      <c r="CF115" t="e">
        <f>AND('Planilla_General_07-12-2012_8_3'!J1722,"AAAAAH/5vVM=")</f>
        <v>#VALUE!</v>
      </c>
      <c r="CG115" t="e">
        <f>AND('Planilla_General_07-12-2012_8_3'!K1722,"AAAAAH/5vVQ=")</f>
        <v>#VALUE!</v>
      </c>
      <c r="CH115" t="e">
        <f>AND('Planilla_General_07-12-2012_8_3'!L1722,"AAAAAH/5vVU=")</f>
        <v>#VALUE!</v>
      </c>
      <c r="CI115" t="e">
        <f>AND('Planilla_General_07-12-2012_8_3'!M1722,"AAAAAH/5vVY=")</f>
        <v>#VALUE!</v>
      </c>
      <c r="CJ115" t="e">
        <f>AND('Planilla_General_07-12-2012_8_3'!N1722,"AAAAAH/5vVc=")</f>
        <v>#VALUE!</v>
      </c>
      <c r="CK115" t="e">
        <f>AND('Planilla_General_07-12-2012_8_3'!O1722,"AAAAAH/5vVg=")</f>
        <v>#VALUE!</v>
      </c>
      <c r="CL115" t="e">
        <f>AND('Planilla_General_07-12-2012_8_3'!P1722,"AAAAAH/5vVk=")</f>
        <v>#VALUE!</v>
      </c>
      <c r="CM115">
        <f>IF('Planilla_General_07-12-2012_8_3'!1723:1723,"AAAAAH/5vVo=",0)</f>
        <v>0</v>
      </c>
      <c r="CN115" t="e">
        <f>AND('Planilla_General_07-12-2012_8_3'!A1723,"AAAAAH/5vVs=")</f>
        <v>#VALUE!</v>
      </c>
      <c r="CO115" t="e">
        <f>AND('Planilla_General_07-12-2012_8_3'!B1723,"AAAAAH/5vVw=")</f>
        <v>#VALUE!</v>
      </c>
      <c r="CP115" t="e">
        <f>AND('Planilla_General_07-12-2012_8_3'!C1723,"AAAAAH/5vV0=")</f>
        <v>#VALUE!</v>
      </c>
      <c r="CQ115" t="e">
        <f>AND('Planilla_General_07-12-2012_8_3'!D1723,"AAAAAH/5vV4=")</f>
        <v>#VALUE!</v>
      </c>
      <c r="CR115" t="e">
        <f>AND('Planilla_General_07-12-2012_8_3'!E1723,"AAAAAH/5vV8=")</f>
        <v>#VALUE!</v>
      </c>
      <c r="CS115" t="e">
        <f>AND('Planilla_General_07-12-2012_8_3'!F1723,"AAAAAH/5vWA=")</f>
        <v>#VALUE!</v>
      </c>
      <c r="CT115" t="e">
        <f>AND('Planilla_General_07-12-2012_8_3'!G1723,"AAAAAH/5vWE=")</f>
        <v>#VALUE!</v>
      </c>
      <c r="CU115" t="e">
        <f>AND('Planilla_General_07-12-2012_8_3'!H1723,"AAAAAH/5vWI=")</f>
        <v>#VALUE!</v>
      </c>
      <c r="CV115" t="e">
        <f>AND('Planilla_General_07-12-2012_8_3'!I1723,"AAAAAH/5vWM=")</f>
        <v>#VALUE!</v>
      </c>
      <c r="CW115" t="e">
        <f>AND('Planilla_General_07-12-2012_8_3'!J1723,"AAAAAH/5vWQ=")</f>
        <v>#VALUE!</v>
      </c>
      <c r="CX115" t="e">
        <f>AND('Planilla_General_07-12-2012_8_3'!K1723,"AAAAAH/5vWU=")</f>
        <v>#VALUE!</v>
      </c>
      <c r="CY115" t="e">
        <f>AND('Planilla_General_07-12-2012_8_3'!L1723,"AAAAAH/5vWY=")</f>
        <v>#VALUE!</v>
      </c>
      <c r="CZ115" t="e">
        <f>AND('Planilla_General_07-12-2012_8_3'!M1723,"AAAAAH/5vWc=")</f>
        <v>#VALUE!</v>
      </c>
      <c r="DA115" t="e">
        <f>AND('Planilla_General_07-12-2012_8_3'!N1723,"AAAAAH/5vWg=")</f>
        <v>#VALUE!</v>
      </c>
      <c r="DB115" t="e">
        <f>AND('Planilla_General_07-12-2012_8_3'!O1723,"AAAAAH/5vWk=")</f>
        <v>#VALUE!</v>
      </c>
      <c r="DC115" t="e">
        <f>AND('Planilla_General_07-12-2012_8_3'!P1723,"AAAAAH/5vWo=")</f>
        <v>#VALUE!</v>
      </c>
      <c r="DD115">
        <f>IF('Planilla_General_07-12-2012_8_3'!1724:1724,"AAAAAH/5vWs=",0)</f>
        <v>0</v>
      </c>
      <c r="DE115" t="e">
        <f>AND('Planilla_General_07-12-2012_8_3'!A1724,"AAAAAH/5vWw=")</f>
        <v>#VALUE!</v>
      </c>
      <c r="DF115" t="e">
        <f>AND('Planilla_General_07-12-2012_8_3'!B1724,"AAAAAH/5vW0=")</f>
        <v>#VALUE!</v>
      </c>
      <c r="DG115" t="e">
        <f>AND('Planilla_General_07-12-2012_8_3'!C1724,"AAAAAH/5vW4=")</f>
        <v>#VALUE!</v>
      </c>
      <c r="DH115" t="e">
        <f>AND('Planilla_General_07-12-2012_8_3'!D1724,"AAAAAH/5vW8=")</f>
        <v>#VALUE!</v>
      </c>
      <c r="DI115" t="e">
        <f>AND('Planilla_General_07-12-2012_8_3'!E1724,"AAAAAH/5vXA=")</f>
        <v>#VALUE!</v>
      </c>
      <c r="DJ115" t="e">
        <f>AND('Planilla_General_07-12-2012_8_3'!F1724,"AAAAAH/5vXE=")</f>
        <v>#VALUE!</v>
      </c>
      <c r="DK115" t="e">
        <f>AND('Planilla_General_07-12-2012_8_3'!G1724,"AAAAAH/5vXI=")</f>
        <v>#VALUE!</v>
      </c>
      <c r="DL115" t="e">
        <f>AND('Planilla_General_07-12-2012_8_3'!H1724,"AAAAAH/5vXM=")</f>
        <v>#VALUE!</v>
      </c>
      <c r="DM115" t="e">
        <f>AND('Planilla_General_07-12-2012_8_3'!I1724,"AAAAAH/5vXQ=")</f>
        <v>#VALUE!</v>
      </c>
      <c r="DN115" t="e">
        <f>AND('Planilla_General_07-12-2012_8_3'!J1724,"AAAAAH/5vXU=")</f>
        <v>#VALUE!</v>
      </c>
      <c r="DO115" t="e">
        <f>AND('Planilla_General_07-12-2012_8_3'!K1724,"AAAAAH/5vXY=")</f>
        <v>#VALUE!</v>
      </c>
      <c r="DP115" t="e">
        <f>AND('Planilla_General_07-12-2012_8_3'!L1724,"AAAAAH/5vXc=")</f>
        <v>#VALUE!</v>
      </c>
      <c r="DQ115" t="e">
        <f>AND('Planilla_General_07-12-2012_8_3'!M1724,"AAAAAH/5vXg=")</f>
        <v>#VALUE!</v>
      </c>
      <c r="DR115" t="e">
        <f>AND('Planilla_General_07-12-2012_8_3'!N1724,"AAAAAH/5vXk=")</f>
        <v>#VALUE!</v>
      </c>
      <c r="DS115" t="e">
        <f>AND('Planilla_General_07-12-2012_8_3'!O1724,"AAAAAH/5vXo=")</f>
        <v>#VALUE!</v>
      </c>
      <c r="DT115" t="e">
        <f>AND('Planilla_General_07-12-2012_8_3'!P1724,"AAAAAH/5vXs=")</f>
        <v>#VALUE!</v>
      </c>
      <c r="DU115">
        <f>IF('Planilla_General_07-12-2012_8_3'!1725:1725,"AAAAAH/5vXw=",0)</f>
        <v>0</v>
      </c>
      <c r="DV115" t="e">
        <f>AND('Planilla_General_07-12-2012_8_3'!A1725,"AAAAAH/5vX0=")</f>
        <v>#VALUE!</v>
      </c>
      <c r="DW115" t="e">
        <f>AND('Planilla_General_07-12-2012_8_3'!B1725,"AAAAAH/5vX4=")</f>
        <v>#VALUE!</v>
      </c>
      <c r="DX115" t="e">
        <f>AND('Planilla_General_07-12-2012_8_3'!C1725,"AAAAAH/5vX8=")</f>
        <v>#VALUE!</v>
      </c>
      <c r="DY115" t="e">
        <f>AND('Planilla_General_07-12-2012_8_3'!D1725,"AAAAAH/5vYA=")</f>
        <v>#VALUE!</v>
      </c>
      <c r="DZ115" t="e">
        <f>AND('Planilla_General_07-12-2012_8_3'!E1725,"AAAAAH/5vYE=")</f>
        <v>#VALUE!</v>
      </c>
      <c r="EA115" t="e">
        <f>AND('Planilla_General_07-12-2012_8_3'!F1725,"AAAAAH/5vYI=")</f>
        <v>#VALUE!</v>
      </c>
      <c r="EB115" t="e">
        <f>AND('Planilla_General_07-12-2012_8_3'!G1725,"AAAAAH/5vYM=")</f>
        <v>#VALUE!</v>
      </c>
      <c r="EC115" t="e">
        <f>AND('Planilla_General_07-12-2012_8_3'!H1725,"AAAAAH/5vYQ=")</f>
        <v>#VALUE!</v>
      </c>
      <c r="ED115" t="e">
        <f>AND('Planilla_General_07-12-2012_8_3'!I1725,"AAAAAH/5vYU=")</f>
        <v>#VALUE!</v>
      </c>
      <c r="EE115" t="e">
        <f>AND('Planilla_General_07-12-2012_8_3'!J1725,"AAAAAH/5vYY=")</f>
        <v>#VALUE!</v>
      </c>
      <c r="EF115" t="e">
        <f>AND('Planilla_General_07-12-2012_8_3'!K1725,"AAAAAH/5vYc=")</f>
        <v>#VALUE!</v>
      </c>
      <c r="EG115" t="e">
        <f>AND('Planilla_General_07-12-2012_8_3'!L1725,"AAAAAH/5vYg=")</f>
        <v>#VALUE!</v>
      </c>
      <c r="EH115" t="e">
        <f>AND('Planilla_General_07-12-2012_8_3'!M1725,"AAAAAH/5vYk=")</f>
        <v>#VALUE!</v>
      </c>
      <c r="EI115" t="e">
        <f>AND('Planilla_General_07-12-2012_8_3'!N1725,"AAAAAH/5vYo=")</f>
        <v>#VALUE!</v>
      </c>
      <c r="EJ115" t="e">
        <f>AND('Planilla_General_07-12-2012_8_3'!O1725,"AAAAAH/5vYs=")</f>
        <v>#VALUE!</v>
      </c>
      <c r="EK115" t="e">
        <f>AND('Planilla_General_07-12-2012_8_3'!P1725,"AAAAAH/5vYw=")</f>
        <v>#VALUE!</v>
      </c>
      <c r="EL115">
        <f>IF('Planilla_General_07-12-2012_8_3'!1726:1726,"AAAAAH/5vY0=",0)</f>
        <v>0</v>
      </c>
      <c r="EM115" t="e">
        <f>AND('Planilla_General_07-12-2012_8_3'!A1726,"AAAAAH/5vY4=")</f>
        <v>#VALUE!</v>
      </c>
      <c r="EN115" t="e">
        <f>AND('Planilla_General_07-12-2012_8_3'!B1726,"AAAAAH/5vY8=")</f>
        <v>#VALUE!</v>
      </c>
      <c r="EO115" t="e">
        <f>AND('Planilla_General_07-12-2012_8_3'!C1726,"AAAAAH/5vZA=")</f>
        <v>#VALUE!</v>
      </c>
      <c r="EP115" t="e">
        <f>AND('Planilla_General_07-12-2012_8_3'!D1726,"AAAAAH/5vZE=")</f>
        <v>#VALUE!</v>
      </c>
      <c r="EQ115" t="e">
        <f>AND('Planilla_General_07-12-2012_8_3'!E1726,"AAAAAH/5vZI=")</f>
        <v>#VALUE!</v>
      </c>
      <c r="ER115" t="e">
        <f>AND('Planilla_General_07-12-2012_8_3'!F1726,"AAAAAH/5vZM=")</f>
        <v>#VALUE!</v>
      </c>
      <c r="ES115" t="e">
        <f>AND('Planilla_General_07-12-2012_8_3'!G1726,"AAAAAH/5vZQ=")</f>
        <v>#VALUE!</v>
      </c>
      <c r="ET115" t="e">
        <f>AND('Planilla_General_07-12-2012_8_3'!H1726,"AAAAAH/5vZU=")</f>
        <v>#VALUE!</v>
      </c>
      <c r="EU115" t="e">
        <f>AND('Planilla_General_07-12-2012_8_3'!I1726,"AAAAAH/5vZY=")</f>
        <v>#VALUE!</v>
      </c>
      <c r="EV115" t="e">
        <f>AND('Planilla_General_07-12-2012_8_3'!J1726,"AAAAAH/5vZc=")</f>
        <v>#VALUE!</v>
      </c>
      <c r="EW115" t="e">
        <f>AND('Planilla_General_07-12-2012_8_3'!K1726,"AAAAAH/5vZg=")</f>
        <v>#VALUE!</v>
      </c>
      <c r="EX115" t="e">
        <f>AND('Planilla_General_07-12-2012_8_3'!L1726,"AAAAAH/5vZk=")</f>
        <v>#VALUE!</v>
      </c>
      <c r="EY115" t="e">
        <f>AND('Planilla_General_07-12-2012_8_3'!M1726,"AAAAAH/5vZo=")</f>
        <v>#VALUE!</v>
      </c>
      <c r="EZ115" t="e">
        <f>AND('Planilla_General_07-12-2012_8_3'!N1726,"AAAAAH/5vZs=")</f>
        <v>#VALUE!</v>
      </c>
      <c r="FA115" t="e">
        <f>AND('Planilla_General_07-12-2012_8_3'!O1726,"AAAAAH/5vZw=")</f>
        <v>#VALUE!</v>
      </c>
      <c r="FB115" t="e">
        <f>AND('Planilla_General_07-12-2012_8_3'!P1726,"AAAAAH/5vZ0=")</f>
        <v>#VALUE!</v>
      </c>
      <c r="FC115">
        <f>IF('Planilla_General_07-12-2012_8_3'!1727:1727,"AAAAAH/5vZ4=",0)</f>
        <v>0</v>
      </c>
      <c r="FD115" t="e">
        <f>AND('Planilla_General_07-12-2012_8_3'!A1727,"AAAAAH/5vZ8=")</f>
        <v>#VALUE!</v>
      </c>
      <c r="FE115" t="e">
        <f>AND('Planilla_General_07-12-2012_8_3'!B1727,"AAAAAH/5vaA=")</f>
        <v>#VALUE!</v>
      </c>
      <c r="FF115" t="e">
        <f>AND('Planilla_General_07-12-2012_8_3'!C1727,"AAAAAH/5vaE=")</f>
        <v>#VALUE!</v>
      </c>
      <c r="FG115" t="e">
        <f>AND('Planilla_General_07-12-2012_8_3'!D1727,"AAAAAH/5vaI=")</f>
        <v>#VALUE!</v>
      </c>
      <c r="FH115" t="e">
        <f>AND('Planilla_General_07-12-2012_8_3'!E1727,"AAAAAH/5vaM=")</f>
        <v>#VALUE!</v>
      </c>
      <c r="FI115" t="e">
        <f>AND('Planilla_General_07-12-2012_8_3'!F1727,"AAAAAH/5vaQ=")</f>
        <v>#VALUE!</v>
      </c>
      <c r="FJ115" t="e">
        <f>AND('Planilla_General_07-12-2012_8_3'!G1727,"AAAAAH/5vaU=")</f>
        <v>#VALUE!</v>
      </c>
      <c r="FK115" t="e">
        <f>AND('Planilla_General_07-12-2012_8_3'!H1727,"AAAAAH/5vaY=")</f>
        <v>#VALUE!</v>
      </c>
      <c r="FL115" t="e">
        <f>AND('Planilla_General_07-12-2012_8_3'!I1727,"AAAAAH/5vac=")</f>
        <v>#VALUE!</v>
      </c>
      <c r="FM115" t="e">
        <f>AND('Planilla_General_07-12-2012_8_3'!J1727,"AAAAAH/5vag=")</f>
        <v>#VALUE!</v>
      </c>
      <c r="FN115" t="e">
        <f>AND('Planilla_General_07-12-2012_8_3'!K1727,"AAAAAH/5vak=")</f>
        <v>#VALUE!</v>
      </c>
      <c r="FO115" t="e">
        <f>AND('Planilla_General_07-12-2012_8_3'!L1727,"AAAAAH/5vao=")</f>
        <v>#VALUE!</v>
      </c>
      <c r="FP115" t="e">
        <f>AND('Planilla_General_07-12-2012_8_3'!M1727,"AAAAAH/5vas=")</f>
        <v>#VALUE!</v>
      </c>
      <c r="FQ115" t="e">
        <f>AND('Planilla_General_07-12-2012_8_3'!N1727,"AAAAAH/5vaw=")</f>
        <v>#VALUE!</v>
      </c>
      <c r="FR115" t="e">
        <f>AND('Planilla_General_07-12-2012_8_3'!O1727,"AAAAAH/5va0=")</f>
        <v>#VALUE!</v>
      </c>
      <c r="FS115" t="e">
        <f>AND('Planilla_General_07-12-2012_8_3'!P1727,"AAAAAH/5va4=")</f>
        <v>#VALUE!</v>
      </c>
      <c r="FT115">
        <f>IF('Planilla_General_07-12-2012_8_3'!1728:1728,"AAAAAH/5va8=",0)</f>
        <v>0</v>
      </c>
      <c r="FU115" t="e">
        <f>AND('Planilla_General_07-12-2012_8_3'!A1728,"AAAAAH/5vbA=")</f>
        <v>#VALUE!</v>
      </c>
      <c r="FV115" t="e">
        <f>AND('Planilla_General_07-12-2012_8_3'!B1728,"AAAAAH/5vbE=")</f>
        <v>#VALUE!</v>
      </c>
      <c r="FW115" t="e">
        <f>AND('Planilla_General_07-12-2012_8_3'!C1728,"AAAAAH/5vbI=")</f>
        <v>#VALUE!</v>
      </c>
      <c r="FX115" t="e">
        <f>AND('Planilla_General_07-12-2012_8_3'!D1728,"AAAAAH/5vbM=")</f>
        <v>#VALUE!</v>
      </c>
      <c r="FY115" t="e">
        <f>AND('Planilla_General_07-12-2012_8_3'!E1728,"AAAAAH/5vbQ=")</f>
        <v>#VALUE!</v>
      </c>
      <c r="FZ115" t="e">
        <f>AND('Planilla_General_07-12-2012_8_3'!F1728,"AAAAAH/5vbU=")</f>
        <v>#VALUE!</v>
      </c>
      <c r="GA115" t="e">
        <f>AND('Planilla_General_07-12-2012_8_3'!G1728,"AAAAAH/5vbY=")</f>
        <v>#VALUE!</v>
      </c>
      <c r="GB115" t="e">
        <f>AND('Planilla_General_07-12-2012_8_3'!H1728,"AAAAAH/5vbc=")</f>
        <v>#VALUE!</v>
      </c>
      <c r="GC115" t="e">
        <f>AND('Planilla_General_07-12-2012_8_3'!I1728,"AAAAAH/5vbg=")</f>
        <v>#VALUE!</v>
      </c>
      <c r="GD115" t="e">
        <f>AND('Planilla_General_07-12-2012_8_3'!J1728,"AAAAAH/5vbk=")</f>
        <v>#VALUE!</v>
      </c>
      <c r="GE115" t="e">
        <f>AND('Planilla_General_07-12-2012_8_3'!K1728,"AAAAAH/5vbo=")</f>
        <v>#VALUE!</v>
      </c>
      <c r="GF115" t="e">
        <f>AND('Planilla_General_07-12-2012_8_3'!L1728,"AAAAAH/5vbs=")</f>
        <v>#VALUE!</v>
      </c>
      <c r="GG115" t="e">
        <f>AND('Planilla_General_07-12-2012_8_3'!M1728,"AAAAAH/5vbw=")</f>
        <v>#VALUE!</v>
      </c>
      <c r="GH115" t="e">
        <f>AND('Planilla_General_07-12-2012_8_3'!N1728,"AAAAAH/5vb0=")</f>
        <v>#VALUE!</v>
      </c>
      <c r="GI115" t="e">
        <f>AND('Planilla_General_07-12-2012_8_3'!O1728,"AAAAAH/5vb4=")</f>
        <v>#VALUE!</v>
      </c>
      <c r="GJ115" t="e">
        <f>AND('Planilla_General_07-12-2012_8_3'!P1728,"AAAAAH/5vb8=")</f>
        <v>#VALUE!</v>
      </c>
      <c r="GK115">
        <f>IF('Planilla_General_07-12-2012_8_3'!1729:1729,"AAAAAH/5vcA=",0)</f>
        <v>0</v>
      </c>
      <c r="GL115" t="e">
        <f>AND('Planilla_General_07-12-2012_8_3'!A1729,"AAAAAH/5vcE=")</f>
        <v>#VALUE!</v>
      </c>
      <c r="GM115" t="e">
        <f>AND('Planilla_General_07-12-2012_8_3'!B1729,"AAAAAH/5vcI=")</f>
        <v>#VALUE!</v>
      </c>
      <c r="GN115" t="e">
        <f>AND('Planilla_General_07-12-2012_8_3'!C1729,"AAAAAH/5vcM=")</f>
        <v>#VALUE!</v>
      </c>
      <c r="GO115" t="e">
        <f>AND('Planilla_General_07-12-2012_8_3'!D1729,"AAAAAH/5vcQ=")</f>
        <v>#VALUE!</v>
      </c>
      <c r="GP115" t="e">
        <f>AND('Planilla_General_07-12-2012_8_3'!E1729,"AAAAAH/5vcU=")</f>
        <v>#VALUE!</v>
      </c>
      <c r="GQ115" t="e">
        <f>AND('Planilla_General_07-12-2012_8_3'!F1729,"AAAAAH/5vcY=")</f>
        <v>#VALUE!</v>
      </c>
      <c r="GR115" t="e">
        <f>AND('Planilla_General_07-12-2012_8_3'!G1729,"AAAAAH/5vcc=")</f>
        <v>#VALUE!</v>
      </c>
      <c r="GS115" t="e">
        <f>AND('Planilla_General_07-12-2012_8_3'!H1729,"AAAAAH/5vcg=")</f>
        <v>#VALUE!</v>
      </c>
      <c r="GT115" t="e">
        <f>AND('Planilla_General_07-12-2012_8_3'!I1729,"AAAAAH/5vck=")</f>
        <v>#VALUE!</v>
      </c>
      <c r="GU115" t="e">
        <f>AND('Planilla_General_07-12-2012_8_3'!J1729,"AAAAAH/5vco=")</f>
        <v>#VALUE!</v>
      </c>
      <c r="GV115" t="e">
        <f>AND('Planilla_General_07-12-2012_8_3'!K1729,"AAAAAH/5vcs=")</f>
        <v>#VALUE!</v>
      </c>
      <c r="GW115" t="e">
        <f>AND('Planilla_General_07-12-2012_8_3'!L1729,"AAAAAH/5vcw=")</f>
        <v>#VALUE!</v>
      </c>
      <c r="GX115" t="e">
        <f>AND('Planilla_General_07-12-2012_8_3'!M1729,"AAAAAH/5vc0=")</f>
        <v>#VALUE!</v>
      </c>
      <c r="GY115" t="e">
        <f>AND('Planilla_General_07-12-2012_8_3'!N1729,"AAAAAH/5vc4=")</f>
        <v>#VALUE!</v>
      </c>
      <c r="GZ115" t="e">
        <f>AND('Planilla_General_07-12-2012_8_3'!O1729,"AAAAAH/5vc8=")</f>
        <v>#VALUE!</v>
      </c>
      <c r="HA115" t="e">
        <f>AND('Planilla_General_07-12-2012_8_3'!P1729,"AAAAAH/5vdA=")</f>
        <v>#VALUE!</v>
      </c>
      <c r="HB115">
        <f>IF('Planilla_General_07-12-2012_8_3'!1730:1730,"AAAAAH/5vdE=",0)</f>
        <v>0</v>
      </c>
      <c r="HC115" t="e">
        <f>AND('Planilla_General_07-12-2012_8_3'!A1730,"AAAAAH/5vdI=")</f>
        <v>#VALUE!</v>
      </c>
      <c r="HD115" t="e">
        <f>AND('Planilla_General_07-12-2012_8_3'!B1730,"AAAAAH/5vdM=")</f>
        <v>#VALUE!</v>
      </c>
      <c r="HE115" t="e">
        <f>AND('Planilla_General_07-12-2012_8_3'!C1730,"AAAAAH/5vdQ=")</f>
        <v>#VALUE!</v>
      </c>
      <c r="HF115" t="e">
        <f>AND('Planilla_General_07-12-2012_8_3'!D1730,"AAAAAH/5vdU=")</f>
        <v>#VALUE!</v>
      </c>
      <c r="HG115" t="e">
        <f>AND('Planilla_General_07-12-2012_8_3'!E1730,"AAAAAH/5vdY=")</f>
        <v>#VALUE!</v>
      </c>
      <c r="HH115" t="e">
        <f>AND('Planilla_General_07-12-2012_8_3'!F1730,"AAAAAH/5vdc=")</f>
        <v>#VALUE!</v>
      </c>
      <c r="HI115" t="e">
        <f>AND('Planilla_General_07-12-2012_8_3'!G1730,"AAAAAH/5vdg=")</f>
        <v>#VALUE!</v>
      </c>
      <c r="HJ115" t="e">
        <f>AND('Planilla_General_07-12-2012_8_3'!H1730,"AAAAAH/5vdk=")</f>
        <v>#VALUE!</v>
      </c>
      <c r="HK115" t="e">
        <f>AND('Planilla_General_07-12-2012_8_3'!I1730,"AAAAAH/5vdo=")</f>
        <v>#VALUE!</v>
      </c>
      <c r="HL115" t="e">
        <f>AND('Planilla_General_07-12-2012_8_3'!J1730,"AAAAAH/5vds=")</f>
        <v>#VALUE!</v>
      </c>
      <c r="HM115" t="e">
        <f>AND('Planilla_General_07-12-2012_8_3'!K1730,"AAAAAH/5vdw=")</f>
        <v>#VALUE!</v>
      </c>
      <c r="HN115" t="e">
        <f>AND('Planilla_General_07-12-2012_8_3'!L1730,"AAAAAH/5vd0=")</f>
        <v>#VALUE!</v>
      </c>
      <c r="HO115" t="e">
        <f>AND('Planilla_General_07-12-2012_8_3'!M1730,"AAAAAH/5vd4=")</f>
        <v>#VALUE!</v>
      </c>
      <c r="HP115" t="e">
        <f>AND('Planilla_General_07-12-2012_8_3'!N1730,"AAAAAH/5vd8=")</f>
        <v>#VALUE!</v>
      </c>
      <c r="HQ115" t="e">
        <f>AND('Planilla_General_07-12-2012_8_3'!O1730,"AAAAAH/5veA=")</f>
        <v>#VALUE!</v>
      </c>
      <c r="HR115" t="e">
        <f>AND('Planilla_General_07-12-2012_8_3'!P1730,"AAAAAH/5veE=")</f>
        <v>#VALUE!</v>
      </c>
      <c r="HS115">
        <f>IF('Planilla_General_07-12-2012_8_3'!1731:1731,"AAAAAH/5veI=",0)</f>
        <v>0</v>
      </c>
      <c r="HT115" t="e">
        <f>AND('Planilla_General_07-12-2012_8_3'!A1731,"AAAAAH/5veM=")</f>
        <v>#VALUE!</v>
      </c>
      <c r="HU115" t="e">
        <f>AND('Planilla_General_07-12-2012_8_3'!B1731,"AAAAAH/5veQ=")</f>
        <v>#VALUE!</v>
      </c>
      <c r="HV115" t="e">
        <f>AND('Planilla_General_07-12-2012_8_3'!C1731,"AAAAAH/5veU=")</f>
        <v>#VALUE!</v>
      </c>
      <c r="HW115" t="e">
        <f>AND('Planilla_General_07-12-2012_8_3'!D1731,"AAAAAH/5veY=")</f>
        <v>#VALUE!</v>
      </c>
      <c r="HX115" t="e">
        <f>AND('Planilla_General_07-12-2012_8_3'!E1731,"AAAAAH/5vec=")</f>
        <v>#VALUE!</v>
      </c>
      <c r="HY115" t="e">
        <f>AND('Planilla_General_07-12-2012_8_3'!F1731,"AAAAAH/5veg=")</f>
        <v>#VALUE!</v>
      </c>
      <c r="HZ115" t="e">
        <f>AND('Planilla_General_07-12-2012_8_3'!G1731,"AAAAAH/5vek=")</f>
        <v>#VALUE!</v>
      </c>
      <c r="IA115" t="e">
        <f>AND('Planilla_General_07-12-2012_8_3'!H1731,"AAAAAH/5veo=")</f>
        <v>#VALUE!</v>
      </c>
      <c r="IB115" t="e">
        <f>AND('Planilla_General_07-12-2012_8_3'!I1731,"AAAAAH/5ves=")</f>
        <v>#VALUE!</v>
      </c>
      <c r="IC115" t="e">
        <f>AND('Planilla_General_07-12-2012_8_3'!J1731,"AAAAAH/5vew=")</f>
        <v>#VALUE!</v>
      </c>
      <c r="ID115" t="e">
        <f>AND('Planilla_General_07-12-2012_8_3'!K1731,"AAAAAH/5ve0=")</f>
        <v>#VALUE!</v>
      </c>
      <c r="IE115" t="e">
        <f>AND('Planilla_General_07-12-2012_8_3'!L1731,"AAAAAH/5ve4=")</f>
        <v>#VALUE!</v>
      </c>
      <c r="IF115" t="e">
        <f>AND('Planilla_General_07-12-2012_8_3'!M1731,"AAAAAH/5ve8=")</f>
        <v>#VALUE!</v>
      </c>
      <c r="IG115" t="e">
        <f>AND('Planilla_General_07-12-2012_8_3'!N1731,"AAAAAH/5vfA=")</f>
        <v>#VALUE!</v>
      </c>
      <c r="IH115" t="e">
        <f>AND('Planilla_General_07-12-2012_8_3'!O1731,"AAAAAH/5vfE=")</f>
        <v>#VALUE!</v>
      </c>
      <c r="II115" t="e">
        <f>AND('Planilla_General_07-12-2012_8_3'!P1731,"AAAAAH/5vfI=")</f>
        <v>#VALUE!</v>
      </c>
      <c r="IJ115">
        <f>IF('Planilla_General_07-12-2012_8_3'!1732:1732,"AAAAAH/5vfM=",0)</f>
        <v>0</v>
      </c>
      <c r="IK115" t="e">
        <f>AND('Planilla_General_07-12-2012_8_3'!A1732,"AAAAAH/5vfQ=")</f>
        <v>#VALUE!</v>
      </c>
      <c r="IL115" t="e">
        <f>AND('Planilla_General_07-12-2012_8_3'!B1732,"AAAAAH/5vfU=")</f>
        <v>#VALUE!</v>
      </c>
      <c r="IM115" t="e">
        <f>AND('Planilla_General_07-12-2012_8_3'!C1732,"AAAAAH/5vfY=")</f>
        <v>#VALUE!</v>
      </c>
      <c r="IN115" t="e">
        <f>AND('Planilla_General_07-12-2012_8_3'!D1732,"AAAAAH/5vfc=")</f>
        <v>#VALUE!</v>
      </c>
      <c r="IO115" t="e">
        <f>AND('Planilla_General_07-12-2012_8_3'!E1732,"AAAAAH/5vfg=")</f>
        <v>#VALUE!</v>
      </c>
      <c r="IP115" t="e">
        <f>AND('Planilla_General_07-12-2012_8_3'!F1732,"AAAAAH/5vfk=")</f>
        <v>#VALUE!</v>
      </c>
      <c r="IQ115" t="e">
        <f>AND('Planilla_General_07-12-2012_8_3'!G1732,"AAAAAH/5vfo=")</f>
        <v>#VALUE!</v>
      </c>
      <c r="IR115" t="e">
        <f>AND('Planilla_General_07-12-2012_8_3'!H1732,"AAAAAH/5vfs=")</f>
        <v>#VALUE!</v>
      </c>
      <c r="IS115" t="e">
        <f>AND('Planilla_General_07-12-2012_8_3'!I1732,"AAAAAH/5vfw=")</f>
        <v>#VALUE!</v>
      </c>
      <c r="IT115" t="e">
        <f>AND('Planilla_General_07-12-2012_8_3'!J1732,"AAAAAH/5vf0=")</f>
        <v>#VALUE!</v>
      </c>
      <c r="IU115" t="e">
        <f>AND('Planilla_General_07-12-2012_8_3'!K1732,"AAAAAH/5vf4=")</f>
        <v>#VALUE!</v>
      </c>
      <c r="IV115" t="e">
        <f>AND('Planilla_General_07-12-2012_8_3'!L1732,"AAAAAH/5vf8=")</f>
        <v>#VALUE!</v>
      </c>
    </row>
    <row r="116" spans="1:256" x14ac:dyDescent="0.25">
      <c r="A116" t="e">
        <f>AND('Planilla_General_07-12-2012_8_3'!M1732,"AAAAAG99vwA=")</f>
        <v>#VALUE!</v>
      </c>
      <c r="B116" t="e">
        <f>AND('Planilla_General_07-12-2012_8_3'!N1732,"AAAAAG99vwE=")</f>
        <v>#VALUE!</v>
      </c>
      <c r="C116" t="e">
        <f>AND('Planilla_General_07-12-2012_8_3'!O1732,"AAAAAG99vwI=")</f>
        <v>#VALUE!</v>
      </c>
      <c r="D116" t="e">
        <f>AND('Planilla_General_07-12-2012_8_3'!P1732,"AAAAAG99vwM=")</f>
        <v>#VALUE!</v>
      </c>
      <c r="E116" t="e">
        <f>IF('Planilla_General_07-12-2012_8_3'!1733:1733,"AAAAAG99vwQ=",0)</f>
        <v>#VALUE!</v>
      </c>
      <c r="F116" t="e">
        <f>AND('Planilla_General_07-12-2012_8_3'!A1733,"AAAAAG99vwU=")</f>
        <v>#VALUE!</v>
      </c>
      <c r="G116" t="e">
        <f>AND('Planilla_General_07-12-2012_8_3'!B1733,"AAAAAG99vwY=")</f>
        <v>#VALUE!</v>
      </c>
      <c r="H116" t="e">
        <f>AND('Planilla_General_07-12-2012_8_3'!C1733,"AAAAAG99vwc=")</f>
        <v>#VALUE!</v>
      </c>
      <c r="I116" t="e">
        <f>AND('Planilla_General_07-12-2012_8_3'!D1733,"AAAAAG99vwg=")</f>
        <v>#VALUE!</v>
      </c>
      <c r="J116" t="e">
        <f>AND('Planilla_General_07-12-2012_8_3'!E1733,"AAAAAG99vwk=")</f>
        <v>#VALUE!</v>
      </c>
      <c r="K116" t="e">
        <f>AND('Planilla_General_07-12-2012_8_3'!F1733,"AAAAAG99vwo=")</f>
        <v>#VALUE!</v>
      </c>
      <c r="L116" t="e">
        <f>AND('Planilla_General_07-12-2012_8_3'!G1733,"AAAAAG99vws=")</f>
        <v>#VALUE!</v>
      </c>
      <c r="M116" t="e">
        <f>AND('Planilla_General_07-12-2012_8_3'!H1733,"AAAAAG99vww=")</f>
        <v>#VALUE!</v>
      </c>
      <c r="N116" t="e">
        <f>AND('Planilla_General_07-12-2012_8_3'!I1733,"AAAAAG99vw0=")</f>
        <v>#VALUE!</v>
      </c>
      <c r="O116" t="e">
        <f>AND('Planilla_General_07-12-2012_8_3'!J1733,"AAAAAG99vw4=")</f>
        <v>#VALUE!</v>
      </c>
      <c r="P116" t="e">
        <f>AND('Planilla_General_07-12-2012_8_3'!K1733,"AAAAAG99vw8=")</f>
        <v>#VALUE!</v>
      </c>
      <c r="Q116" t="e">
        <f>AND('Planilla_General_07-12-2012_8_3'!L1733,"AAAAAG99vxA=")</f>
        <v>#VALUE!</v>
      </c>
      <c r="R116" t="e">
        <f>AND('Planilla_General_07-12-2012_8_3'!M1733,"AAAAAG99vxE=")</f>
        <v>#VALUE!</v>
      </c>
      <c r="S116" t="e">
        <f>AND('Planilla_General_07-12-2012_8_3'!N1733,"AAAAAG99vxI=")</f>
        <v>#VALUE!</v>
      </c>
      <c r="T116" t="e">
        <f>AND('Planilla_General_07-12-2012_8_3'!O1733,"AAAAAG99vxM=")</f>
        <v>#VALUE!</v>
      </c>
      <c r="U116" t="e">
        <f>AND('Planilla_General_07-12-2012_8_3'!P1733,"AAAAAG99vxQ=")</f>
        <v>#VALUE!</v>
      </c>
      <c r="V116">
        <f>IF('Planilla_General_07-12-2012_8_3'!1734:1734,"AAAAAG99vxU=",0)</f>
        <v>0</v>
      </c>
      <c r="W116" t="e">
        <f>AND('Planilla_General_07-12-2012_8_3'!A1734,"AAAAAG99vxY=")</f>
        <v>#VALUE!</v>
      </c>
      <c r="X116" t="e">
        <f>AND('Planilla_General_07-12-2012_8_3'!B1734,"AAAAAG99vxc=")</f>
        <v>#VALUE!</v>
      </c>
      <c r="Y116" t="e">
        <f>AND('Planilla_General_07-12-2012_8_3'!C1734,"AAAAAG99vxg=")</f>
        <v>#VALUE!</v>
      </c>
      <c r="Z116" t="e">
        <f>AND('Planilla_General_07-12-2012_8_3'!D1734,"AAAAAG99vxk=")</f>
        <v>#VALUE!</v>
      </c>
      <c r="AA116" t="e">
        <f>AND('Planilla_General_07-12-2012_8_3'!E1734,"AAAAAG99vxo=")</f>
        <v>#VALUE!</v>
      </c>
      <c r="AB116" t="e">
        <f>AND('Planilla_General_07-12-2012_8_3'!F1734,"AAAAAG99vxs=")</f>
        <v>#VALUE!</v>
      </c>
      <c r="AC116" t="e">
        <f>AND('Planilla_General_07-12-2012_8_3'!G1734,"AAAAAG99vxw=")</f>
        <v>#VALUE!</v>
      </c>
      <c r="AD116" t="e">
        <f>AND('Planilla_General_07-12-2012_8_3'!H1734,"AAAAAG99vx0=")</f>
        <v>#VALUE!</v>
      </c>
      <c r="AE116" t="e">
        <f>AND('Planilla_General_07-12-2012_8_3'!I1734,"AAAAAG99vx4=")</f>
        <v>#VALUE!</v>
      </c>
      <c r="AF116" t="e">
        <f>AND('Planilla_General_07-12-2012_8_3'!J1734,"AAAAAG99vx8=")</f>
        <v>#VALUE!</v>
      </c>
      <c r="AG116" t="e">
        <f>AND('Planilla_General_07-12-2012_8_3'!K1734,"AAAAAG99vyA=")</f>
        <v>#VALUE!</v>
      </c>
      <c r="AH116" t="e">
        <f>AND('Planilla_General_07-12-2012_8_3'!L1734,"AAAAAG99vyE=")</f>
        <v>#VALUE!</v>
      </c>
      <c r="AI116" t="e">
        <f>AND('Planilla_General_07-12-2012_8_3'!M1734,"AAAAAG99vyI=")</f>
        <v>#VALUE!</v>
      </c>
      <c r="AJ116" t="e">
        <f>AND('Planilla_General_07-12-2012_8_3'!N1734,"AAAAAG99vyM=")</f>
        <v>#VALUE!</v>
      </c>
      <c r="AK116" t="e">
        <f>AND('Planilla_General_07-12-2012_8_3'!O1734,"AAAAAG99vyQ=")</f>
        <v>#VALUE!</v>
      </c>
      <c r="AL116" t="e">
        <f>AND('Planilla_General_07-12-2012_8_3'!P1734,"AAAAAG99vyU=")</f>
        <v>#VALUE!</v>
      </c>
      <c r="AM116">
        <f>IF('Planilla_General_07-12-2012_8_3'!1735:1735,"AAAAAG99vyY=",0)</f>
        <v>0</v>
      </c>
      <c r="AN116" t="e">
        <f>AND('Planilla_General_07-12-2012_8_3'!A1735,"AAAAAG99vyc=")</f>
        <v>#VALUE!</v>
      </c>
      <c r="AO116" t="e">
        <f>AND('Planilla_General_07-12-2012_8_3'!B1735,"AAAAAG99vyg=")</f>
        <v>#VALUE!</v>
      </c>
      <c r="AP116" t="e">
        <f>AND('Planilla_General_07-12-2012_8_3'!C1735,"AAAAAG99vyk=")</f>
        <v>#VALUE!</v>
      </c>
      <c r="AQ116" t="e">
        <f>AND('Planilla_General_07-12-2012_8_3'!D1735,"AAAAAG99vyo=")</f>
        <v>#VALUE!</v>
      </c>
      <c r="AR116" t="e">
        <f>AND('Planilla_General_07-12-2012_8_3'!E1735,"AAAAAG99vys=")</f>
        <v>#VALUE!</v>
      </c>
      <c r="AS116" t="e">
        <f>AND('Planilla_General_07-12-2012_8_3'!F1735,"AAAAAG99vyw=")</f>
        <v>#VALUE!</v>
      </c>
      <c r="AT116" t="e">
        <f>AND('Planilla_General_07-12-2012_8_3'!G1735,"AAAAAG99vy0=")</f>
        <v>#VALUE!</v>
      </c>
      <c r="AU116" t="e">
        <f>AND('Planilla_General_07-12-2012_8_3'!H1735,"AAAAAG99vy4=")</f>
        <v>#VALUE!</v>
      </c>
      <c r="AV116" t="e">
        <f>AND('Planilla_General_07-12-2012_8_3'!I1735,"AAAAAG99vy8=")</f>
        <v>#VALUE!</v>
      </c>
      <c r="AW116" t="e">
        <f>AND('Planilla_General_07-12-2012_8_3'!J1735,"AAAAAG99vzA=")</f>
        <v>#VALUE!</v>
      </c>
      <c r="AX116" t="e">
        <f>AND('Planilla_General_07-12-2012_8_3'!K1735,"AAAAAG99vzE=")</f>
        <v>#VALUE!</v>
      </c>
      <c r="AY116" t="e">
        <f>AND('Planilla_General_07-12-2012_8_3'!L1735,"AAAAAG99vzI=")</f>
        <v>#VALUE!</v>
      </c>
      <c r="AZ116" t="e">
        <f>AND('Planilla_General_07-12-2012_8_3'!M1735,"AAAAAG99vzM=")</f>
        <v>#VALUE!</v>
      </c>
      <c r="BA116" t="e">
        <f>AND('Planilla_General_07-12-2012_8_3'!N1735,"AAAAAG99vzQ=")</f>
        <v>#VALUE!</v>
      </c>
      <c r="BB116" t="e">
        <f>AND('Planilla_General_07-12-2012_8_3'!O1735,"AAAAAG99vzU=")</f>
        <v>#VALUE!</v>
      </c>
      <c r="BC116" t="e">
        <f>AND('Planilla_General_07-12-2012_8_3'!P1735,"AAAAAG99vzY=")</f>
        <v>#VALUE!</v>
      </c>
      <c r="BD116">
        <f>IF('Planilla_General_07-12-2012_8_3'!1736:1736,"AAAAAG99vzc=",0)</f>
        <v>0</v>
      </c>
      <c r="BE116" t="e">
        <f>AND('Planilla_General_07-12-2012_8_3'!A1736,"AAAAAG99vzg=")</f>
        <v>#VALUE!</v>
      </c>
      <c r="BF116" t="e">
        <f>AND('Planilla_General_07-12-2012_8_3'!B1736,"AAAAAG99vzk=")</f>
        <v>#VALUE!</v>
      </c>
      <c r="BG116" t="e">
        <f>AND('Planilla_General_07-12-2012_8_3'!C1736,"AAAAAG99vzo=")</f>
        <v>#VALUE!</v>
      </c>
      <c r="BH116" t="e">
        <f>AND('Planilla_General_07-12-2012_8_3'!D1736,"AAAAAG99vzs=")</f>
        <v>#VALUE!</v>
      </c>
      <c r="BI116" t="e">
        <f>AND('Planilla_General_07-12-2012_8_3'!E1736,"AAAAAG99vzw=")</f>
        <v>#VALUE!</v>
      </c>
      <c r="BJ116" t="e">
        <f>AND('Planilla_General_07-12-2012_8_3'!F1736,"AAAAAG99vz0=")</f>
        <v>#VALUE!</v>
      </c>
      <c r="BK116" t="e">
        <f>AND('Planilla_General_07-12-2012_8_3'!G1736,"AAAAAG99vz4=")</f>
        <v>#VALUE!</v>
      </c>
      <c r="BL116" t="e">
        <f>AND('Planilla_General_07-12-2012_8_3'!H1736,"AAAAAG99vz8=")</f>
        <v>#VALUE!</v>
      </c>
      <c r="BM116" t="e">
        <f>AND('Planilla_General_07-12-2012_8_3'!I1736,"AAAAAG99v0A=")</f>
        <v>#VALUE!</v>
      </c>
      <c r="BN116" t="e">
        <f>AND('Planilla_General_07-12-2012_8_3'!J1736,"AAAAAG99v0E=")</f>
        <v>#VALUE!</v>
      </c>
      <c r="BO116" t="e">
        <f>AND('Planilla_General_07-12-2012_8_3'!K1736,"AAAAAG99v0I=")</f>
        <v>#VALUE!</v>
      </c>
      <c r="BP116" t="e">
        <f>AND('Planilla_General_07-12-2012_8_3'!L1736,"AAAAAG99v0M=")</f>
        <v>#VALUE!</v>
      </c>
      <c r="BQ116" t="e">
        <f>AND('Planilla_General_07-12-2012_8_3'!M1736,"AAAAAG99v0Q=")</f>
        <v>#VALUE!</v>
      </c>
      <c r="BR116" t="e">
        <f>AND('Planilla_General_07-12-2012_8_3'!N1736,"AAAAAG99v0U=")</f>
        <v>#VALUE!</v>
      </c>
      <c r="BS116" t="e">
        <f>AND('Planilla_General_07-12-2012_8_3'!O1736,"AAAAAG99v0Y=")</f>
        <v>#VALUE!</v>
      </c>
      <c r="BT116" t="e">
        <f>AND('Planilla_General_07-12-2012_8_3'!P1736,"AAAAAG99v0c=")</f>
        <v>#VALUE!</v>
      </c>
      <c r="BU116">
        <f>IF('Planilla_General_07-12-2012_8_3'!1737:1737,"AAAAAG99v0g=",0)</f>
        <v>0</v>
      </c>
      <c r="BV116" t="e">
        <f>AND('Planilla_General_07-12-2012_8_3'!A1737,"AAAAAG99v0k=")</f>
        <v>#VALUE!</v>
      </c>
      <c r="BW116" t="e">
        <f>AND('Planilla_General_07-12-2012_8_3'!B1737,"AAAAAG99v0o=")</f>
        <v>#VALUE!</v>
      </c>
      <c r="BX116" t="e">
        <f>AND('Planilla_General_07-12-2012_8_3'!C1737,"AAAAAG99v0s=")</f>
        <v>#VALUE!</v>
      </c>
      <c r="BY116" t="e">
        <f>AND('Planilla_General_07-12-2012_8_3'!D1737,"AAAAAG99v0w=")</f>
        <v>#VALUE!</v>
      </c>
      <c r="BZ116" t="e">
        <f>AND('Planilla_General_07-12-2012_8_3'!E1737,"AAAAAG99v00=")</f>
        <v>#VALUE!</v>
      </c>
      <c r="CA116" t="e">
        <f>AND('Planilla_General_07-12-2012_8_3'!F1737,"AAAAAG99v04=")</f>
        <v>#VALUE!</v>
      </c>
      <c r="CB116" t="e">
        <f>AND('Planilla_General_07-12-2012_8_3'!G1737,"AAAAAG99v08=")</f>
        <v>#VALUE!</v>
      </c>
      <c r="CC116" t="e">
        <f>AND('Planilla_General_07-12-2012_8_3'!H1737,"AAAAAG99v1A=")</f>
        <v>#VALUE!</v>
      </c>
      <c r="CD116" t="e">
        <f>AND('Planilla_General_07-12-2012_8_3'!I1737,"AAAAAG99v1E=")</f>
        <v>#VALUE!</v>
      </c>
      <c r="CE116" t="e">
        <f>AND('Planilla_General_07-12-2012_8_3'!J1737,"AAAAAG99v1I=")</f>
        <v>#VALUE!</v>
      </c>
      <c r="CF116" t="e">
        <f>AND('Planilla_General_07-12-2012_8_3'!K1737,"AAAAAG99v1M=")</f>
        <v>#VALUE!</v>
      </c>
      <c r="CG116" t="e">
        <f>AND('Planilla_General_07-12-2012_8_3'!L1737,"AAAAAG99v1Q=")</f>
        <v>#VALUE!</v>
      </c>
      <c r="CH116" t="e">
        <f>AND('Planilla_General_07-12-2012_8_3'!M1737,"AAAAAG99v1U=")</f>
        <v>#VALUE!</v>
      </c>
      <c r="CI116" t="e">
        <f>AND('Planilla_General_07-12-2012_8_3'!N1737,"AAAAAG99v1Y=")</f>
        <v>#VALUE!</v>
      </c>
      <c r="CJ116" t="e">
        <f>AND('Planilla_General_07-12-2012_8_3'!O1737,"AAAAAG99v1c=")</f>
        <v>#VALUE!</v>
      </c>
      <c r="CK116" t="e">
        <f>AND('Planilla_General_07-12-2012_8_3'!P1737,"AAAAAG99v1g=")</f>
        <v>#VALUE!</v>
      </c>
      <c r="CL116">
        <f>IF('Planilla_General_07-12-2012_8_3'!1738:1738,"AAAAAG99v1k=",0)</f>
        <v>0</v>
      </c>
      <c r="CM116" t="e">
        <f>AND('Planilla_General_07-12-2012_8_3'!A1738,"AAAAAG99v1o=")</f>
        <v>#VALUE!</v>
      </c>
      <c r="CN116" t="e">
        <f>AND('Planilla_General_07-12-2012_8_3'!B1738,"AAAAAG99v1s=")</f>
        <v>#VALUE!</v>
      </c>
      <c r="CO116" t="e">
        <f>AND('Planilla_General_07-12-2012_8_3'!C1738,"AAAAAG99v1w=")</f>
        <v>#VALUE!</v>
      </c>
      <c r="CP116" t="e">
        <f>AND('Planilla_General_07-12-2012_8_3'!D1738,"AAAAAG99v10=")</f>
        <v>#VALUE!</v>
      </c>
      <c r="CQ116" t="e">
        <f>AND('Planilla_General_07-12-2012_8_3'!E1738,"AAAAAG99v14=")</f>
        <v>#VALUE!</v>
      </c>
      <c r="CR116" t="e">
        <f>AND('Planilla_General_07-12-2012_8_3'!F1738,"AAAAAG99v18=")</f>
        <v>#VALUE!</v>
      </c>
      <c r="CS116" t="e">
        <f>AND('Planilla_General_07-12-2012_8_3'!G1738,"AAAAAG99v2A=")</f>
        <v>#VALUE!</v>
      </c>
      <c r="CT116" t="e">
        <f>AND('Planilla_General_07-12-2012_8_3'!H1738,"AAAAAG99v2E=")</f>
        <v>#VALUE!</v>
      </c>
      <c r="CU116" t="e">
        <f>AND('Planilla_General_07-12-2012_8_3'!I1738,"AAAAAG99v2I=")</f>
        <v>#VALUE!</v>
      </c>
      <c r="CV116" t="e">
        <f>AND('Planilla_General_07-12-2012_8_3'!J1738,"AAAAAG99v2M=")</f>
        <v>#VALUE!</v>
      </c>
      <c r="CW116" t="e">
        <f>AND('Planilla_General_07-12-2012_8_3'!K1738,"AAAAAG99v2Q=")</f>
        <v>#VALUE!</v>
      </c>
      <c r="CX116" t="e">
        <f>AND('Planilla_General_07-12-2012_8_3'!L1738,"AAAAAG99v2U=")</f>
        <v>#VALUE!</v>
      </c>
      <c r="CY116" t="e">
        <f>AND('Planilla_General_07-12-2012_8_3'!M1738,"AAAAAG99v2Y=")</f>
        <v>#VALUE!</v>
      </c>
      <c r="CZ116" t="e">
        <f>AND('Planilla_General_07-12-2012_8_3'!N1738,"AAAAAG99v2c=")</f>
        <v>#VALUE!</v>
      </c>
      <c r="DA116" t="e">
        <f>AND('Planilla_General_07-12-2012_8_3'!O1738,"AAAAAG99v2g=")</f>
        <v>#VALUE!</v>
      </c>
      <c r="DB116" t="e">
        <f>AND('Planilla_General_07-12-2012_8_3'!P1738,"AAAAAG99v2k=")</f>
        <v>#VALUE!</v>
      </c>
      <c r="DC116">
        <f>IF('Planilla_General_07-12-2012_8_3'!1739:1739,"AAAAAG99v2o=",0)</f>
        <v>0</v>
      </c>
      <c r="DD116" t="e">
        <f>AND('Planilla_General_07-12-2012_8_3'!A1739,"AAAAAG99v2s=")</f>
        <v>#VALUE!</v>
      </c>
      <c r="DE116" t="e">
        <f>AND('Planilla_General_07-12-2012_8_3'!B1739,"AAAAAG99v2w=")</f>
        <v>#VALUE!</v>
      </c>
      <c r="DF116" t="e">
        <f>AND('Planilla_General_07-12-2012_8_3'!C1739,"AAAAAG99v20=")</f>
        <v>#VALUE!</v>
      </c>
      <c r="DG116" t="e">
        <f>AND('Planilla_General_07-12-2012_8_3'!D1739,"AAAAAG99v24=")</f>
        <v>#VALUE!</v>
      </c>
      <c r="DH116" t="e">
        <f>AND('Planilla_General_07-12-2012_8_3'!E1739,"AAAAAG99v28=")</f>
        <v>#VALUE!</v>
      </c>
      <c r="DI116" t="e">
        <f>AND('Planilla_General_07-12-2012_8_3'!F1739,"AAAAAG99v3A=")</f>
        <v>#VALUE!</v>
      </c>
      <c r="DJ116" t="e">
        <f>AND('Planilla_General_07-12-2012_8_3'!G1739,"AAAAAG99v3E=")</f>
        <v>#VALUE!</v>
      </c>
      <c r="DK116" t="e">
        <f>AND('Planilla_General_07-12-2012_8_3'!H1739,"AAAAAG99v3I=")</f>
        <v>#VALUE!</v>
      </c>
      <c r="DL116" t="e">
        <f>AND('Planilla_General_07-12-2012_8_3'!I1739,"AAAAAG99v3M=")</f>
        <v>#VALUE!</v>
      </c>
      <c r="DM116" t="e">
        <f>AND('Planilla_General_07-12-2012_8_3'!J1739,"AAAAAG99v3Q=")</f>
        <v>#VALUE!</v>
      </c>
      <c r="DN116" t="e">
        <f>AND('Planilla_General_07-12-2012_8_3'!K1739,"AAAAAG99v3U=")</f>
        <v>#VALUE!</v>
      </c>
      <c r="DO116" t="e">
        <f>AND('Planilla_General_07-12-2012_8_3'!L1739,"AAAAAG99v3Y=")</f>
        <v>#VALUE!</v>
      </c>
      <c r="DP116" t="e">
        <f>AND('Planilla_General_07-12-2012_8_3'!M1739,"AAAAAG99v3c=")</f>
        <v>#VALUE!</v>
      </c>
      <c r="DQ116" t="e">
        <f>AND('Planilla_General_07-12-2012_8_3'!N1739,"AAAAAG99v3g=")</f>
        <v>#VALUE!</v>
      </c>
      <c r="DR116" t="e">
        <f>AND('Planilla_General_07-12-2012_8_3'!O1739,"AAAAAG99v3k=")</f>
        <v>#VALUE!</v>
      </c>
      <c r="DS116" t="e">
        <f>AND('Planilla_General_07-12-2012_8_3'!P1739,"AAAAAG99v3o=")</f>
        <v>#VALUE!</v>
      </c>
      <c r="DT116">
        <f>IF('Planilla_General_07-12-2012_8_3'!1740:1740,"AAAAAG99v3s=",0)</f>
        <v>0</v>
      </c>
      <c r="DU116" t="e">
        <f>AND('Planilla_General_07-12-2012_8_3'!A1740,"AAAAAG99v3w=")</f>
        <v>#VALUE!</v>
      </c>
      <c r="DV116" t="e">
        <f>AND('Planilla_General_07-12-2012_8_3'!B1740,"AAAAAG99v30=")</f>
        <v>#VALUE!</v>
      </c>
      <c r="DW116" t="e">
        <f>AND('Planilla_General_07-12-2012_8_3'!C1740,"AAAAAG99v34=")</f>
        <v>#VALUE!</v>
      </c>
      <c r="DX116" t="e">
        <f>AND('Planilla_General_07-12-2012_8_3'!D1740,"AAAAAG99v38=")</f>
        <v>#VALUE!</v>
      </c>
      <c r="DY116" t="e">
        <f>AND('Planilla_General_07-12-2012_8_3'!E1740,"AAAAAG99v4A=")</f>
        <v>#VALUE!</v>
      </c>
      <c r="DZ116" t="e">
        <f>AND('Planilla_General_07-12-2012_8_3'!F1740,"AAAAAG99v4E=")</f>
        <v>#VALUE!</v>
      </c>
      <c r="EA116" t="e">
        <f>AND('Planilla_General_07-12-2012_8_3'!G1740,"AAAAAG99v4I=")</f>
        <v>#VALUE!</v>
      </c>
      <c r="EB116" t="e">
        <f>AND('Planilla_General_07-12-2012_8_3'!H1740,"AAAAAG99v4M=")</f>
        <v>#VALUE!</v>
      </c>
      <c r="EC116" t="e">
        <f>AND('Planilla_General_07-12-2012_8_3'!I1740,"AAAAAG99v4Q=")</f>
        <v>#VALUE!</v>
      </c>
      <c r="ED116" t="e">
        <f>AND('Planilla_General_07-12-2012_8_3'!J1740,"AAAAAG99v4U=")</f>
        <v>#VALUE!</v>
      </c>
      <c r="EE116" t="e">
        <f>AND('Planilla_General_07-12-2012_8_3'!K1740,"AAAAAG99v4Y=")</f>
        <v>#VALUE!</v>
      </c>
      <c r="EF116" t="e">
        <f>AND('Planilla_General_07-12-2012_8_3'!L1740,"AAAAAG99v4c=")</f>
        <v>#VALUE!</v>
      </c>
      <c r="EG116" t="e">
        <f>AND('Planilla_General_07-12-2012_8_3'!M1740,"AAAAAG99v4g=")</f>
        <v>#VALUE!</v>
      </c>
      <c r="EH116" t="e">
        <f>AND('Planilla_General_07-12-2012_8_3'!N1740,"AAAAAG99v4k=")</f>
        <v>#VALUE!</v>
      </c>
      <c r="EI116" t="e">
        <f>AND('Planilla_General_07-12-2012_8_3'!O1740,"AAAAAG99v4o=")</f>
        <v>#VALUE!</v>
      </c>
      <c r="EJ116" t="e">
        <f>AND('Planilla_General_07-12-2012_8_3'!P1740,"AAAAAG99v4s=")</f>
        <v>#VALUE!</v>
      </c>
      <c r="EK116">
        <f>IF('Planilla_General_07-12-2012_8_3'!1741:1741,"AAAAAG99v4w=",0)</f>
        <v>0</v>
      </c>
      <c r="EL116" t="e">
        <f>AND('Planilla_General_07-12-2012_8_3'!A1741,"AAAAAG99v40=")</f>
        <v>#VALUE!</v>
      </c>
      <c r="EM116" t="e">
        <f>AND('Planilla_General_07-12-2012_8_3'!B1741,"AAAAAG99v44=")</f>
        <v>#VALUE!</v>
      </c>
      <c r="EN116" t="e">
        <f>AND('Planilla_General_07-12-2012_8_3'!C1741,"AAAAAG99v48=")</f>
        <v>#VALUE!</v>
      </c>
      <c r="EO116" t="e">
        <f>AND('Planilla_General_07-12-2012_8_3'!D1741,"AAAAAG99v5A=")</f>
        <v>#VALUE!</v>
      </c>
      <c r="EP116" t="e">
        <f>AND('Planilla_General_07-12-2012_8_3'!E1741,"AAAAAG99v5E=")</f>
        <v>#VALUE!</v>
      </c>
      <c r="EQ116" t="e">
        <f>AND('Planilla_General_07-12-2012_8_3'!F1741,"AAAAAG99v5I=")</f>
        <v>#VALUE!</v>
      </c>
      <c r="ER116" t="e">
        <f>AND('Planilla_General_07-12-2012_8_3'!G1741,"AAAAAG99v5M=")</f>
        <v>#VALUE!</v>
      </c>
      <c r="ES116" t="e">
        <f>AND('Planilla_General_07-12-2012_8_3'!H1741,"AAAAAG99v5Q=")</f>
        <v>#VALUE!</v>
      </c>
      <c r="ET116" t="e">
        <f>AND('Planilla_General_07-12-2012_8_3'!I1741,"AAAAAG99v5U=")</f>
        <v>#VALUE!</v>
      </c>
      <c r="EU116" t="e">
        <f>AND('Planilla_General_07-12-2012_8_3'!J1741,"AAAAAG99v5Y=")</f>
        <v>#VALUE!</v>
      </c>
      <c r="EV116" t="e">
        <f>AND('Planilla_General_07-12-2012_8_3'!K1741,"AAAAAG99v5c=")</f>
        <v>#VALUE!</v>
      </c>
      <c r="EW116" t="e">
        <f>AND('Planilla_General_07-12-2012_8_3'!L1741,"AAAAAG99v5g=")</f>
        <v>#VALUE!</v>
      </c>
      <c r="EX116" t="e">
        <f>AND('Planilla_General_07-12-2012_8_3'!M1741,"AAAAAG99v5k=")</f>
        <v>#VALUE!</v>
      </c>
      <c r="EY116" t="e">
        <f>AND('Planilla_General_07-12-2012_8_3'!N1741,"AAAAAG99v5o=")</f>
        <v>#VALUE!</v>
      </c>
      <c r="EZ116" t="e">
        <f>AND('Planilla_General_07-12-2012_8_3'!O1741,"AAAAAG99v5s=")</f>
        <v>#VALUE!</v>
      </c>
      <c r="FA116" t="e">
        <f>AND('Planilla_General_07-12-2012_8_3'!P1741,"AAAAAG99v5w=")</f>
        <v>#VALUE!</v>
      </c>
      <c r="FB116">
        <f>IF('Planilla_General_07-12-2012_8_3'!1742:1742,"AAAAAG99v50=",0)</f>
        <v>0</v>
      </c>
      <c r="FC116" t="e">
        <f>AND('Planilla_General_07-12-2012_8_3'!A1742,"AAAAAG99v54=")</f>
        <v>#VALUE!</v>
      </c>
      <c r="FD116" t="e">
        <f>AND('Planilla_General_07-12-2012_8_3'!B1742,"AAAAAG99v58=")</f>
        <v>#VALUE!</v>
      </c>
      <c r="FE116" t="e">
        <f>AND('Planilla_General_07-12-2012_8_3'!C1742,"AAAAAG99v6A=")</f>
        <v>#VALUE!</v>
      </c>
      <c r="FF116" t="e">
        <f>AND('Planilla_General_07-12-2012_8_3'!D1742,"AAAAAG99v6E=")</f>
        <v>#VALUE!</v>
      </c>
      <c r="FG116" t="e">
        <f>AND('Planilla_General_07-12-2012_8_3'!E1742,"AAAAAG99v6I=")</f>
        <v>#VALUE!</v>
      </c>
      <c r="FH116" t="e">
        <f>AND('Planilla_General_07-12-2012_8_3'!F1742,"AAAAAG99v6M=")</f>
        <v>#VALUE!</v>
      </c>
      <c r="FI116" t="e">
        <f>AND('Planilla_General_07-12-2012_8_3'!G1742,"AAAAAG99v6Q=")</f>
        <v>#VALUE!</v>
      </c>
      <c r="FJ116" t="e">
        <f>AND('Planilla_General_07-12-2012_8_3'!H1742,"AAAAAG99v6U=")</f>
        <v>#VALUE!</v>
      </c>
      <c r="FK116" t="e">
        <f>AND('Planilla_General_07-12-2012_8_3'!I1742,"AAAAAG99v6Y=")</f>
        <v>#VALUE!</v>
      </c>
      <c r="FL116" t="e">
        <f>AND('Planilla_General_07-12-2012_8_3'!J1742,"AAAAAG99v6c=")</f>
        <v>#VALUE!</v>
      </c>
      <c r="FM116" t="e">
        <f>AND('Planilla_General_07-12-2012_8_3'!K1742,"AAAAAG99v6g=")</f>
        <v>#VALUE!</v>
      </c>
      <c r="FN116" t="e">
        <f>AND('Planilla_General_07-12-2012_8_3'!L1742,"AAAAAG99v6k=")</f>
        <v>#VALUE!</v>
      </c>
      <c r="FO116" t="e">
        <f>AND('Planilla_General_07-12-2012_8_3'!M1742,"AAAAAG99v6o=")</f>
        <v>#VALUE!</v>
      </c>
      <c r="FP116" t="e">
        <f>AND('Planilla_General_07-12-2012_8_3'!N1742,"AAAAAG99v6s=")</f>
        <v>#VALUE!</v>
      </c>
      <c r="FQ116" t="e">
        <f>AND('Planilla_General_07-12-2012_8_3'!O1742,"AAAAAG99v6w=")</f>
        <v>#VALUE!</v>
      </c>
      <c r="FR116" t="e">
        <f>AND('Planilla_General_07-12-2012_8_3'!P1742,"AAAAAG99v60=")</f>
        <v>#VALUE!</v>
      </c>
      <c r="FS116">
        <f>IF('Planilla_General_07-12-2012_8_3'!1743:1743,"AAAAAG99v64=",0)</f>
        <v>0</v>
      </c>
      <c r="FT116" t="e">
        <f>AND('Planilla_General_07-12-2012_8_3'!A1743,"AAAAAG99v68=")</f>
        <v>#VALUE!</v>
      </c>
      <c r="FU116" t="e">
        <f>AND('Planilla_General_07-12-2012_8_3'!B1743,"AAAAAG99v7A=")</f>
        <v>#VALUE!</v>
      </c>
      <c r="FV116" t="e">
        <f>AND('Planilla_General_07-12-2012_8_3'!C1743,"AAAAAG99v7E=")</f>
        <v>#VALUE!</v>
      </c>
      <c r="FW116" t="e">
        <f>AND('Planilla_General_07-12-2012_8_3'!D1743,"AAAAAG99v7I=")</f>
        <v>#VALUE!</v>
      </c>
      <c r="FX116" t="e">
        <f>AND('Planilla_General_07-12-2012_8_3'!E1743,"AAAAAG99v7M=")</f>
        <v>#VALUE!</v>
      </c>
      <c r="FY116" t="e">
        <f>AND('Planilla_General_07-12-2012_8_3'!F1743,"AAAAAG99v7Q=")</f>
        <v>#VALUE!</v>
      </c>
      <c r="FZ116" t="e">
        <f>AND('Planilla_General_07-12-2012_8_3'!G1743,"AAAAAG99v7U=")</f>
        <v>#VALUE!</v>
      </c>
      <c r="GA116" t="e">
        <f>AND('Planilla_General_07-12-2012_8_3'!H1743,"AAAAAG99v7Y=")</f>
        <v>#VALUE!</v>
      </c>
      <c r="GB116" t="e">
        <f>AND('Planilla_General_07-12-2012_8_3'!I1743,"AAAAAG99v7c=")</f>
        <v>#VALUE!</v>
      </c>
      <c r="GC116" t="e">
        <f>AND('Planilla_General_07-12-2012_8_3'!J1743,"AAAAAG99v7g=")</f>
        <v>#VALUE!</v>
      </c>
      <c r="GD116" t="e">
        <f>AND('Planilla_General_07-12-2012_8_3'!K1743,"AAAAAG99v7k=")</f>
        <v>#VALUE!</v>
      </c>
      <c r="GE116" t="e">
        <f>AND('Planilla_General_07-12-2012_8_3'!L1743,"AAAAAG99v7o=")</f>
        <v>#VALUE!</v>
      </c>
      <c r="GF116" t="e">
        <f>AND('Planilla_General_07-12-2012_8_3'!M1743,"AAAAAG99v7s=")</f>
        <v>#VALUE!</v>
      </c>
      <c r="GG116" t="e">
        <f>AND('Planilla_General_07-12-2012_8_3'!N1743,"AAAAAG99v7w=")</f>
        <v>#VALUE!</v>
      </c>
      <c r="GH116" t="e">
        <f>AND('Planilla_General_07-12-2012_8_3'!O1743,"AAAAAG99v70=")</f>
        <v>#VALUE!</v>
      </c>
      <c r="GI116" t="e">
        <f>AND('Planilla_General_07-12-2012_8_3'!P1743,"AAAAAG99v74=")</f>
        <v>#VALUE!</v>
      </c>
      <c r="GJ116">
        <f>IF('Planilla_General_07-12-2012_8_3'!1744:1744,"AAAAAG99v78=",0)</f>
        <v>0</v>
      </c>
      <c r="GK116" t="e">
        <f>AND('Planilla_General_07-12-2012_8_3'!A1744,"AAAAAG99v8A=")</f>
        <v>#VALUE!</v>
      </c>
      <c r="GL116" t="e">
        <f>AND('Planilla_General_07-12-2012_8_3'!B1744,"AAAAAG99v8E=")</f>
        <v>#VALUE!</v>
      </c>
      <c r="GM116" t="e">
        <f>AND('Planilla_General_07-12-2012_8_3'!C1744,"AAAAAG99v8I=")</f>
        <v>#VALUE!</v>
      </c>
      <c r="GN116" t="e">
        <f>AND('Planilla_General_07-12-2012_8_3'!D1744,"AAAAAG99v8M=")</f>
        <v>#VALUE!</v>
      </c>
      <c r="GO116" t="e">
        <f>AND('Planilla_General_07-12-2012_8_3'!E1744,"AAAAAG99v8Q=")</f>
        <v>#VALUE!</v>
      </c>
      <c r="GP116" t="e">
        <f>AND('Planilla_General_07-12-2012_8_3'!F1744,"AAAAAG99v8U=")</f>
        <v>#VALUE!</v>
      </c>
      <c r="GQ116" t="e">
        <f>AND('Planilla_General_07-12-2012_8_3'!G1744,"AAAAAG99v8Y=")</f>
        <v>#VALUE!</v>
      </c>
      <c r="GR116" t="e">
        <f>AND('Planilla_General_07-12-2012_8_3'!H1744,"AAAAAG99v8c=")</f>
        <v>#VALUE!</v>
      </c>
      <c r="GS116" t="e">
        <f>AND('Planilla_General_07-12-2012_8_3'!I1744,"AAAAAG99v8g=")</f>
        <v>#VALUE!</v>
      </c>
      <c r="GT116" t="e">
        <f>AND('Planilla_General_07-12-2012_8_3'!J1744,"AAAAAG99v8k=")</f>
        <v>#VALUE!</v>
      </c>
      <c r="GU116" t="e">
        <f>AND('Planilla_General_07-12-2012_8_3'!K1744,"AAAAAG99v8o=")</f>
        <v>#VALUE!</v>
      </c>
      <c r="GV116" t="e">
        <f>AND('Planilla_General_07-12-2012_8_3'!L1744,"AAAAAG99v8s=")</f>
        <v>#VALUE!</v>
      </c>
      <c r="GW116" t="e">
        <f>AND('Planilla_General_07-12-2012_8_3'!M1744,"AAAAAG99v8w=")</f>
        <v>#VALUE!</v>
      </c>
      <c r="GX116" t="e">
        <f>AND('Planilla_General_07-12-2012_8_3'!N1744,"AAAAAG99v80=")</f>
        <v>#VALUE!</v>
      </c>
      <c r="GY116" t="e">
        <f>AND('Planilla_General_07-12-2012_8_3'!O1744,"AAAAAG99v84=")</f>
        <v>#VALUE!</v>
      </c>
      <c r="GZ116" t="e">
        <f>AND('Planilla_General_07-12-2012_8_3'!P1744,"AAAAAG99v88=")</f>
        <v>#VALUE!</v>
      </c>
      <c r="HA116">
        <f>IF('Planilla_General_07-12-2012_8_3'!1745:1745,"AAAAAG99v9A=",0)</f>
        <v>0</v>
      </c>
      <c r="HB116" t="e">
        <f>AND('Planilla_General_07-12-2012_8_3'!A1745,"AAAAAG99v9E=")</f>
        <v>#VALUE!</v>
      </c>
      <c r="HC116" t="e">
        <f>AND('Planilla_General_07-12-2012_8_3'!B1745,"AAAAAG99v9I=")</f>
        <v>#VALUE!</v>
      </c>
      <c r="HD116" t="e">
        <f>AND('Planilla_General_07-12-2012_8_3'!C1745,"AAAAAG99v9M=")</f>
        <v>#VALUE!</v>
      </c>
      <c r="HE116" t="e">
        <f>AND('Planilla_General_07-12-2012_8_3'!D1745,"AAAAAG99v9Q=")</f>
        <v>#VALUE!</v>
      </c>
      <c r="HF116" t="e">
        <f>AND('Planilla_General_07-12-2012_8_3'!E1745,"AAAAAG99v9U=")</f>
        <v>#VALUE!</v>
      </c>
      <c r="HG116" t="e">
        <f>AND('Planilla_General_07-12-2012_8_3'!F1745,"AAAAAG99v9Y=")</f>
        <v>#VALUE!</v>
      </c>
      <c r="HH116" t="e">
        <f>AND('Planilla_General_07-12-2012_8_3'!G1745,"AAAAAG99v9c=")</f>
        <v>#VALUE!</v>
      </c>
      <c r="HI116" t="e">
        <f>AND('Planilla_General_07-12-2012_8_3'!H1745,"AAAAAG99v9g=")</f>
        <v>#VALUE!</v>
      </c>
      <c r="HJ116" t="e">
        <f>AND('Planilla_General_07-12-2012_8_3'!I1745,"AAAAAG99v9k=")</f>
        <v>#VALUE!</v>
      </c>
      <c r="HK116" t="e">
        <f>AND('Planilla_General_07-12-2012_8_3'!J1745,"AAAAAG99v9o=")</f>
        <v>#VALUE!</v>
      </c>
      <c r="HL116" t="e">
        <f>AND('Planilla_General_07-12-2012_8_3'!K1745,"AAAAAG99v9s=")</f>
        <v>#VALUE!</v>
      </c>
      <c r="HM116" t="e">
        <f>AND('Planilla_General_07-12-2012_8_3'!L1745,"AAAAAG99v9w=")</f>
        <v>#VALUE!</v>
      </c>
      <c r="HN116" t="e">
        <f>AND('Planilla_General_07-12-2012_8_3'!M1745,"AAAAAG99v90=")</f>
        <v>#VALUE!</v>
      </c>
      <c r="HO116" t="e">
        <f>AND('Planilla_General_07-12-2012_8_3'!N1745,"AAAAAG99v94=")</f>
        <v>#VALUE!</v>
      </c>
      <c r="HP116" t="e">
        <f>AND('Planilla_General_07-12-2012_8_3'!O1745,"AAAAAG99v98=")</f>
        <v>#VALUE!</v>
      </c>
      <c r="HQ116" t="e">
        <f>AND('Planilla_General_07-12-2012_8_3'!P1745,"AAAAAG99v+A=")</f>
        <v>#VALUE!</v>
      </c>
      <c r="HR116">
        <f>IF('Planilla_General_07-12-2012_8_3'!1746:1746,"AAAAAG99v+E=",0)</f>
        <v>0</v>
      </c>
      <c r="HS116" t="e">
        <f>AND('Planilla_General_07-12-2012_8_3'!A1746,"AAAAAG99v+I=")</f>
        <v>#VALUE!</v>
      </c>
      <c r="HT116" t="e">
        <f>AND('Planilla_General_07-12-2012_8_3'!B1746,"AAAAAG99v+M=")</f>
        <v>#VALUE!</v>
      </c>
      <c r="HU116" t="e">
        <f>AND('Planilla_General_07-12-2012_8_3'!C1746,"AAAAAG99v+Q=")</f>
        <v>#VALUE!</v>
      </c>
      <c r="HV116" t="e">
        <f>AND('Planilla_General_07-12-2012_8_3'!D1746,"AAAAAG99v+U=")</f>
        <v>#VALUE!</v>
      </c>
      <c r="HW116" t="e">
        <f>AND('Planilla_General_07-12-2012_8_3'!E1746,"AAAAAG99v+Y=")</f>
        <v>#VALUE!</v>
      </c>
      <c r="HX116" t="e">
        <f>AND('Planilla_General_07-12-2012_8_3'!F1746,"AAAAAG99v+c=")</f>
        <v>#VALUE!</v>
      </c>
      <c r="HY116" t="e">
        <f>AND('Planilla_General_07-12-2012_8_3'!G1746,"AAAAAG99v+g=")</f>
        <v>#VALUE!</v>
      </c>
      <c r="HZ116" t="e">
        <f>AND('Planilla_General_07-12-2012_8_3'!H1746,"AAAAAG99v+k=")</f>
        <v>#VALUE!</v>
      </c>
      <c r="IA116" t="e">
        <f>AND('Planilla_General_07-12-2012_8_3'!I1746,"AAAAAG99v+o=")</f>
        <v>#VALUE!</v>
      </c>
      <c r="IB116" t="e">
        <f>AND('Planilla_General_07-12-2012_8_3'!J1746,"AAAAAG99v+s=")</f>
        <v>#VALUE!</v>
      </c>
      <c r="IC116" t="e">
        <f>AND('Planilla_General_07-12-2012_8_3'!K1746,"AAAAAG99v+w=")</f>
        <v>#VALUE!</v>
      </c>
      <c r="ID116" t="e">
        <f>AND('Planilla_General_07-12-2012_8_3'!L1746,"AAAAAG99v+0=")</f>
        <v>#VALUE!</v>
      </c>
      <c r="IE116" t="e">
        <f>AND('Planilla_General_07-12-2012_8_3'!M1746,"AAAAAG99v+4=")</f>
        <v>#VALUE!</v>
      </c>
      <c r="IF116" t="e">
        <f>AND('Planilla_General_07-12-2012_8_3'!N1746,"AAAAAG99v+8=")</f>
        <v>#VALUE!</v>
      </c>
      <c r="IG116" t="e">
        <f>AND('Planilla_General_07-12-2012_8_3'!O1746,"AAAAAG99v/A=")</f>
        <v>#VALUE!</v>
      </c>
      <c r="IH116" t="e">
        <f>AND('Planilla_General_07-12-2012_8_3'!P1746,"AAAAAG99v/E=")</f>
        <v>#VALUE!</v>
      </c>
      <c r="II116">
        <f>IF('Planilla_General_07-12-2012_8_3'!1747:1747,"AAAAAG99v/I=",0)</f>
        <v>0</v>
      </c>
      <c r="IJ116" t="e">
        <f>AND('Planilla_General_07-12-2012_8_3'!A1747,"AAAAAG99v/M=")</f>
        <v>#VALUE!</v>
      </c>
      <c r="IK116" t="e">
        <f>AND('Planilla_General_07-12-2012_8_3'!B1747,"AAAAAG99v/Q=")</f>
        <v>#VALUE!</v>
      </c>
      <c r="IL116" t="e">
        <f>AND('Planilla_General_07-12-2012_8_3'!C1747,"AAAAAG99v/U=")</f>
        <v>#VALUE!</v>
      </c>
      <c r="IM116" t="e">
        <f>AND('Planilla_General_07-12-2012_8_3'!D1747,"AAAAAG99v/Y=")</f>
        <v>#VALUE!</v>
      </c>
      <c r="IN116" t="e">
        <f>AND('Planilla_General_07-12-2012_8_3'!E1747,"AAAAAG99v/c=")</f>
        <v>#VALUE!</v>
      </c>
      <c r="IO116" t="e">
        <f>AND('Planilla_General_07-12-2012_8_3'!F1747,"AAAAAG99v/g=")</f>
        <v>#VALUE!</v>
      </c>
      <c r="IP116" t="e">
        <f>AND('Planilla_General_07-12-2012_8_3'!G1747,"AAAAAG99v/k=")</f>
        <v>#VALUE!</v>
      </c>
      <c r="IQ116" t="e">
        <f>AND('Planilla_General_07-12-2012_8_3'!H1747,"AAAAAG99v/o=")</f>
        <v>#VALUE!</v>
      </c>
      <c r="IR116" t="e">
        <f>AND('Planilla_General_07-12-2012_8_3'!I1747,"AAAAAG99v/s=")</f>
        <v>#VALUE!</v>
      </c>
      <c r="IS116" t="e">
        <f>AND('Planilla_General_07-12-2012_8_3'!J1747,"AAAAAG99v/w=")</f>
        <v>#VALUE!</v>
      </c>
      <c r="IT116" t="e">
        <f>AND('Planilla_General_07-12-2012_8_3'!K1747,"AAAAAG99v/0=")</f>
        <v>#VALUE!</v>
      </c>
      <c r="IU116" t="e">
        <f>AND('Planilla_General_07-12-2012_8_3'!L1747,"AAAAAG99v/4=")</f>
        <v>#VALUE!</v>
      </c>
      <c r="IV116" t="e">
        <f>AND('Planilla_General_07-12-2012_8_3'!M1747,"AAAAAG99v/8=")</f>
        <v>#VALUE!</v>
      </c>
    </row>
    <row r="117" spans="1:256" x14ac:dyDescent="0.25">
      <c r="A117" t="e">
        <f>AND('Planilla_General_07-12-2012_8_3'!N1747,"AAAAAD//+QA=")</f>
        <v>#VALUE!</v>
      </c>
      <c r="B117" t="e">
        <f>AND('Planilla_General_07-12-2012_8_3'!O1747,"AAAAAD//+QE=")</f>
        <v>#VALUE!</v>
      </c>
      <c r="C117" t="e">
        <f>AND('Planilla_General_07-12-2012_8_3'!P1747,"AAAAAD//+QI=")</f>
        <v>#VALUE!</v>
      </c>
      <c r="D117" t="e">
        <f>IF('Planilla_General_07-12-2012_8_3'!1748:1748,"AAAAAD//+QM=",0)</f>
        <v>#VALUE!</v>
      </c>
      <c r="E117" t="e">
        <f>AND('Planilla_General_07-12-2012_8_3'!A1748,"AAAAAD//+QQ=")</f>
        <v>#VALUE!</v>
      </c>
      <c r="F117" t="e">
        <f>AND('Planilla_General_07-12-2012_8_3'!B1748,"AAAAAD//+QU=")</f>
        <v>#VALUE!</v>
      </c>
      <c r="G117" t="e">
        <f>AND('Planilla_General_07-12-2012_8_3'!C1748,"AAAAAD//+QY=")</f>
        <v>#VALUE!</v>
      </c>
      <c r="H117" t="e">
        <f>AND('Planilla_General_07-12-2012_8_3'!D1748,"AAAAAD//+Qc=")</f>
        <v>#VALUE!</v>
      </c>
      <c r="I117" t="e">
        <f>AND('Planilla_General_07-12-2012_8_3'!E1748,"AAAAAD//+Qg=")</f>
        <v>#VALUE!</v>
      </c>
      <c r="J117" t="e">
        <f>AND('Planilla_General_07-12-2012_8_3'!F1748,"AAAAAD//+Qk=")</f>
        <v>#VALUE!</v>
      </c>
      <c r="K117" t="e">
        <f>AND('Planilla_General_07-12-2012_8_3'!G1748,"AAAAAD//+Qo=")</f>
        <v>#VALUE!</v>
      </c>
      <c r="L117" t="e">
        <f>AND('Planilla_General_07-12-2012_8_3'!H1748,"AAAAAD//+Qs=")</f>
        <v>#VALUE!</v>
      </c>
      <c r="M117" t="e">
        <f>AND('Planilla_General_07-12-2012_8_3'!I1748,"AAAAAD//+Qw=")</f>
        <v>#VALUE!</v>
      </c>
      <c r="N117" t="e">
        <f>AND('Planilla_General_07-12-2012_8_3'!J1748,"AAAAAD//+Q0=")</f>
        <v>#VALUE!</v>
      </c>
      <c r="O117" t="e">
        <f>AND('Planilla_General_07-12-2012_8_3'!K1748,"AAAAAD//+Q4=")</f>
        <v>#VALUE!</v>
      </c>
      <c r="P117" t="e">
        <f>AND('Planilla_General_07-12-2012_8_3'!L1748,"AAAAAD//+Q8=")</f>
        <v>#VALUE!</v>
      </c>
      <c r="Q117" t="e">
        <f>AND('Planilla_General_07-12-2012_8_3'!M1748,"AAAAAD//+RA=")</f>
        <v>#VALUE!</v>
      </c>
      <c r="R117" t="e">
        <f>AND('Planilla_General_07-12-2012_8_3'!N1748,"AAAAAD//+RE=")</f>
        <v>#VALUE!</v>
      </c>
      <c r="S117" t="e">
        <f>AND('Planilla_General_07-12-2012_8_3'!O1748,"AAAAAD//+RI=")</f>
        <v>#VALUE!</v>
      </c>
      <c r="T117" t="e">
        <f>AND('Planilla_General_07-12-2012_8_3'!P1748,"AAAAAD//+RM=")</f>
        <v>#VALUE!</v>
      </c>
      <c r="U117">
        <f>IF('Planilla_General_07-12-2012_8_3'!1749:1749,"AAAAAD//+RQ=",0)</f>
        <v>0</v>
      </c>
      <c r="V117" t="e">
        <f>AND('Planilla_General_07-12-2012_8_3'!A1749,"AAAAAD//+RU=")</f>
        <v>#VALUE!</v>
      </c>
      <c r="W117" t="e">
        <f>AND('Planilla_General_07-12-2012_8_3'!B1749,"AAAAAD//+RY=")</f>
        <v>#VALUE!</v>
      </c>
      <c r="X117" t="e">
        <f>AND('Planilla_General_07-12-2012_8_3'!C1749,"AAAAAD//+Rc=")</f>
        <v>#VALUE!</v>
      </c>
      <c r="Y117" t="e">
        <f>AND('Planilla_General_07-12-2012_8_3'!D1749,"AAAAAD//+Rg=")</f>
        <v>#VALUE!</v>
      </c>
      <c r="Z117" t="e">
        <f>AND('Planilla_General_07-12-2012_8_3'!E1749,"AAAAAD//+Rk=")</f>
        <v>#VALUE!</v>
      </c>
      <c r="AA117" t="e">
        <f>AND('Planilla_General_07-12-2012_8_3'!F1749,"AAAAAD//+Ro=")</f>
        <v>#VALUE!</v>
      </c>
      <c r="AB117" t="e">
        <f>AND('Planilla_General_07-12-2012_8_3'!G1749,"AAAAAD//+Rs=")</f>
        <v>#VALUE!</v>
      </c>
      <c r="AC117" t="e">
        <f>AND('Planilla_General_07-12-2012_8_3'!H1749,"AAAAAD//+Rw=")</f>
        <v>#VALUE!</v>
      </c>
      <c r="AD117" t="e">
        <f>AND('Planilla_General_07-12-2012_8_3'!I1749,"AAAAAD//+R0=")</f>
        <v>#VALUE!</v>
      </c>
      <c r="AE117" t="e">
        <f>AND('Planilla_General_07-12-2012_8_3'!J1749,"AAAAAD//+R4=")</f>
        <v>#VALUE!</v>
      </c>
      <c r="AF117" t="e">
        <f>AND('Planilla_General_07-12-2012_8_3'!K1749,"AAAAAD//+R8=")</f>
        <v>#VALUE!</v>
      </c>
      <c r="AG117" t="e">
        <f>AND('Planilla_General_07-12-2012_8_3'!L1749,"AAAAAD//+SA=")</f>
        <v>#VALUE!</v>
      </c>
      <c r="AH117" t="e">
        <f>AND('Planilla_General_07-12-2012_8_3'!M1749,"AAAAAD//+SE=")</f>
        <v>#VALUE!</v>
      </c>
      <c r="AI117" t="e">
        <f>AND('Planilla_General_07-12-2012_8_3'!N1749,"AAAAAD//+SI=")</f>
        <v>#VALUE!</v>
      </c>
      <c r="AJ117" t="e">
        <f>AND('Planilla_General_07-12-2012_8_3'!O1749,"AAAAAD//+SM=")</f>
        <v>#VALUE!</v>
      </c>
      <c r="AK117" t="e">
        <f>AND('Planilla_General_07-12-2012_8_3'!P1749,"AAAAAD//+SQ=")</f>
        <v>#VALUE!</v>
      </c>
      <c r="AL117">
        <f>IF('Planilla_General_07-12-2012_8_3'!1750:1750,"AAAAAD//+SU=",0)</f>
        <v>0</v>
      </c>
      <c r="AM117" t="e">
        <f>AND('Planilla_General_07-12-2012_8_3'!A1750,"AAAAAD//+SY=")</f>
        <v>#VALUE!</v>
      </c>
      <c r="AN117" t="e">
        <f>AND('Planilla_General_07-12-2012_8_3'!B1750,"AAAAAD//+Sc=")</f>
        <v>#VALUE!</v>
      </c>
      <c r="AO117" t="e">
        <f>AND('Planilla_General_07-12-2012_8_3'!C1750,"AAAAAD//+Sg=")</f>
        <v>#VALUE!</v>
      </c>
      <c r="AP117" t="e">
        <f>AND('Planilla_General_07-12-2012_8_3'!D1750,"AAAAAD//+Sk=")</f>
        <v>#VALUE!</v>
      </c>
      <c r="AQ117" t="e">
        <f>AND('Planilla_General_07-12-2012_8_3'!E1750,"AAAAAD//+So=")</f>
        <v>#VALUE!</v>
      </c>
      <c r="AR117" t="e">
        <f>AND('Planilla_General_07-12-2012_8_3'!F1750,"AAAAAD//+Ss=")</f>
        <v>#VALUE!</v>
      </c>
      <c r="AS117" t="e">
        <f>AND('Planilla_General_07-12-2012_8_3'!G1750,"AAAAAD//+Sw=")</f>
        <v>#VALUE!</v>
      </c>
      <c r="AT117" t="e">
        <f>AND('Planilla_General_07-12-2012_8_3'!H1750,"AAAAAD//+S0=")</f>
        <v>#VALUE!</v>
      </c>
      <c r="AU117" t="e">
        <f>AND('Planilla_General_07-12-2012_8_3'!I1750,"AAAAAD//+S4=")</f>
        <v>#VALUE!</v>
      </c>
      <c r="AV117" t="e">
        <f>AND('Planilla_General_07-12-2012_8_3'!J1750,"AAAAAD//+S8=")</f>
        <v>#VALUE!</v>
      </c>
      <c r="AW117" t="e">
        <f>AND('Planilla_General_07-12-2012_8_3'!K1750,"AAAAAD//+TA=")</f>
        <v>#VALUE!</v>
      </c>
      <c r="AX117" t="e">
        <f>AND('Planilla_General_07-12-2012_8_3'!L1750,"AAAAAD//+TE=")</f>
        <v>#VALUE!</v>
      </c>
      <c r="AY117" t="e">
        <f>AND('Planilla_General_07-12-2012_8_3'!M1750,"AAAAAD//+TI=")</f>
        <v>#VALUE!</v>
      </c>
      <c r="AZ117" t="e">
        <f>AND('Planilla_General_07-12-2012_8_3'!N1750,"AAAAAD//+TM=")</f>
        <v>#VALUE!</v>
      </c>
      <c r="BA117" t="e">
        <f>AND('Planilla_General_07-12-2012_8_3'!O1750,"AAAAAD//+TQ=")</f>
        <v>#VALUE!</v>
      </c>
      <c r="BB117" t="e">
        <f>AND('Planilla_General_07-12-2012_8_3'!P1750,"AAAAAD//+TU=")</f>
        <v>#VALUE!</v>
      </c>
      <c r="BC117">
        <f>IF('Planilla_General_07-12-2012_8_3'!1751:1751,"AAAAAD//+TY=",0)</f>
        <v>0</v>
      </c>
      <c r="BD117" t="e">
        <f>AND('Planilla_General_07-12-2012_8_3'!A1751,"AAAAAD//+Tc=")</f>
        <v>#VALUE!</v>
      </c>
      <c r="BE117" t="e">
        <f>AND('Planilla_General_07-12-2012_8_3'!B1751,"AAAAAD//+Tg=")</f>
        <v>#VALUE!</v>
      </c>
      <c r="BF117" t="e">
        <f>AND('Planilla_General_07-12-2012_8_3'!C1751,"AAAAAD//+Tk=")</f>
        <v>#VALUE!</v>
      </c>
      <c r="BG117" t="e">
        <f>AND('Planilla_General_07-12-2012_8_3'!D1751,"AAAAAD//+To=")</f>
        <v>#VALUE!</v>
      </c>
      <c r="BH117" t="e">
        <f>AND('Planilla_General_07-12-2012_8_3'!E1751,"AAAAAD//+Ts=")</f>
        <v>#VALUE!</v>
      </c>
      <c r="BI117" t="e">
        <f>AND('Planilla_General_07-12-2012_8_3'!F1751,"AAAAAD//+Tw=")</f>
        <v>#VALUE!</v>
      </c>
      <c r="BJ117" t="e">
        <f>AND('Planilla_General_07-12-2012_8_3'!G1751,"AAAAAD//+T0=")</f>
        <v>#VALUE!</v>
      </c>
      <c r="BK117" t="e">
        <f>AND('Planilla_General_07-12-2012_8_3'!H1751,"AAAAAD//+T4=")</f>
        <v>#VALUE!</v>
      </c>
      <c r="BL117" t="e">
        <f>AND('Planilla_General_07-12-2012_8_3'!I1751,"AAAAAD//+T8=")</f>
        <v>#VALUE!</v>
      </c>
      <c r="BM117" t="e">
        <f>AND('Planilla_General_07-12-2012_8_3'!J1751,"AAAAAD//+UA=")</f>
        <v>#VALUE!</v>
      </c>
      <c r="BN117" t="e">
        <f>AND('Planilla_General_07-12-2012_8_3'!K1751,"AAAAAD//+UE=")</f>
        <v>#VALUE!</v>
      </c>
      <c r="BO117" t="e">
        <f>AND('Planilla_General_07-12-2012_8_3'!L1751,"AAAAAD//+UI=")</f>
        <v>#VALUE!</v>
      </c>
      <c r="BP117" t="e">
        <f>AND('Planilla_General_07-12-2012_8_3'!M1751,"AAAAAD//+UM=")</f>
        <v>#VALUE!</v>
      </c>
      <c r="BQ117" t="e">
        <f>AND('Planilla_General_07-12-2012_8_3'!N1751,"AAAAAD//+UQ=")</f>
        <v>#VALUE!</v>
      </c>
      <c r="BR117" t="e">
        <f>AND('Planilla_General_07-12-2012_8_3'!O1751,"AAAAAD//+UU=")</f>
        <v>#VALUE!</v>
      </c>
      <c r="BS117" t="e">
        <f>AND('Planilla_General_07-12-2012_8_3'!P1751,"AAAAAD//+UY=")</f>
        <v>#VALUE!</v>
      </c>
      <c r="BT117">
        <f>IF('Planilla_General_07-12-2012_8_3'!1752:1752,"AAAAAD//+Uc=",0)</f>
        <v>0</v>
      </c>
      <c r="BU117" t="e">
        <f>AND('Planilla_General_07-12-2012_8_3'!A1752,"AAAAAD//+Ug=")</f>
        <v>#VALUE!</v>
      </c>
      <c r="BV117" t="e">
        <f>AND('Planilla_General_07-12-2012_8_3'!B1752,"AAAAAD//+Uk=")</f>
        <v>#VALUE!</v>
      </c>
      <c r="BW117" t="e">
        <f>AND('Planilla_General_07-12-2012_8_3'!C1752,"AAAAAD//+Uo=")</f>
        <v>#VALUE!</v>
      </c>
      <c r="BX117" t="e">
        <f>AND('Planilla_General_07-12-2012_8_3'!D1752,"AAAAAD//+Us=")</f>
        <v>#VALUE!</v>
      </c>
      <c r="BY117" t="e">
        <f>AND('Planilla_General_07-12-2012_8_3'!E1752,"AAAAAD//+Uw=")</f>
        <v>#VALUE!</v>
      </c>
      <c r="BZ117" t="e">
        <f>AND('Planilla_General_07-12-2012_8_3'!F1752,"AAAAAD//+U0=")</f>
        <v>#VALUE!</v>
      </c>
      <c r="CA117" t="e">
        <f>AND('Planilla_General_07-12-2012_8_3'!G1752,"AAAAAD//+U4=")</f>
        <v>#VALUE!</v>
      </c>
      <c r="CB117" t="e">
        <f>AND('Planilla_General_07-12-2012_8_3'!H1752,"AAAAAD//+U8=")</f>
        <v>#VALUE!</v>
      </c>
      <c r="CC117" t="e">
        <f>AND('Planilla_General_07-12-2012_8_3'!I1752,"AAAAAD//+VA=")</f>
        <v>#VALUE!</v>
      </c>
      <c r="CD117" t="e">
        <f>AND('Planilla_General_07-12-2012_8_3'!J1752,"AAAAAD//+VE=")</f>
        <v>#VALUE!</v>
      </c>
      <c r="CE117" t="e">
        <f>AND('Planilla_General_07-12-2012_8_3'!K1752,"AAAAAD//+VI=")</f>
        <v>#VALUE!</v>
      </c>
      <c r="CF117" t="e">
        <f>AND('Planilla_General_07-12-2012_8_3'!L1752,"AAAAAD//+VM=")</f>
        <v>#VALUE!</v>
      </c>
      <c r="CG117" t="e">
        <f>AND('Planilla_General_07-12-2012_8_3'!M1752,"AAAAAD//+VQ=")</f>
        <v>#VALUE!</v>
      </c>
      <c r="CH117" t="e">
        <f>AND('Planilla_General_07-12-2012_8_3'!N1752,"AAAAAD//+VU=")</f>
        <v>#VALUE!</v>
      </c>
      <c r="CI117" t="e">
        <f>AND('Planilla_General_07-12-2012_8_3'!O1752,"AAAAAD//+VY=")</f>
        <v>#VALUE!</v>
      </c>
      <c r="CJ117" t="e">
        <f>AND('Planilla_General_07-12-2012_8_3'!P1752,"AAAAAD//+Vc=")</f>
        <v>#VALUE!</v>
      </c>
      <c r="CK117">
        <f>IF('Planilla_General_07-12-2012_8_3'!1753:1753,"AAAAAD//+Vg=",0)</f>
        <v>0</v>
      </c>
      <c r="CL117" t="e">
        <f>AND('Planilla_General_07-12-2012_8_3'!A1753,"AAAAAD//+Vk=")</f>
        <v>#VALUE!</v>
      </c>
      <c r="CM117" t="e">
        <f>AND('Planilla_General_07-12-2012_8_3'!B1753,"AAAAAD//+Vo=")</f>
        <v>#VALUE!</v>
      </c>
      <c r="CN117" t="e">
        <f>AND('Planilla_General_07-12-2012_8_3'!C1753,"AAAAAD//+Vs=")</f>
        <v>#VALUE!</v>
      </c>
      <c r="CO117" t="e">
        <f>AND('Planilla_General_07-12-2012_8_3'!D1753,"AAAAAD//+Vw=")</f>
        <v>#VALUE!</v>
      </c>
      <c r="CP117" t="e">
        <f>AND('Planilla_General_07-12-2012_8_3'!E1753,"AAAAAD//+V0=")</f>
        <v>#VALUE!</v>
      </c>
      <c r="CQ117" t="e">
        <f>AND('Planilla_General_07-12-2012_8_3'!F1753,"AAAAAD//+V4=")</f>
        <v>#VALUE!</v>
      </c>
      <c r="CR117" t="e">
        <f>AND('Planilla_General_07-12-2012_8_3'!G1753,"AAAAAD//+V8=")</f>
        <v>#VALUE!</v>
      </c>
      <c r="CS117" t="e">
        <f>AND('Planilla_General_07-12-2012_8_3'!H1753,"AAAAAD//+WA=")</f>
        <v>#VALUE!</v>
      </c>
      <c r="CT117" t="e">
        <f>AND('Planilla_General_07-12-2012_8_3'!I1753,"AAAAAD//+WE=")</f>
        <v>#VALUE!</v>
      </c>
      <c r="CU117" t="e">
        <f>AND('Planilla_General_07-12-2012_8_3'!J1753,"AAAAAD//+WI=")</f>
        <v>#VALUE!</v>
      </c>
      <c r="CV117" t="e">
        <f>AND('Planilla_General_07-12-2012_8_3'!K1753,"AAAAAD//+WM=")</f>
        <v>#VALUE!</v>
      </c>
      <c r="CW117" t="e">
        <f>AND('Planilla_General_07-12-2012_8_3'!L1753,"AAAAAD//+WQ=")</f>
        <v>#VALUE!</v>
      </c>
      <c r="CX117" t="e">
        <f>AND('Planilla_General_07-12-2012_8_3'!M1753,"AAAAAD//+WU=")</f>
        <v>#VALUE!</v>
      </c>
      <c r="CY117" t="e">
        <f>AND('Planilla_General_07-12-2012_8_3'!N1753,"AAAAAD//+WY=")</f>
        <v>#VALUE!</v>
      </c>
      <c r="CZ117" t="e">
        <f>AND('Planilla_General_07-12-2012_8_3'!O1753,"AAAAAD//+Wc=")</f>
        <v>#VALUE!</v>
      </c>
      <c r="DA117" t="e">
        <f>AND('Planilla_General_07-12-2012_8_3'!P1753,"AAAAAD//+Wg=")</f>
        <v>#VALUE!</v>
      </c>
      <c r="DB117">
        <f>IF('Planilla_General_07-12-2012_8_3'!1754:1754,"AAAAAD//+Wk=",0)</f>
        <v>0</v>
      </c>
      <c r="DC117" t="e">
        <f>AND('Planilla_General_07-12-2012_8_3'!A1754,"AAAAAD//+Wo=")</f>
        <v>#VALUE!</v>
      </c>
      <c r="DD117" t="e">
        <f>AND('Planilla_General_07-12-2012_8_3'!B1754,"AAAAAD//+Ws=")</f>
        <v>#VALUE!</v>
      </c>
      <c r="DE117" t="e">
        <f>AND('Planilla_General_07-12-2012_8_3'!C1754,"AAAAAD//+Ww=")</f>
        <v>#VALUE!</v>
      </c>
      <c r="DF117" t="e">
        <f>AND('Planilla_General_07-12-2012_8_3'!D1754,"AAAAAD//+W0=")</f>
        <v>#VALUE!</v>
      </c>
      <c r="DG117" t="e">
        <f>AND('Planilla_General_07-12-2012_8_3'!E1754,"AAAAAD//+W4=")</f>
        <v>#VALUE!</v>
      </c>
      <c r="DH117" t="e">
        <f>AND('Planilla_General_07-12-2012_8_3'!F1754,"AAAAAD//+W8=")</f>
        <v>#VALUE!</v>
      </c>
      <c r="DI117" t="e">
        <f>AND('Planilla_General_07-12-2012_8_3'!G1754,"AAAAAD//+XA=")</f>
        <v>#VALUE!</v>
      </c>
      <c r="DJ117" t="e">
        <f>AND('Planilla_General_07-12-2012_8_3'!H1754,"AAAAAD//+XE=")</f>
        <v>#VALUE!</v>
      </c>
      <c r="DK117" t="e">
        <f>AND('Planilla_General_07-12-2012_8_3'!I1754,"AAAAAD//+XI=")</f>
        <v>#VALUE!</v>
      </c>
      <c r="DL117" t="e">
        <f>AND('Planilla_General_07-12-2012_8_3'!J1754,"AAAAAD//+XM=")</f>
        <v>#VALUE!</v>
      </c>
      <c r="DM117" t="e">
        <f>AND('Planilla_General_07-12-2012_8_3'!K1754,"AAAAAD//+XQ=")</f>
        <v>#VALUE!</v>
      </c>
      <c r="DN117" t="e">
        <f>AND('Planilla_General_07-12-2012_8_3'!L1754,"AAAAAD//+XU=")</f>
        <v>#VALUE!</v>
      </c>
      <c r="DO117" t="e">
        <f>AND('Planilla_General_07-12-2012_8_3'!M1754,"AAAAAD//+XY=")</f>
        <v>#VALUE!</v>
      </c>
      <c r="DP117" t="e">
        <f>AND('Planilla_General_07-12-2012_8_3'!N1754,"AAAAAD//+Xc=")</f>
        <v>#VALUE!</v>
      </c>
      <c r="DQ117" t="e">
        <f>AND('Planilla_General_07-12-2012_8_3'!O1754,"AAAAAD//+Xg=")</f>
        <v>#VALUE!</v>
      </c>
      <c r="DR117" t="e">
        <f>AND('Planilla_General_07-12-2012_8_3'!P1754,"AAAAAD//+Xk=")</f>
        <v>#VALUE!</v>
      </c>
      <c r="DS117">
        <f>IF('Planilla_General_07-12-2012_8_3'!1755:1755,"AAAAAD//+Xo=",0)</f>
        <v>0</v>
      </c>
      <c r="DT117" t="e">
        <f>AND('Planilla_General_07-12-2012_8_3'!A1755,"AAAAAD//+Xs=")</f>
        <v>#VALUE!</v>
      </c>
      <c r="DU117" t="e">
        <f>AND('Planilla_General_07-12-2012_8_3'!B1755,"AAAAAD//+Xw=")</f>
        <v>#VALUE!</v>
      </c>
      <c r="DV117" t="e">
        <f>AND('Planilla_General_07-12-2012_8_3'!C1755,"AAAAAD//+X0=")</f>
        <v>#VALUE!</v>
      </c>
      <c r="DW117" t="e">
        <f>AND('Planilla_General_07-12-2012_8_3'!D1755,"AAAAAD//+X4=")</f>
        <v>#VALUE!</v>
      </c>
      <c r="DX117" t="e">
        <f>AND('Planilla_General_07-12-2012_8_3'!E1755,"AAAAAD//+X8=")</f>
        <v>#VALUE!</v>
      </c>
      <c r="DY117" t="e">
        <f>AND('Planilla_General_07-12-2012_8_3'!F1755,"AAAAAD//+YA=")</f>
        <v>#VALUE!</v>
      </c>
      <c r="DZ117" t="e">
        <f>AND('Planilla_General_07-12-2012_8_3'!G1755,"AAAAAD//+YE=")</f>
        <v>#VALUE!</v>
      </c>
      <c r="EA117" t="e">
        <f>AND('Planilla_General_07-12-2012_8_3'!H1755,"AAAAAD//+YI=")</f>
        <v>#VALUE!</v>
      </c>
      <c r="EB117" t="e">
        <f>AND('Planilla_General_07-12-2012_8_3'!I1755,"AAAAAD//+YM=")</f>
        <v>#VALUE!</v>
      </c>
      <c r="EC117" t="e">
        <f>AND('Planilla_General_07-12-2012_8_3'!J1755,"AAAAAD//+YQ=")</f>
        <v>#VALUE!</v>
      </c>
      <c r="ED117" t="e">
        <f>AND('Planilla_General_07-12-2012_8_3'!K1755,"AAAAAD//+YU=")</f>
        <v>#VALUE!</v>
      </c>
      <c r="EE117" t="e">
        <f>AND('Planilla_General_07-12-2012_8_3'!L1755,"AAAAAD//+YY=")</f>
        <v>#VALUE!</v>
      </c>
      <c r="EF117" t="e">
        <f>AND('Planilla_General_07-12-2012_8_3'!M1755,"AAAAAD//+Yc=")</f>
        <v>#VALUE!</v>
      </c>
      <c r="EG117" t="e">
        <f>AND('Planilla_General_07-12-2012_8_3'!N1755,"AAAAAD//+Yg=")</f>
        <v>#VALUE!</v>
      </c>
      <c r="EH117" t="e">
        <f>AND('Planilla_General_07-12-2012_8_3'!O1755,"AAAAAD//+Yk=")</f>
        <v>#VALUE!</v>
      </c>
      <c r="EI117" t="e">
        <f>AND('Planilla_General_07-12-2012_8_3'!P1755,"AAAAAD//+Yo=")</f>
        <v>#VALUE!</v>
      </c>
      <c r="EJ117">
        <f>IF('Planilla_General_07-12-2012_8_3'!1756:1756,"AAAAAD//+Ys=",0)</f>
        <v>0</v>
      </c>
      <c r="EK117" t="e">
        <f>AND('Planilla_General_07-12-2012_8_3'!A1756,"AAAAAD//+Yw=")</f>
        <v>#VALUE!</v>
      </c>
      <c r="EL117" t="e">
        <f>AND('Planilla_General_07-12-2012_8_3'!B1756,"AAAAAD//+Y0=")</f>
        <v>#VALUE!</v>
      </c>
      <c r="EM117" t="e">
        <f>AND('Planilla_General_07-12-2012_8_3'!C1756,"AAAAAD//+Y4=")</f>
        <v>#VALUE!</v>
      </c>
      <c r="EN117" t="e">
        <f>AND('Planilla_General_07-12-2012_8_3'!D1756,"AAAAAD//+Y8=")</f>
        <v>#VALUE!</v>
      </c>
      <c r="EO117" t="e">
        <f>AND('Planilla_General_07-12-2012_8_3'!E1756,"AAAAAD//+ZA=")</f>
        <v>#VALUE!</v>
      </c>
      <c r="EP117" t="e">
        <f>AND('Planilla_General_07-12-2012_8_3'!F1756,"AAAAAD//+ZE=")</f>
        <v>#VALUE!</v>
      </c>
      <c r="EQ117" t="e">
        <f>AND('Planilla_General_07-12-2012_8_3'!G1756,"AAAAAD//+ZI=")</f>
        <v>#VALUE!</v>
      </c>
      <c r="ER117" t="e">
        <f>AND('Planilla_General_07-12-2012_8_3'!H1756,"AAAAAD//+ZM=")</f>
        <v>#VALUE!</v>
      </c>
      <c r="ES117" t="e">
        <f>AND('Planilla_General_07-12-2012_8_3'!I1756,"AAAAAD//+ZQ=")</f>
        <v>#VALUE!</v>
      </c>
      <c r="ET117" t="e">
        <f>AND('Planilla_General_07-12-2012_8_3'!J1756,"AAAAAD//+ZU=")</f>
        <v>#VALUE!</v>
      </c>
      <c r="EU117" t="e">
        <f>AND('Planilla_General_07-12-2012_8_3'!K1756,"AAAAAD//+ZY=")</f>
        <v>#VALUE!</v>
      </c>
      <c r="EV117" t="e">
        <f>AND('Planilla_General_07-12-2012_8_3'!L1756,"AAAAAD//+Zc=")</f>
        <v>#VALUE!</v>
      </c>
      <c r="EW117" t="e">
        <f>AND('Planilla_General_07-12-2012_8_3'!M1756,"AAAAAD//+Zg=")</f>
        <v>#VALUE!</v>
      </c>
      <c r="EX117" t="e">
        <f>AND('Planilla_General_07-12-2012_8_3'!N1756,"AAAAAD//+Zk=")</f>
        <v>#VALUE!</v>
      </c>
      <c r="EY117" t="e">
        <f>AND('Planilla_General_07-12-2012_8_3'!O1756,"AAAAAD//+Zo=")</f>
        <v>#VALUE!</v>
      </c>
      <c r="EZ117" t="e">
        <f>AND('Planilla_General_07-12-2012_8_3'!P1756,"AAAAAD//+Zs=")</f>
        <v>#VALUE!</v>
      </c>
      <c r="FA117">
        <f>IF('Planilla_General_07-12-2012_8_3'!1757:1757,"AAAAAD//+Zw=",0)</f>
        <v>0</v>
      </c>
      <c r="FB117" t="e">
        <f>AND('Planilla_General_07-12-2012_8_3'!A1757,"AAAAAD//+Z0=")</f>
        <v>#VALUE!</v>
      </c>
      <c r="FC117" t="e">
        <f>AND('Planilla_General_07-12-2012_8_3'!B1757,"AAAAAD//+Z4=")</f>
        <v>#VALUE!</v>
      </c>
      <c r="FD117" t="e">
        <f>AND('Planilla_General_07-12-2012_8_3'!C1757,"AAAAAD//+Z8=")</f>
        <v>#VALUE!</v>
      </c>
      <c r="FE117" t="e">
        <f>AND('Planilla_General_07-12-2012_8_3'!D1757,"AAAAAD//+aA=")</f>
        <v>#VALUE!</v>
      </c>
      <c r="FF117" t="e">
        <f>AND('Planilla_General_07-12-2012_8_3'!E1757,"AAAAAD//+aE=")</f>
        <v>#VALUE!</v>
      </c>
      <c r="FG117" t="e">
        <f>AND('Planilla_General_07-12-2012_8_3'!F1757,"AAAAAD//+aI=")</f>
        <v>#VALUE!</v>
      </c>
      <c r="FH117" t="e">
        <f>AND('Planilla_General_07-12-2012_8_3'!G1757,"AAAAAD//+aM=")</f>
        <v>#VALUE!</v>
      </c>
      <c r="FI117" t="e">
        <f>AND('Planilla_General_07-12-2012_8_3'!H1757,"AAAAAD//+aQ=")</f>
        <v>#VALUE!</v>
      </c>
      <c r="FJ117" t="e">
        <f>AND('Planilla_General_07-12-2012_8_3'!I1757,"AAAAAD//+aU=")</f>
        <v>#VALUE!</v>
      </c>
      <c r="FK117" t="e">
        <f>AND('Planilla_General_07-12-2012_8_3'!J1757,"AAAAAD//+aY=")</f>
        <v>#VALUE!</v>
      </c>
      <c r="FL117" t="e">
        <f>AND('Planilla_General_07-12-2012_8_3'!K1757,"AAAAAD//+ac=")</f>
        <v>#VALUE!</v>
      </c>
      <c r="FM117" t="e">
        <f>AND('Planilla_General_07-12-2012_8_3'!L1757,"AAAAAD//+ag=")</f>
        <v>#VALUE!</v>
      </c>
      <c r="FN117" t="e">
        <f>AND('Planilla_General_07-12-2012_8_3'!M1757,"AAAAAD//+ak=")</f>
        <v>#VALUE!</v>
      </c>
      <c r="FO117" t="e">
        <f>AND('Planilla_General_07-12-2012_8_3'!N1757,"AAAAAD//+ao=")</f>
        <v>#VALUE!</v>
      </c>
      <c r="FP117" t="e">
        <f>AND('Planilla_General_07-12-2012_8_3'!O1757,"AAAAAD//+as=")</f>
        <v>#VALUE!</v>
      </c>
      <c r="FQ117" t="e">
        <f>AND('Planilla_General_07-12-2012_8_3'!P1757,"AAAAAD//+aw=")</f>
        <v>#VALUE!</v>
      </c>
      <c r="FR117">
        <f>IF('Planilla_General_07-12-2012_8_3'!1758:1758,"AAAAAD//+a0=",0)</f>
        <v>0</v>
      </c>
      <c r="FS117" t="e">
        <f>AND('Planilla_General_07-12-2012_8_3'!A1758,"AAAAAD//+a4=")</f>
        <v>#VALUE!</v>
      </c>
      <c r="FT117" t="e">
        <f>AND('Planilla_General_07-12-2012_8_3'!B1758,"AAAAAD//+a8=")</f>
        <v>#VALUE!</v>
      </c>
      <c r="FU117" t="e">
        <f>AND('Planilla_General_07-12-2012_8_3'!C1758,"AAAAAD//+bA=")</f>
        <v>#VALUE!</v>
      </c>
      <c r="FV117" t="e">
        <f>AND('Planilla_General_07-12-2012_8_3'!D1758,"AAAAAD//+bE=")</f>
        <v>#VALUE!</v>
      </c>
      <c r="FW117" t="e">
        <f>AND('Planilla_General_07-12-2012_8_3'!E1758,"AAAAAD//+bI=")</f>
        <v>#VALUE!</v>
      </c>
      <c r="FX117" t="e">
        <f>AND('Planilla_General_07-12-2012_8_3'!F1758,"AAAAAD//+bM=")</f>
        <v>#VALUE!</v>
      </c>
      <c r="FY117" t="e">
        <f>AND('Planilla_General_07-12-2012_8_3'!G1758,"AAAAAD//+bQ=")</f>
        <v>#VALUE!</v>
      </c>
      <c r="FZ117" t="e">
        <f>AND('Planilla_General_07-12-2012_8_3'!H1758,"AAAAAD//+bU=")</f>
        <v>#VALUE!</v>
      </c>
      <c r="GA117" t="e">
        <f>AND('Planilla_General_07-12-2012_8_3'!I1758,"AAAAAD//+bY=")</f>
        <v>#VALUE!</v>
      </c>
      <c r="GB117" t="e">
        <f>AND('Planilla_General_07-12-2012_8_3'!J1758,"AAAAAD//+bc=")</f>
        <v>#VALUE!</v>
      </c>
      <c r="GC117" t="e">
        <f>AND('Planilla_General_07-12-2012_8_3'!K1758,"AAAAAD//+bg=")</f>
        <v>#VALUE!</v>
      </c>
      <c r="GD117" t="e">
        <f>AND('Planilla_General_07-12-2012_8_3'!L1758,"AAAAAD//+bk=")</f>
        <v>#VALUE!</v>
      </c>
      <c r="GE117" t="e">
        <f>AND('Planilla_General_07-12-2012_8_3'!M1758,"AAAAAD//+bo=")</f>
        <v>#VALUE!</v>
      </c>
      <c r="GF117" t="e">
        <f>AND('Planilla_General_07-12-2012_8_3'!N1758,"AAAAAD//+bs=")</f>
        <v>#VALUE!</v>
      </c>
      <c r="GG117" t="e">
        <f>AND('Planilla_General_07-12-2012_8_3'!O1758,"AAAAAD//+bw=")</f>
        <v>#VALUE!</v>
      </c>
      <c r="GH117" t="e">
        <f>AND('Planilla_General_07-12-2012_8_3'!P1758,"AAAAAD//+b0=")</f>
        <v>#VALUE!</v>
      </c>
      <c r="GI117">
        <f>IF('Planilla_General_07-12-2012_8_3'!1759:1759,"AAAAAD//+b4=",0)</f>
        <v>0</v>
      </c>
      <c r="GJ117" t="e">
        <f>AND('Planilla_General_07-12-2012_8_3'!A1759,"AAAAAD//+b8=")</f>
        <v>#VALUE!</v>
      </c>
      <c r="GK117" t="e">
        <f>AND('Planilla_General_07-12-2012_8_3'!B1759,"AAAAAD//+cA=")</f>
        <v>#VALUE!</v>
      </c>
      <c r="GL117" t="e">
        <f>AND('Planilla_General_07-12-2012_8_3'!C1759,"AAAAAD//+cE=")</f>
        <v>#VALUE!</v>
      </c>
      <c r="GM117" t="e">
        <f>AND('Planilla_General_07-12-2012_8_3'!D1759,"AAAAAD//+cI=")</f>
        <v>#VALUE!</v>
      </c>
      <c r="GN117" t="e">
        <f>AND('Planilla_General_07-12-2012_8_3'!E1759,"AAAAAD//+cM=")</f>
        <v>#VALUE!</v>
      </c>
      <c r="GO117" t="e">
        <f>AND('Planilla_General_07-12-2012_8_3'!F1759,"AAAAAD//+cQ=")</f>
        <v>#VALUE!</v>
      </c>
      <c r="GP117" t="e">
        <f>AND('Planilla_General_07-12-2012_8_3'!G1759,"AAAAAD//+cU=")</f>
        <v>#VALUE!</v>
      </c>
      <c r="GQ117" t="e">
        <f>AND('Planilla_General_07-12-2012_8_3'!H1759,"AAAAAD//+cY=")</f>
        <v>#VALUE!</v>
      </c>
      <c r="GR117" t="e">
        <f>AND('Planilla_General_07-12-2012_8_3'!I1759,"AAAAAD//+cc=")</f>
        <v>#VALUE!</v>
      </c>
      <c r="GS117" t="e">
        <f>AND('Planilla_General_07-12-2012_8_3'!J1759,"AAAAAD//+cg=")</f>
        <v>#VALUE!</v>
      </c>
      <c r="GT117" t="e">
        <f>AND('Planilla_General_07-12-2012_8_3'!K1759,"AAAAAD//+ck=")</f>
        <v>#VALUE!</v>
      </c>
      <c r="GU117" t="e">
        <f>AND('Planilla_General_07-12-2012_8_3'!L1759,"AAAAAD//+co=")</f>
        <v>#VALUE!</v>
      </c>
      <c r="GV117" t="e">
        <f>AND('Planilla_General_07-12-2012_8_3'!M1759,"AAAAAD//+cs=")</f>
        <v>#VALUE!</v>
      </c>
      <c r="GW117" t="e">
        <f>AND('Planilla_General_07-12-2012_8_3'!N1759,"AAAAAD//+cw=")</f>
        <v>#VALUE!</v>
      </c>
      <c r="GX117" t="e">
        <f>AND('Planilla_General_07-12-2012_8_3'!O1759,"AAAAAD//+c0=")</f>
        <v>#VALUE!</v>
      </c>
      <c r="GY117" t="e">
        <f>AND('Planilla_General_07-12-2012_8_3'!P1759,"AAAAAD//+c4=")</f>
        <v>#VALUE!</v>
      </c>
      <c r="GZ117">
        <f>IF('Planilla_General_07-12-2012_8_3'!1760:1760,"AAAAAD//+c8=",0)</f>
        <v>0</v>
      </c>
      <c r="HA117" t="e">
        <f>AND('Planilla_General_07-12-2012_8_3'!A1760,"AAAAAD//+dA=")</f>
        <v>#VALUE!</v>
      </c>
      <c r="HB117" t="e">
        <f>AND('Planilla_General_07-12-2012_8_3'!B1760,"AAAAAD//+dE=")</f>
        <v>#VALUE!</v>
      </c>
      <c r="HC117" t="e">
        <f>AND('Planilla_General_07-12-2012_8_3'!C1760,"AAAAAD//+dI=")</f>
        <v>#VALUE!</v>
      </c>
      <c r="HD117" t="e">
        <f>AND('Planilla_General_07-12-2012_8_3'!D1760,"AAAAAD//+dM=")</f>
        <v>#VALUE!</v>
      </c>
      <c r="HE117" t="e">
        <f>AND('Planilla_General_07-12-2012_8_3'!E1760,"AAAAAD//+dQ=")</f>
        <v>#VALUE!</v>
      </c>
      <c r="HF117" t="e">
        <f>AND('Planilla_General_07-12-2012_8_3'!F1760,"AAAAAD//+dU=")</f>
        <v>#VALUE!</v>
      </c>
      <c r="HG117" t="e">
        <f>AND('Planilla_General_07-12-2012_8_3'!G1760,"AAAAAD//+dY=")</f>
        <v>#VALUE!</v>
      </c>
      <c r="HH117" t="e">
        <f>AND('Planilla_General_07-12-2012_8_3'!H1760,"AAAAAD//+dc=")</f>
        <v>#VALUE!</v>
      </c>
      <c r="HI117" t="e">
        <f>AND('Planilla_General_07-12-2012_8_3'!I1760,"AAAAAD//+dg=")</f>
        <v>#VALUE!</v>
      </c>
      <c r="HJ117" t="e">
        <f>AND('Planilla_General_07-12-2012_8_3'!J1760,"AAAAAD//+dk=")</f>
        <v>#VALUE!</v>
      </c>
      <c r="HK117" t="e">
        <f>AND('Planilla_General_07-12-2012_8_3'!K1760,"AAAAAD//+do=")</f>
        <v>#VALUE!</v>
      </c>
      <c r="HL117" t="e">
        <f>AND('Planilla_General_07-12-2012_8_3'!L1760,"AAAAAD//+ds=")</f>
        <v>#VALUE!</v>
      </c>
      <c r="HM117" t="e">
        <f>AND('Planilla_General_07-12-2012_8_3'!M1760,"AAAAAD//+dw=")</f>
        <v>#VALUE!</v>
      </c>
      <c r="HN117" t="e">
        <f>AND('Planilla_General_07-12-2012_8_3'!N1760,"AAAAAD//+d0=")</f>
        <v>#VALUE!</v>
      </c>
      <c r="HO117" t="e">
        <f>AND('Planilla_General_07-12-2012_8_3'!O1760,"AAAAAD//+d4=")</f>
        <v>#VALUE!</v>
      </c>
      <c r="HP117" t="e">
        <f>AND('Planilla_General_07-12-2012_8_3'!P1760,"AAAAAD//+d8=")</f>
        <v>#VALUE!</v>
      </c>
      <c r="HQ117">
        <f>IF('Planilla_General_07-12-2012_8_3'!1761:1761,"AAAAAD//+eA=",0)</f>
        <v>0</v>
      </c>
      <c r="HR117" t="e">
        <f>AND('Planilla_General_07-12-2012_8_3'!A1761,"AAAAAD//+eE=")</f>
        <v>#VALUE!</v>
      </c>
      <c r="HS117" t="e">
        <f>AND('Planilla_General_07-12-2012_8_3'!B1761,"AAAAAD//+eI=")</f>
        <v>#VALUE!</v>
      </c>
      <c r="HT117" t="e">
        <f>AND('Planilla_General_07-12-2012_8_3'!C1761,"AAAAAD//+eM=")</f>
        <v>#VALUE!</v>
      </c>
      <c r="HU117" t="e">
        <f>AND('Planilla_General_07-12-2012_8_3'!D1761,"AAAAAD//+eQ=")</f>
        <v>#VALUE!</v>
      </c>
      <c r="HV117" t="e">
        <f>AND('Planilla_General_07-12-2012_8_3'!E1761,"AAAAAD//+eU=")</f>
        <v>#VALUE!</v>
      </c>
      <c r="HW117" t="e">
        <f>AND('Planilla_General_07-12-2012_8_3'!F1761,"AAAAAD//+eY=")</f>
        <v>#VALUE!</v>
      </c>
      <c r="HX117" t="e">
        <f>AND('Planilla_General_07-12-2012_8_3'!G1761,"AAAAAD//+ec=")</f>
        <v>#VALUE!</v>
      </c>
      <c r="HY117" t="e">
        <f>AND('Planilla_General_07-12-2012_8_3'!H1761,"AAAAAD//+eg=")</f>
        <v>#VALUE!</v>
      </c>
      <c r="HZ117" t="e">
        <f>AND('Planilla_General_07-12-2012_8_3'!I1761,"AAAAAD//+ek=")</f>
        <v>#VALUE!</v>
      </c>
      <c r="IA117" t="e">
        <f>AND('Planilla_General_07-12-2012_8_3'!J1761,"AAAAAD//+eo=")</f>
        <v>#VALUE!</v>
      </c>
      <c r="IB117" t="e">
        <f>AND('Planilla_General_07-12-2012_8_3'!K1761,"AAAAAD//+es=")</f>
        <v>#VALUE!</v>
      </c>
      <c r="IC117" t="e">
        <f>AND('Planilla_General_07-12-2012_8_3'!L1761,"AAAAAD//+ew=")</f>
        <v>#VALUE!</v>
      </c>
      <c r="ID117" t="e">
        <f>AND('Planilla_General_07-12-2012_8_3'!M1761,"AAAAAD//+e0=")</f>
        <v>#VALUE!</v>
      </c>
      <c r="IE117" t="e">
        <f>AND('Planilla_General_07-12-2012_8_3'!N1761,"AAAAAD//+e4=")</f>
        <v>#VALUE!</v>
      </c>
      <c r="IF117" t="e">
        <f>AND('Planilla_General_07-12-2012_8_3'!O1761,"AAAAAD//+e8=")</f>
        <v>#VALUE!</v>
      </c>
      <c r="IG117" t="e">
        <f>AND('Planilla_General_07-12-2012_8_3'!P1761,"AAAAAD//+fA=")</f>
        <v>#VALUE!</v>
      </c>
      <c r="IH117">
        <f>IF('Planilla_General_07-12-2012_8_3'!1762:1762,"AAAAAD//+fE=",0)</f>
        <v>0</v>
      </c>
      <c r="II117" t="e">
        <f>AND('Planilla_General_07-12-2012_8_3'!A1762,"AAAAAD//+fI=")</f>
        <v>#VALUE!</v>
      </c>
      <c r="IJ117" t="e">
        <f>AND('Planilla_General_07-12-2012_8_3'!B1762,"AAAAAD//+fM=")</f>
        <v>#VALUE!</v>
      </c>
      <c r="IK117" t="e">
        <f>AND('Planilla_General_07-12-2012_8_3'!C1762,"AAAAAD//+fQ=")</f>
        <v>#VALUE!</v>
      </c>
      <c r="IL117" t="e">
        <f>AND('Planilla_General_07-12-2012_8_3'!D1762,"AAAAAD//+fU=")</f>
        <v>#VALUE!</v>
      </c>
      <c r="IM117" t="e">
        <f>AND('Planilla_General_07-12-2012_8_3'!E1762,"AAAAAD//+fY=")</f>
        <v>#VALUE!</v>
      </c>
      <c r="IN117" t="e">
        <f>AND('Planilla_General_07-12-2012_8_3'!F1762,"AAAAAD//+fc=")</f>
        <v>#VALUE!</v>
      </c>
      <c r="IO117" t="e">
        <f>AND('Planilla_General_07-12-2012_8_3'!G1762,"AAAAAD//+fg=")</f>
        <v>#VALUE!</v>
      </c>
      <c r="IP117" t="e">
        <f>AND('Planilla_General_07-12-2012_8_3'!H1762,"AAAAAD//+fk=")</f>
        <v>#VALUE!</v>
      </c>
      <c r="IQ117" t="e">
        <f>AND('Planilla_General_07-12-2012_8_3'!I1762,"AAAAAD//+fo=")</f>
        <v>#VALUE!</v>
      </c>
      <c r="IR117" t="e">
        <f>AND('Planilla_General_07-12-2012_8_3'!J1762,"AAAAAD//+fs=")</f>
        <v>#VALUE!</v>
      </c>
      <c r="IS117" t="e">
        <f>AND('Planilla_General_07-12-2012_8_3'!K1762,"AAAAAD//+fw=")</f>
        <v>#VALUE!</v>
      </c>
      <c r="IT117" t="e">
        <f>AND('Planilla_General_07-12-2012_8_3'!L1762,"AAAAAD//+f0=")</f>
        <v>#VALUE!</v>
      </c>
      <c r="IU117" t="e">
        <f>AND('Planilla_General_07-12-2012_8_3'!M1762,"AAAAAD//+f4=")</f>
        <v>#VALUE!</v>
      </c>
      <c r="IV117" t="e">
        <f>AND('Planilla_General_07-12-2012_8_3'!N1762,"AAAAAD//+f8=")</f>
        <v>#VALUE!</v>
      </c>
    </row>
    <row r="118" spans="1:256" x14ac:dyDescent="0.25">
      <c r="A118" t="e">
        <f>AND('Planilla_General_07-12-2012_8_3'!O1762,"AAAAAHrXZQA=")</f>
        <v>#VALUE!</v>
      </c>
      <c r="B118" t="e">
        <f>AND('Planilla_General_07-12-2012_8_3'!P1762,"AAAAAHrXZQE=")</f>
        <v>#VALUE!</v>
      </c>
      <c r="C118" t="str">
        <f>IF('Planilla_General_07-12-2012_8_3'!1763:1763,"AAAAAHrXZQI=",0)</f>
        <v>AAAAAHrXZQI=</v>
      </c>
      <c r="D118" t="e">
        <f>AND('Planilla_General_07-12-2012_8_3'!A1763,"AAAAAHrXZQM=")</f>
        <v>#VALUE!</v>
      </c>
      <c r="E118" t="e">
        <f>AND('Planilla_General_07-12-2012_8_3'!B1763,"AAAAAHrXZQQ=")</f>
        <v>#VALUE!</v>
      </c>
      <c r="F118" t="e">
        <f>AND('Planilla_General_07-12-2012_8_3'!C1763,"AAAAAHrXZQU=")</f>
        <v>#VALUE!</v>
      </c>
      <c r="G118" t="e">
        <f>AND('Planilla_General_07-12-2012_8_3'!D1763,"AAAAAHrXZQY=")</f>
        <v>#VALUE!</v>
      </c>
      <c r="H118" t="e">
        <f>AND('Planilla_General_07-12-2012_8_3'!E1763,"AAAAAHrXZQc=")</f>
        <v>#VALUE!</v>
      </c>
      <c r="I118" t="e">
        <f>AND('Planilla_General_07-12-2012_8_3'!F1763,"AAAAAHrXZQg=")</f>
        <v>#VALUE!</v>
      </c>
      <c r="J118" t="e">
        <f>AND('Planilla_General_07-12-2012_8_3'!G1763,"AAAAAHrXZQk=")</f>
        <v>#VALUE!</v>
      </c>
      <c r="K118" t="e">
        <f>AND('Planilla_General_07-12-2012_8_3'!H1763,"AAAAAHrXZQo=")</f>
        <v>#VALUE!</v>
      </c>
      <c r="L118" t="e">
        <f>AND('Planilla_General_07-12-2012_8_3'!I1763,"AAAAAHrXZQs=")</f>
        <v>#VALUE!</v>
      </c>
      <c r="M118" t="e">
        <f>AND('Planilla_General_07-12-2012_8_3'!J1763,"AAAAAHrXZQw=")</f>
        <v>#VALUE!</v>
      </c>
      <c r="N118" t="e">
        <f>AND('Planilla_General_07-12-2012_8_3'!K1763,"AAAAAHrXZQ0=")</f>
        <v>#VALUE!</v>
      </c>
      <c r="O118" t="e">
        <f>AND('Planilla_General_07-12-2012_8_3'!L1763,"AAAAAHrXZQ4=")</f>
        <v>#VALUE!</v>
      </c>
      <c r="P118" t="e">
        <f>AND('Planilla_General_07-12-2012_8_3'!M1763,"AAAAAHrXZQ8=")</f>
        <v>#VALUE!</v>
      </c>
      <c r="Q118" t="e">
        <f>AND('Planilla_General_07-12-2012_8_3'!N1763,"AAAAAHrXZRA=")</f>
        <v>#VALUE!</v>
      </c>
      <c r="R118" t="e">
        <f>AND('Planilla_General_07-12-2012_8_3'!O1763,"AAAAAHrXZRE=")</f>
        <v>#VALUE!</v>
      </c>
      <c r="S118" t="e">
        <f>AND('Planilla_General_07-12-2012_8_3'!P1763,"AAAAAHrXZRI=")</f>
        <v>#VALUE!</v>
      </c>
      <c r="T118">
        <f>IF('Planilla_General_07-12-2012_8_3'!1764:1764,"AAAAAHrXZRM=",0)</f>
        <v>0</v>
      </c>
      <c r="U118" t="e">
        <f>AND('Planilla_General_07-12-2012_8_3'!A1764,"AAAAAHrXZRQ=")</f>
        <v>#VALUE!</v>
      </c>
      <c r="V118" t="e">
        <f>AND('Planilla_General_07-12-2012_8_3'!B1764,"AAAAAHrXZRU=")</f>
        <v>#VALUE!</v>
      </c>
      <c r="W118" t="e">
        <f>AND('Planilla_General_07-12-2012_8_3'!C1764,"AAAAAHrXZRY=")</f>
        <v>#VALUE!</v>
      </c>
      <c r="X118" t="e">
        <f>AND('Planilla_General_07-12-2012_8_3'!D1764,"AAAAAHrXZRc=")</f>
        <v>#VALUE!</v>
      </c>
      <c r="Y118" t="e">
        <f>AND('Planilla_General_07-12-2012_8_3'!E1764,"AAAAAHrXZRg=")</f>
        <v>#VALUE!</v>
      </c>
      <c r="Z118" t="e">
        <f>AND('Planilla_General_07-12-2012_8_3'!F1764,"AAAAAHrXZRk=")</f>
        <v>#VALUE!</v>
      </c>
      <c r="AA118" t="e">
        <f>AND('Planilla_General_07-12-2012_8_3'!G1764,"AAAAAHrXZRo=")</f>
        <v>#VALUE!</v>
      </c>
      <c r="AB118" t="e">
        <f>AND('Planilla_General_07-12-2012_8_3'!H1764,"AAAAAHrXZRs=")</f>
        <v>#VALUE!</v>
      </c>
      <c r="AC118" t="e">
        <f>AND('Planilla_General_07-12-2012_8_3'!I1764,"AAAAAHrXZRw=")</f>
        <v>#VALUE!</v>
      </c>
      <c r="AD118" t="e">
        <f>AND('Planilla_General_07-12-2012_8_3'!J1764,"AAAAAHrXZR0=")</f>
        <v>#VALUE!</v>
      </c>
      <c r="AE118" t="e">
        <f>AND('Planilla_General_07-12-2012_8_3'!K1764,"AAAAAHrXZR4=")</f>
        <v>#VALUE!</v>
      </c>
      <c r="AF118" t="e">
        <f>AND('Planilla_General_07-12-2012_8_3'!L1764,"AAAAAHrXZR8=")</f>
        <v>#VALUE!</v>
      </c>
      <c r="AG118" t="e">
        <f>AND('Planilla_General_07-12-2012_8_3'!M1764,"AAAAAHrXZSA=")</f>
        <v>#VALUE!</v>
      </c>
      <c r="AH118" t="e">
        <f>AND('Planilla_General_07-12-2012_8_3'!N1764,"AAAAAHrXZSE=")</f>
        <v>#VALUE!</v>
      </c>
      <c r="AI118" t="e">
        <f>AND('Planilla_General_07-12-2012_8_3'!O1764,"AAAAAHrXZSI=")</f>
        <v>#VALUE!</v>
      </c>
      <c r="AJ118" t="e">
        <f>AND('Planilla_General_07-12-2012_8_3'!P1764,"AAAAAHrXZSM=")</f>
        <v>#VALUE!</v>
      </c>
      <c r="AK118">
        <f>IF('Planilla_General_07-12-2012_8_3'!1765:1765,"AAAAAHrXZSQ=",0)</f>
        <v>0</v>
      </c>
      <c r="AL118" t="e">
        <f>AND('Planilla_General_07-12-2012_8_3'!A1765,"AAAAAHrXZSU=")</f>
        <v>#VALUE!</v>
      </c>
      <c r="AM118" t="e">
        <f>AND('Planilla_General_07-12-2012_8_3'!B1765,"AAAAAHrXZSY=")</f>
        <v>#VALUE!</v>
      </c>
      <c r="AN118" t="e">
        <f>AND('Planilla_General_07-12-2012_8_3'!C1765,"AAAAAHrXZSc=")</f>
        <v>#VALUE!</v>
      </c>
      <c r="AO118" t="e">
        <f>AND('Planilla_General_07-12-2012_8_3'!D1765,"AAAAAHrXZSg=")</f>
        <v>#VALUE!</v>
      </c>
      <c r="AP118" t="e">
        <f>AND('Planilla_General_07-12-2012_8_3'!E1765,"AAAAAHrXZSk=")</f>
        <v>#VALUE!</v>
      </c>
      <c r="AQ118" t="e">
        <f>AND('Planilla_General_07-12-2012_8_3'!F1765,"AAAAAHrXZSo=")</f>
        <v>#VALUE!</v>
      </c>
      <c r="AR118" t="e">
        <f>AND('Planilla_General_07-12-2012_8_3'!G1765,"AAAAAHrXZSs=")</f>
        <v>#VALUE!</v>
      </c>
      <c r="AS118" t="e">
        <f>AND('Planilla_General_07-12-2012_8_3'!H1765,"AAAAAHrXZSw=")</f>
        <v>#VALUE!</v>
      </c>
      <c r="AT118" t="e">
        <f>AND('Planilla_General_07-12-2012_8_3'!I1765,"AAAAAHrXZS0=")</f>
        <v>#VALUE!</v>
      </c>
      <c r="AU118" t="e">
        <f>AND('Planilla_General_07-12-2012_8_3'!J1765,"AAAAAHrXZS4=")</f>
        <v>#VALUE!</v>
      </c>
      <c r="AV118" t="e">
        <f>AND('Planilla_General_07-12-2012_8_3'!K1765,"AAAAAHrXZS8=")</f>
        <v>#VALUE!</v>
      </c>
      <c r="AW118" t="e">
        <f>AND('Planilla_General_07-12-2012_8_3'!L1765,"AAAAAHrXZTA=")</f>
        <v>#VALUE!</v>
      </c>
      <c r="AX118" t="e">
        <f>AND('Planilla_General_07-12-2012_8_3'!M1765,"AAAAAHrXZTE=")</f>
        <v>#VALUE!</v>
      </c>
      <c r="AY118" t="e">
        <f>AND('Planilla_General_07-12-2012_8_3'!N1765,"AAAAAHrXZTI=")</f>
        <v>#VALUE!</v>
      </c>
      <c r="AZ118" t="e">
        <f>AND('Planilla_General_07-12-2012_8_3'!O1765,"AAAAAHrXZTM=")</f>
        <v>#VALUE!</v>
      </c>
      <c r="BA118" t="e">
        <f>AND('Planilla_General_07-12-2012_8_3'!P1765,"AAAAAHrXZTQ=")</f>
        <v>#VALUE!</v>
      </c>
      <c r="BB118">
        <f>IF('Planilla_General_07-12-2012_8_3'!1766:1766,"AAAAAHrXZTU=",0)</f>
        <v>0</v>
      </c>
      <c r="BC118" t="e">
        <f>AND('Planilla_General_07-12-2012_8_3'!A1766,"AAAAAHrXZTY=")</f>
        <v>#VALUE!</v>
      </c>
      <c r="BD118" t="e">
        <f>AND('Planilla_General_07-12-2012_8_3'!B1766,"AAAAAHrXZTc=")</f>
        <v>#VALUE!</v>
      </c>
      <c r="BE118" t="e">
        <f>AND('Planilla_General_07-12-2012_8_3'!C1766,"AAAAAHrXZTg=")</f>
        <v>#VALUE!</v>
      </c>
      <c r="BF118" t="e">
        <f>AND('Planilla_General_07-12-2012_8_3'!D1766,"AAAAAHrXZTk=")</f>
        <v>#VALUE!</v>
      </c>
      <c r="BG118" t="e">
        <f>AND('Planilla_General_07-12-2012_8_3'!E1766,"AAAAAHrXZTo=")</f>
        <v>#VALUE!</v>
      </c>
      <c r="BH118" t="e">
        <f>AND('Planilla_General_07-12-2012_8_3'!F1766,"AAAAAHrXZTs=")</f>
        <v>#VALUE!</v>
      </c>
      <c r="BI118" t="e">
        <f>AND('Planilla_General_07-12-2012_8_3'!G1766,"AAAAAHrXZTw=")</f>
        <v>#VALUE!</v>
      </c>
      <c r="BJ118" t="e">
        <f>AND('Planilla_General_07-12-2012_8_3'!H1766,"AAAAAHrXZT0=")</f>
        <v>#VALUE!</v>
      </c>
      <c r="BK118" t="e">
        <f>AND('Planilla_General_07-12-2012_8_3'!I1766,"AAAAAHrXZT4=")</f>
        <v>#VALUE!</v>
      </c>
      <c r="BL118" t="e">
        <f>AND('Planilla_General_07-12-2012_8_3'!J1766,"AAAAAHrXZT8=")</f>
        <v>#VALUE!</v>
      </c>
      <c r="BM118" t="e">
        <f>AND('Planilla_General_07-12-2012_8_3'!K1766,"AAAAAHrXZUA=")</f>
        <v>#VALUE!</v>
      </c>
      <c r="BN118" t="e">
        <f>AND('Planilla_General_07-12-2012_8_3'!L1766,"AAAAAHrXZUE=")</f>
        <v>#VALUE!</v>
      </c>
      <c r="BO118" t="e">
        <f>AND('Planilla_General_07-12-2012_8_3'!M1766,"AAAAAHrXZUI=")</f>
        <v>#VALUE!</v>
      </c>
      <c r="BP118" t="e">
        <f>AND('Planilla_General_07-12-2012_8_3'!N1766,"AAAAAHrXZUM=")</f>
        <v>#VALUE!</v>
      </c>
      <c r="BQ118" t="e">
        <f>AND('Planilla_General_07-12-2012_8_3'!O1766,"AAAAAHrXZUQ=")</f>
        <v>#VALUE!</v>
      </c>
      <c r="BR118" t="e">
        <f>AND('Planilla_General_07-12-2012_8_3'!P1766,"AAAAAHrXZUU=")</f>
        <v>#VALUE!</v>
      </c>
      <c r="BS118">
        <f>IF('Planilla_General_07-12-2012_8_3'!1767:1767,"AAAAAHrXZUY=",0)</f>
        <v>0</v>
      </c>
      <c r="BT118" t="e">
        <f>AND('Planilla_General_07-12-2012_8_3'!A1767,"AAAAAHrXZUc=")</f>
        <v>#VALUE!</v>
      </c>
      <c r="BU118" t="e">
        <f>AND('Planilla_General_07-12-2012_8_3'!B1767,"AAAAAHrXZUg=")</f>
        <v>#VALUE!</v>
      </c>
      <c r="BV118" t="e">
        <f>AND('Planilla_General_07-12-2012_8_3'!C1767,"AAAAAHrXZUk=")</f>
        <v>#VALUE!</v>
      </c>
      <c r="BW118" t="e">
        <f>AND('Planilla_General_07-12-2012_8_3'!D1767,"AAAAAHrXZUo=")</f>
        <v>#VALUE!</v>
      </c>
      <c r="BX118" t="e">
        <f>AND('Planilla_General_07-12-2012_8_3'!E1767,"AAAAAHrXZUs=")</f>
        <v>#VALUE!</v>
      </c>
      <c r="BY118" t="e">
        <f>AND('Planilla_General_07-12-2012_8_3'!F1767,"AAAAAHrXZUw=")</f>
        <v>#VALUE!</v>
      </c>
      <c r="BZ118" t="e">
        <f>AND('Planilla_General_07-12-2012_8_3'!G1767,"AAAAAHrXZU0=")</f>
        <v>#VALUE!</v>
      </c>
      <c r="CA118" t="e">
        <f>AND('Planilla_General_07-12-2012_8_3'!H1767,"AAAAAHrXZU4=")</f>
        <v>#VALUE!</v>
      </c>
      <c r="CB118" t="e">
        <f>AND('Planilla_General_07-12-2012_8_3'!I1767,"AAAAAHrXZU8=")</f>
        <v>#VALUE!</v>
      </c>
      <c r="CC118" t="e">
        <f>AND('Planilla_General_07-12-2012_8_3'!J1767,"AAAAAHrXZVA=")</f>
        <v>#VALUE!</v>
      </c>
      <c r="CD118" t="e">
        <f>AND('Planilla_General_07-12-2012_8_3'!K1767,"AAAAAHrXZVE=")</f>
        <v>#VALUE!</v>
      </c>
      <c r="CE118" t="e">
        <f>AND('Planilla_General_07-12-2012_8_3'!L1767,"AAAAAHrXZVI=")</f>
        <v>#VALUE!</v>
      </c>
      <c r="CF118" t="e">
        <f>AND('Planilla_General_07-12-2012_8_3'!M1767,"AAAAAHrXZVM=")</f>
        <v>#VALUE!</v>
      </c>
      <c r="CG118" t="e">
        <f>AND('Planilla_General_07-12-2012_8_3'!N1767,"AAAAAHrXZVQ=")</f>
        <v>#VALUE!</v>
      </c>
      <c r="CH118" t="e">
        <f>AND('Planilla_General_07-12-2012_8_3'!O1767,"AAAAAHrXZVU=")</f>
        <v>#VALUE!</v>
      </c>
      <c r="CI118" t="e">
        <f>AND('Planilla_General_07-12-2012_8_3'!P1767,"AAAAAHrXZVY=")</f>
        <v>#VALUE!</v>
      </c>
      <c r="CJ118">
        <f>IF('Planilla_General_07-12-2012_8_3'!1768:1768,"AAAAAHrXZVc=",0)</f>
        <v>0</v>
      </c>
      <c r="CK118" t="e">
        <f>AND('Planilla_General_07-12-2012_8_3'!A1768,"AAAAAHrXZVg=")</f>
        <v>#VALUE!</v>
      </c>
      <c r="CL118" t="e">
        <f>AND('Planilla_General_07-12-2012_8_3'!B1768,"AAAAAHrXZVk=")</f>
        <v>#VALUE!</v>
      </c>
      <c r="CM118" t="e">
        <f>AND('Planilla_General_07-12-2012_8_3'!C1768,"AAAAAHrXZVo=")</f>
        <v>#VALUE!</v>
      </c>
      <c r="CN118" t="e">
        <f>AND('Planilla_General_07-12-2012_8_3'!D1768,"AAAAAHrXZVs=")</f>
        <v>#VALUE!</v>
      </c>
      <c r="CO118" t="e">
        <f>AND('Planilla_General_07-12-2012_8_3'!E1768,"AAAAAHrXZVw=")</f>
        <v>#VALUE!</v>
      </c>
      <c r="CP118" t="e">
        <f>AND('Planilla_General_07-12-2012_8_3'!F1768,"AAAAAHrXZV0=")</f>
        <v>#VALUE!</v>
      </c>
      <c r="CQ118" t="e">
        <f>AND('Planilla_General_07-12-2012_8_3'!G1768,"AAAAAHrXZV4=")</f>
        <v>#VALUE!</v>
      </c>
      <c r="CR118" t="e">
        <f>AND('Planilla_General_07-12-2012_8_3'!H1768,"AAAAAHrXZV8=")</f>
        <v>#VALUE!</v>
      </c>
      <c r="CS118" t="e">
        <f>AND('Planilla_General_07-12-2012_8_3'!I1768,"AAAAAHrXZWA=")</f>
        <v>#VALUE!</v>
      </c>
      <c r="CT118" t="e">
        <f>AND('Planilla_General_07-12-2012_8_3'!J1768,"AAAAAHrXZWE=")</f>
        <v>#VALUE!</v>
      </c>
      <c r="CU118" t="e">
        <f>AND('Planilla_General_07-12-2012_8_3'!K1768,"AAAAAHrXZWI=")</f>
        <v>#VALUE!</v>
      </c>
      <c r="CV118" t="e">
        <f>AND('Planilla_General_07-12-2012_8_3'!L1768,"AAAAAHrXZWM=")</f>
        <v>#VALUE!</v>
      </c>
      <c r="CW118" t="e">
        <f>AND('Planilla_General_07-12-2012_8_3'!M1768,"AAAAAHrXZWQ=")</f>
        <v>#VALUE!</v>
      </c>
      <c r="CX118" t="e">
        <f>AND('Planilla_General_07-12-2012_8_3'!N1768,"AAAAAHrXZWU=")</f>
        <v>#VALUE!</v>
      </c>
      <c r="CY118" t="e">
        <f>AND('Planilla_General_07-12-2012_8_3'!O1768,"AAAAAHrXZWY=")</f>
        <v>#VALUE!</v>
      </c>
      <c r="CZ118" t="e">
        <f>AND('Planilla_General_07-12-2012_8_3'!P1768,"AAAAAHrXZWc=")</f>
        <v>#VALUE!</v>
      </c>
      <c r="DA118">
        <f>IF('Planilla_General_07-12-2012_8_3'!1769:1769,"AAAAAHrXZWg=",0)</f>
        <v>0</v>
      </c>
      <c r="DB118" t="e">
        <f>AND('Planilla_General_07-12-2012_8_3'!A1769,"AAAAAHrXZWk=")</f>
        <v>#VALUE!</v>
      </c>
      <c r="DC118" t="e">
        <f>AND('Planilla_General_07-12-2012_8_3'!B1769,"AAAAAHrXZWo=")</f>
        <v>#VALUE!</v>
      </c>
      <c r="DD118" t="e">
        <f>AND('Planilla_General_07-12-2012_8_3'!C1769,"AAAAAHrXZWs=")</f>
        <v>#VALUE!</v>
      </c>
      <c r="DE118" t="e">
        <f>AND('Planilla_General_07-12-2012_8_3'!D1769,"AAAAAHrXZWw=")</f>
        <v>#VALUE!</v>
      </c>
      <c r="DF118" t="e">
        <f>AND('Planilla_General_07-12-2012_8_3'!E1769,"AAAAAHrXZW0=")</f>
        <v>#VALUE!</v>
      </c>
      <c r="DG118" t="e">
        <f>AND('Planilla_General_07-12-2012_8_3'!F1769,"AAAAAHrXZW4=")</f>
        <v>#VALUE!</v>
      </c>
      <c r="DH118" t="e">
        <f>AND('Planilla_General_07-12-2012_8_3'!G1769,"AAAAAHrXZW8=")</f>
        <v>#VALUE!</v>
      </c>
      <c r="DI118" t="e">
        <f>AND('Planilla_General_07-12-2012_8_3'!H1769,"AAAAAHrXZXA=")</f>
        <v>#VALUE!</v>
      </c>
      <c r="DJ118" t="e">
        <f>AND('Planilla_General_07-12-2012_8_3'!I1769,"AAAAAHrXZXE=")</f>
        <v>#VALUE!</v>
      </c>
      <c r="DK118" t="e">
        <f>AND('Planilla_General_07-12-2012_8_3'!J1769,"AAAAAHrXZXI=")</f>
        <v>#VALUE!</v>
      </c>
      <c r="DL118" t="e">
        <f>AND('Planilla_General_07-12-2012_8_3'!K1769,"AAAAAHrXZXM=")</f>
        <v>#VALUE!</v>
      </c>
      <c r="DM118" t="e">
        <f>AND('Planilla_General_07-12-2012_8_3'!L1769,"AAAAAHrXZXQ=")</f>
        <v>#VALUE!</v>
      </c>
      <c r="DN118" t="e">
        <f>AND('Planilla_General_07-12-2012_8_3'!M1769,"AAAAAHrXZXU=")</f>
        <v>#VALUE!</v>
      </c>
      <c r="DO118" t="e">
        <f>AND('Planilla_General_07-12-2012_8_3'!N1769,"AAAAAHrXZXY=")</f>
        <v>#VALUE!</v>
      </c>
      <c r="DP118" t="e">
        <f>AND('Planilla_General_07-12-2012_8_3'!O1769,"AAAAAHrXZXc=")</f>
        <v>#VALUE!</v>
      </c>
      <c r="DQ118" t="e">
        <f>AND('Planilla_General_07-12-2012_8_3'!P1769,"AAAAAHrXZXg=")</f>
        <v>#VALUE!</v>
      </c>
      <c r="DR118">
        <f>IF('Planilla_General_07-12-2012_8_3'!1770:1770,"AAAAAHrXZXk=",0)</f>
        <v>0</v>
      </c>
      <c r="DS118" t="e">
        <f>AND('Planilla_General_07-12-2012_8_3'!A1770,"AAAAAHrXZXo=")</f>
        <v>#VALUE!</v>
      </c>
      <c r="DT118" t="e">
        <f>AND('Planilla_General_07-12-2012_8_3'!B1770,"AAAAAHrXZXs=")</f>
        <v>#VALUE!</v>
      </c>
      <c r="DU118" t="e">
        <f>AND('Planilla_General_07-12-2012_8_3'!C1770,"AAAAAHrXZXw=")</f>
        <v>#VALUE!</v>
      </c>
      <c r="DV118" t="e">
        <f>AND('Planilla_General_07-12-2012_8_3'!D1770,"AAAAAHrXZX0=")</f>
        <v>#VALUE!</v>
      </c>
      <c r="DW118" t="e">
        <f>AND('Planilla_General_07-12-2012_8_3'!E1770,"AAAAAHrXZX4=")</f>
        <v>#VALUE!</v>
      </c>
      <c r="DX118" t="e">
        <f>AND('Planilla_General_07-12-2012_8_3'!F1770,"AAAAAHrXZX8=")</f>
        <v>#VALUE!</v>
      </c>
      <c r="DY118" t="e">
        <f>AND('Planilla_General_07-12-2012_8_3'!G1770,"AAAAAHrXZYA=")</f>
        <v>#VALUE!</v>
      </c>
      <c r="DZ118" t="e">
        <f>AND('Planilla_General_07-12-2012_8_3'!H1770,"AAAAAHrXZYE=")</f>
        <v>#VALUE!</v>
      </c>
      <c r="EA118" t="e">
        <f>AND('Planilla_General_07-12-2012_8_3'!I1770,"AAAAAHrXZYI=")</f>
        <v>#VALUE!</v>
      </c>
      <c r="EB118" t="e">
        <f>AND('Planilla_General_07-12-2012_8_3'!J1770,"AAAAAHrXZYM=")</f>
        <v>#VALUE!</v>
      </c>
      <c r="EC118" t="e">
        <f>AND('Planilla_General_07-12-2012_8_3'!K1770,"AAAAAHrXZYQ=")</f>
        <v>#VALUE!</v>
      </c>
      <c r="ED118" t="e">
        <f>AND('Planilla_General_07-12-2012_8_3'!L1770,"AAAAAHrXZYU=")</f>
        <v>#VALUE!</v>
      </c>
      <c r="EE118" t="e">
        <f>AND('Planilla_General_07-12-2012_8_3'!M1770,"AAAAAHrXZYY=")</f>
        <v>#VALUE!</v>
      </c>
      <c r="EF118" t="e">
        <f>AND('Planilla_General_07-12-2012_8_3'!N1770,"AAAAAHrXZYc=")</f>
        <v>#VALUE!</v>
      </c>
      <c r="EG118" t="e">
        <f>AND('Planilla_General_07-12-2012_8_3'!O1770,"AAAAAHrXZYg=")</f>
        <v>#VALUE!</v>
      </c>
      <c r="EH118" t="e">
        <f>AND('Planilla_General_07-12-2012_8_3'!P1770,"AAAAAHrXZYk=")</f>
        <v>#VALUE!</v>
      </c>
      <c r="EI118">
        <f>IF('Planilla_General_07-12-2012_8_3'!1771:1771,"AAAAAHrXZYo=",0)</f>
        <v>0</v>
      </c>
      <c r="EJ118" t="e">
        <f>AND('Planilla_General_07-12-2012_8_3'!A1771,"AAAAAHrXZYs=")</f>
        <v>#VALUE!</v>
      </c>
      <c r="EK118" t="e">
        <f>AND('Planilla_General_07-12-2012_8_3'!B1771,"AAAAAHrXZYw=")</f>
        <v>#VALUE!</v>
      </c>
      <c r="EL118" t="e">
        <f>AND('Planilla_General_07-12-2012_8_3'!C1771,"AAAAAHrXZY0=")</f>
        <v>#VALUE!</v>
      </c>
      <c r="EM118" t="e">
        <f>AND('Planilla_General_07-12-2012_8_3'!D1771,"AAAAAHrXZY4=")</f>
        <v>#VALUE!</v>
      </c>
      <c r="EN118" t="e">
        <f>AND('Planilla_General_07-12-2012_8_3'!E1771,"AAAAAHrXZY8=")</f>
        <v>#VALUE!</v>
      </c>
      <c r="EO118" t="e">
        <f>AND('Planilla_General_07-12-2012_8_3'!F1771,"AAAAAHrXZZA=")</f>
        <v>#VALUE!</v>
      </c>
      <c r="EP118" t="e">
        <f>AND('Planilla_General_07-12-2012_8_3'!G1771,"AAAAAHrXZZE=")</f>
        <v>#VALUE!</v>
      </c>
      <c r="EQ118" t="e">
        <f>AND('Planilla_General_07-12-2012_8_3'!H1771,"AAAAAHrXZZI=")</f>
        <v>#VALUE!</v>
      </c>
      <c r="ER118" t="e">
        <f>AND('Planilla_General_07-12-2012_8_3'!I1771,"AAAAAHrXZZM=")</f>
        <v>#VALUE!</v>
      </c>
      <c r="ES118" t="e">
        <f>AND('Planilla_General_07-12-2012_8_3'!J1771,"AAAAAHrXZZQ=")</f>
        <v>#VALUE!</v>
      </c>
      <c r="ET118" t="e">
        <f>AND('Planilla_General_07-12-2012_8_3'!K1771,"AAAAAHrXZZU=")</f>
        <v>#VALUE!</v>
      </c>
      <c r="EU118" t="e">
        <f>AND('Planilla_General_07-12-2012_8_3'!L1771,"AAAAAHrXZZY=")</f>
        <v>#VALUE!</v>
      </c>
      <c r="EV118" t="e">
        <f>AND('Planilla_General_07-12-2012_8_3'!M1771,"AAAAAHrXZZc=")</f>
        <v>#VALUE!</v>
      </c>
      <c r="EW118" t="e">
        <f>AND('Planilla_General_07-12-2012_8_3'!N1771,"AAAAAHrXZZg=")</f>
        <v>#VALUE!</v>
      </c>
      <c r="EX118" t="e">
        <f>AND('Planilla_General_07-12-2012_8_3'!O1771,"AAAAAHrXZZk=")</f>
        <v>#VALUE!</v>
      </c>
      <c r="EY118" t="e">
        <f>AND('Planilla_General_07-12-2012_8_3'!P1771,"AAAAAHrXZZo=")</f>
        <v>#VALUE!</v>
      </c>
      <c r="EZ118">
        <f>IF('Planilla_General_07-12-2012_8_3'!1772:1772,"AAAAAHrXZZs=",0)</f>
        <v>0</v>
      </c>
      <c r="FA118" t="e">
        <f>AND('Planilla_General_07-12-2012_8_3'!A1772,"AAAAAHrXZZw=")</f>
        <v>#VALUE!</v>
      </c>
      <c r="FB118" t="e">
        <f>AND('Planilla_General_07-12-2012_8_3'!B1772,"AAAAAHrXZZ0=")</f>
        <v>#VALUE!</v>
      </c>
      <c r="FC118" t="e">
        <f>AND('Planilla_General_07-12-2012_8_3'!C1772,"AAAAAHrXZZ4=")</f>
        <v>#VALUE!</v>
      </c>
      <c r="FD118" t="e">
        <f>AND('Planilla_General_07-12-2012_8_3'!D1772,"AAAAAHrXZZ8=")</f>
        <v>#VALUE!</v>
      </c>
      <c r="FE118" t="e">
        <f>AND('Planilla_General_07-12-2012_8_3'!E1772,"AAAAAHrXZaA=")</f>
        <v>#VALUE!</v>
      </c>
      <c r="FF118" t="e">
        <f>AND('Planilla_General_07-12-2012_8_3'!F1772,"AAAAAHrXZaE=")</f>
        <v>#VALUE!</v>
      </c>
      <c r="FG118" t="e">
        <f>AND('Planilla_General_07-12-2012_8_3'!G1772,"AAAAAHrXZaI=")</f>
        <v>#VALUE!</v>
      </c>
      <c r="FH118" t="e">
        <f>AND('Planilla_General_07-12-2012_8_3'!H1772,"AAAAAHrXZaM=")</f>
        <v>#VALUE!</v>
      </c>
      <c r="FI118" t="e">
        <f>AND('Planilla_General_07-12-2012_8_3'!I1772,"AAAAAHrXZaQ=")</f>
        <v>#VALUE!</v>
      </c>
      <c r="FJ118" t="e">
        <f>AND('Planilla_General_07-12-2012_8_3'!J1772,"AAAAAHrXZaU=")</f>
        <v>#VALUE!</v>
      </c>
      <c r="FK118" t="e">
        <f>AND('Planilla_General_07-12-2012_8_3'!K1772,"AAAAAHrXZaY=")</f>
        <v>#VALUE!</v>
      </c>
      <c r="FL118" t="e">
        <f>AND('Planilla_General_07-12-2012_8_3'!L1772,"AAAAAHrXZac=")</f>
        <v>#VALUE!</v>
      </c>
      <c r="FM118" t="e">
        <f>AND('Planilla_General_07-12-2012_8_3'!M1772,"AAAAAHrXZag=")</f>
        <v>#VALUE!</v>
      </c>
      <c r="FN118" t="e">
        <f>AND('Planilla_General_07-12-2012_8_3'!N1772,"AAAAAHrXZak=")</f>
        <v>#VALUE!</v>
      </c>
      <c r="FO118" t="e">
        <f>AND('Planilla_General_07-12-2012_8_3'!O1772,"AAAAAHrXZao=")</f>
        <v>#VALUE!</v>
      </c>
      <c r="FP118" t="e">
        <f>AND('Planilla_General_07-12-2012_8_3'!P1772,"AAAAAHrXZas=")</f>
        <v>#VALUE!</v>
      </c>
      <c r="FQ118">
        <f>IF('Planilla_General_07-12-2012_8_3'!1773:1773,"AAAAAHrXZaw=",0)</f>
        <v>0</v>
      </c>
      <c r="FR118" t="e">
        <f>AND('Planilla_General_07-12-2012_8_3'!A1773,"AAAAAHrXZa0=")</f>
        <v>#VALUE!</v>
      </c>
      <c r="FS118" t="e">
        <f>AND('Planilla_General_07-12-2012_8_3'!B1773,"AAAAAHrXZa4=")</f>
        <v>#VALUE!</v>
      </c>
      <c r="FT118" t="e">
        <f>AND('Planilla_General_07-12-2012_8_3'!C1773,"AAAAAHrXZa8=")</f>
        <v>#VALUE!</v>
      </c>
      <c r="FU118" t="e">
        <f>AND('Planilla_General_07-12-2012_8_3'!D1773,"AAAAAHrXZbA=")</f>
        <v>#VALUE!</v>
      </c>
      <c r="FV118" t="e">
        <f>AND('Planilla_General_07-12-2012_8_3'!E1773,"AAAAAHrXZbE=")</f>
        <v>#VALUE!</v>
      </c>
      <c r="FW118" t="e">
        <f>AND('Planilla_General_07-12-2012_8_3'!F1773,"AAAAAHrXZbI=")</f>
        <v>#VALUE!</v>
      </c>
      <c r="FX118" t="e">
        <f>AND('Planilla_General_07-12-2012_8_3'!G1773,"AAAAAHrXZbM=")</f>
        <v>#VALUE!</v>
      </c>
      <c r="FY118" t="e">
        <f>AND('Planilla_General_07-12-2012_8_3'!H1773,"AAAAAHrXZbQ=")</f>
        <v>#VALUE!</v>
      </c>
      <c r="FZ118" t="e">
        <f>AND('Planilla_General_07-12-2012_8_3'!I1773,"AAAAAHrXZbU=")</f>
        <v>#VALUE!</v>
      </c>
      <c r="GA118" t="e">
        <f>AND('Planilla_General_07-12-2012_8_3'!J1773,"AAAAAHrXZbY=")</f>
        <v>#VALUE!</v>
      </c>
      <c r="GB118" t="e">
        <f>AND('Planilla_General_07-12-2012_8_3'!K1773,"AAAAAHrXZbc=")</f>
        <v>#VALUE!</v>
      </c>
      <c r="GC118" t="e">
        <f>AND('Planilla_General_07-12-2012_8_3'!L1773,"AAAAAHrXZbg=")</f>
        <v>#VALUE!</v>
      </c>
      <c r="GD118" t="e">
        <f>AND('Planilla_General_07-12-2012_8_3'!M1773,"AAAAAHrXZbk=")</f>
        <v>#VALUE!</v>
      </c>
      <c r="GE118" t="e">
        <f>AND('Planilla_General_07-12-2012_8_3'!N1773,"AAAAAHrXZbo=")</f>
        <v>#VALUE!</v>
      </c>
      <c r="GF118" t="e">
        <f>AND('Planilla_General_07-12-2012_8_3'!O1773,"AAAAAHrXZbs=")</f>
        <v>#VALUE!</v>
      </c>
      <c r="GG118" t="e">
        <f>AND('Planilla_General_07-12-2012_8_3'!P1773,"AAAAAHrXZbw=")</f>
        <v>#VALUE!</v>
      </c>
      <c r="GH118">
        <f>IF('Planilla_General_07-12-2012_8_3'!1774:1774,"AAAAAHrXZb0=",0)</f>
        <v>0</v>
      </c>
      <c r="GI118" t="e">
        <f>AND('Planilla_General_07-12-2012_8_3'!A1774,"AAAAAHrXZb4=")</f>
        <v>#VALUE!</v>
      </c>
      <c r="GJ118" t="e">
        <f>AND('Planilla_General_07-12-2012_8_3'!B1774,"AAAAAHrXZb8=")</f>
        <v>#VALUE!</v>
      </c>
      <c r="GK118" t="e">
        <f>AND('Planilla_General_07-12-2012_8_3'!C1774,"AAAAAHrXZcA=")</f>
        <v>#VALUE!</v>
      </c>
      <c r="GL118" t="e">
        <f>AND('Planilla_General_07-12-2012_8_3'!D1774,"AAAAAHrXZcE=")</f>
        <v>#VALUE!</v>
      </c>
      <c r="GM118" t="e">
        <f>AND('Planilla_General_07-12-2012_8_3'!E1774,"AAAAAHrXZcI=")</f>
        <v>#VALUE!</v>
      </c>
      <c r="GN118" t="e">
        <f>AND('Planilla_General_07-12-2012_8_3'!F1774,"AAAAAHrXZcM=")</f>
        <v>#VALUE!</v>
      </c>
      <c r="GO118" t="e">
        <f>AND('Planilla_General_07-12-2012_8_3'!G1774,"AAAAAHrXZcQ=")</f>
        <v>#VALUE!</v>
      </c>
      <c r="GP118" t="e">
        <f>AND('Planilla_General_07-12-2012_8_3'!H1774,"AAAAAHrXZcU=")</f>
        <v>#VALUE!</v>
      </c>
      <c r="GQ118" t="e">
        <f>AND('Planilla_General_07-12-2012_8_3'!I1774,"AAAAAHrXZcY=")</f>
        <v>#VALUE!</v>
      </c>
      <c r="GR118" t="e">
        <f>AND('Planilla_General_07-12-2012_8_3'!J1774,"AAAAAHrXZcc=")</f>
        <v>#VALUE!</v>
      </c>
      <c r="GS118" t="e">
        <f>AND('Planilla_General_07-12-2012_8_3'!K1774,"AAAAAHrXZcg=")</f>
        <v>#VALUE!</v>
      </c>
      <c r="GT118" t="e">
        <f>AND('Planilla_General_07-12-2012_8_3'!L1774,"AAAAAHrXZck=")</f>
        <v>#VALUE!</v>
      </c>
      <c r="GU118" t="e">
        <f>AND('Planilla_General_07-12-2012_8_3'!M1774,"AAAAAHrXZco=")</f>
        <v>#VALUE!</v>
      </c>
      <c r="GV118" t="e">
        <f>AND('Planilla_General_07-12-2012_8_3'!N1774,"AAAAAHrXZcs=")</f>
        <v>#VALUE!</v>
      </c>
      <c r="GW118" t="e">
        <f>AND('Planilla_General_07-12-2012_8_3'!O1774,"AAAAAHrXZcw=")</f>
        <v>#VALUE!</v>
      </c>
      <c r="GX118" t="e">
        <f>AND('Planilla_General_07-12-2012_8_3'!P1774,"AAAAAHrXZc0=")</f>
        <v>#VALUE!</v>
      </c>
      <c r="GY118">
        <f>IF('Planilla_General_07-12-2012_8_3'!1775:1775,"AAAAAHrXZc4=",0)</f>
        <v>0</v>
      </c>
      <c r="GZ118" t="e">
        <f>AND('Planilla_General_07-12-2012_8_3'!A1775,"AAAAAHrXZc8=")</f>
        <v>#VALUE!</v>
      </c>
      <c r="HA118" t="e">
        <f>AND('Planilla_General_07-12-2012_8_3'!B1775,"AAAAAHrXZdA=")</f>
        <v>#VALUE!</v>
      </c>
      <c r="HB118" t="e">
        <f>AND('Planilla_General_07-12-2012_8_3'!C1775,"AAAAAHrXZdE=")</f>
        <v>#VALUE!</v>
      </c>
      <c r="HC118" t="e">
        <f>AND('Planilla_General_07-12-2012_8_3'!D1775,"AAAAAHrXZdI=")</f>
        <v>#VALUE!</v>
      </c>
      <c r="HD118" t="e">
        <f>AND('Planilla_General_07-12-2012_8_3'!E1775,"AAAAAHrXZdM=")</f>
        <v>#VALUE!</v>
      </c>
      <c r="HE118" t="e">
        <f>AND('Planilla_General_07-12-2012_8_3'!F1775,"AAAAAHrXZdQ=")</f>
        <v>#VALUE!</v>
      </c>
      <c r="HF118" t="e">
        <f>AND('Planilla_General_07-12-2012_8_3'!G1775,"AAAAAHrXZdU=")</f>
        <v>#VALUE!</v>
      </c>
      <c r="HG118" t="e">
        <f>AND('Planilla_General_07-12-2012_8_3'!H1775,"AAAAAHrXZdY=")</f>
        <v>#VALUE!</v>
      </c>
      <c r="HH118" t="e">
        <f>AND('Planilla_General_07-12-2012_8_3'!I1775,"AAAAAHrXZdc=")</f>
        <v>#VALUE!</v>
      </c>
      <c r="HI118" t="e">
        <f>AND('Planilla_General_07-12-2012_8_3'!J1775,"AAAAAHrXZdg=")</f>
        <v>#VALUE!</v>
      </c>
      <c r="HJ118" t="e">
        <f>AND('Planilla_General_07-12-2012_8_3'!K1775,"AAAAAHrXZdk=")</f>
        <v>#VALUE!</v>
      </c>
      <c r="HK118" t="e">
        <f>AND('Planilla_General_07-12-2012_8_3'!L1775,"AAAAAHrXZdo=")</f>
        <v>#VALUE!</v>
      </c>
      <c r="HL118" t="e">
        <f>AND('Planilla_General_07-12-2012_8_3'!M1775,"AAAAAHrXZds=")</f>
        <v>#VALUE!</v>
      </c>
      <c r="HM118" t="e">
        <f>AND('Planilla_General_07-12-2012_8_3'!N1775,"AAAAAHrXZdw=")</f>
        <v>#VALUE!</v>
      </c>
      <c r="HN118" t="e">
        <f>AND('Planilla_General_07-12-2012_8_3'!O1775,"AAAAAHrXZd0=")</f>
        <v>#VALUE!</v>
      </c>
      <c r="HO118" t="e">
        <f>AND('Planilla_General_07-12-2012_8_3'!P1775,"AAAAAHrXZd4=")</f>
        <v>#VALUE!</v>
      </c>
      <c r="HP118">
        <f>IF('Planilla_General_07-12-2012_8_3'!1776:1776,"AAAAAHrXZd8=",0)</f>
        <v>0</v>
      </c>
      <c r="HQ118" t="e">
        <f>AND('Planilla_General_07-12-2012_8_3'!A1776,"AAAAAHrXZeA=")</f>
        <v>#VALUE!</v>
      </c>
      <c r="HR118" t="e">
        <f>AND('Planilla_General_07-12-2012_8_3'!B1776,"AAAAAHrXZeE=")</f>
        <v>#VALUE!</v>
      </c>
      <c r="HS118" t="e">
        <f>AND('Planilla_General_07-12-2012_8_3'!C1776,"AAAAAHrXZeI=")</f>
        <v>#VALUE!</v>
      </c>
      <c r="HT118" t="e">
        <f>AND('Planilla_General_07-12-2012_8_3'!D1776,"AAAAAHrXZeM=")</f>
        <v>#VALUE!</v>
      </c>
      <c r="HU118" t="e">
        <f>AND('Planilla_General_07-12-2012_8_3'!E1776,"AAAAAHrXZeQ=")</f>
        <v>#VALUE!</v>
      </c>
      <c r="HV118" t="e">
        <f>AND('Planilla_General_07-12-2012_8_3'!F1776,"AAAAAHrXZeU=")</f>
        <v>#VALUE!</v>
      </c>
      <c r="HW118" t="e">
        <f>AND('Planilla_General_07-12-2012_8_3'!G1776,"AAAAAHrXZeY=")</f>
        <v>#VALUE!</v>
      </c>
      <c r="HX118" t="e">
        <f>AND('Planilla_General_07-12-2012_8_3'!H1776,"AAAAAHrXZec=")</f>
        <v>#VALUE!</v>
      </c>
      <c r="HY118" t="e">
        <f>AND('Planilla_General_07-12-2012_8_3'!I1776,"AAAAAHrXZeg=")</f>
        <v>#VALUE!</v>
      </c>
      <c r="HZ118" t="e">
        <f>AND('Planilla_General_07-12-2012_8_3'!J1776,"AAAAAHrXZek=")</f>
        <v>#VALUE!</v>
      </c>
      <c r="IA118" t="e">
        <f>AND('Planilla_General_07-12-2012_8_3'!K1776,"AAAAAHrXZeo=")</f>
        <v>#VALUE!</v>
      </c>
      <c r="IB118" t="e">
        <f>AND('Planilla_General_07-12-2012_8_3'!L1776,"AAAAAHrXZes=")</f>
        <v>#VALUE!</v>
      </c>
      <c r="IC118" t="e">
        <f>AND('Planilla_General_07-12-2012_8_3'!M1776,"AAAAAHrXZew=")</f>
        <v>#VALUE!</v>
      </c>
      <c r="ID118" t="e">
        <f>AND('Planilla_General_07-12-2012_8_3'!N1776,"AAAAAHrXZe0=")</f>
        <v>#VALUE!</v>
      </c>
      <c r="IE118" t="e">
        <f>AND('Planilla_General_07-12-2012_8_3'!O1776,"AAAAAHrXZe4=")</f>
        <v>#VALUE!</v>
      </c>
      <c r="IF118" t="e">
        <f>AND('Planilla_General_07-12-2012_8_3'!P1776,"AAAAAHrXZe8=")</f>
        <v>#VALUE!</v>
      </c>
      <c r="IG118">
        <f>IF('Planilla_General_07-12-2012_8_3'!1777:1777,"AAAAAHrXZfA=",0)</f>
        <v>0</v>
      </c>
      <c r="IH118" t="e">
        <f>AND('Planilla_General_07-12-2012_8_3'!A1777,"AAAAAHrXZfE=")</f>
        <v>#VALUE!</v>
      </c>
      <c r="II118" t="e">
        <f>AND('Planilla_General_07-12-2012_8_3'!B1777,"AAAAAHrXZfI=")</f>
        <v>#VALUE!</v>
      </c>
      <c r="IJ118" t="e">
        <f>AND('Planilla_General_07-12-2012_8_3'!C1777,"AAAAAHrXZfM=")</f>
        <v>#VALUE!</v>
      </c>
      <c r="IK118" t="e">
        <f>AND('Planilla_General_07-12-2012_8_3'!D1777,"AAAAAHrXZfQ=")</f>
        <v>#VALUE!</v>
      </c>
      <c r="IL118" t="e">
        <f>AND('Planilla_General_07-12-2012_8_3'!E1777,"AAAAAHrXZfU=")</f>
        <v>#VALUE!</v>
      </c>
      <c r="IM118" t="e">
        <f>AND('Planilla_General_07-12-2012_8_3'!F1777,"AAAAAHrXZfY=")</f>
        <v>#VALUE!</v>
      </c>
      <c r="IN118" t="e">
        <f>AND('Planilla_General_07-12-2012_8_3'!G1777,"AAAAAHrXZfc=")</f>
        <v>#VALUE!</v>
      </c>
      <c r="IO118" t="e">
        <f>AND('Planilla_General_07-12-2012_8_3'!H1777,"AAAAAHrXZfg=")</f>
        <v>#VALUE!</v>
      </c>
      <c r="IP118" t="e">
        <f>AND('Planilla_General_07-12-2012_8_3'!I1777,"AAAAAHrXZfk=")</f>
        <v>#VALUE!</v>
      </c>
      <c r="IQ118" t="e">
        <f>AND('Planilla_General_07-12-2012_8_3'!J1777,"AAAAAHrXZfo=")</f>
        <v>#VALUE!</v>
      </c>
      <c r="IR118" t="e">
        <f>AND('Planilla_General_07-12-2012_8_3'!K1777,"AAAAAHrXZfs=")</f>
        <v>#VALUE!</v>
      </c>
      <c r="IS118" t="e">
        <f>AND('Planilla_General_07-12-2012_8_3'!L1777,"AAAAAHrXZfw=")</f>
        <v>#VALUE!</v>
      </c>
      <c r="IT118" t="e">
        <f>AND('Planilla_General_07-12-2012_8_3'!M1777,"AAAAAHrXZf0=")</f>
        <v>#VALUE!</v>
      </c>
      <c r="IU118" t="e">
        <f>AND('Planilla_General_07-12-2012_8_3'!N1777,"AAAAAHrXZf4=")</f>
        <v>#VALUE!</v>
      </c>
      <c r="IV118" t="e">
        <f>AND('Planilla_General_07-12-2012_8_3'!O1777,"AAAAAHrXZf8=")</f>
        <v>#VALUE!</v>
      </c>
    </row>
    <row r="119" spans="1:256" x14ac:dyDescent="0.25">
      <c r="A119" t="e">
        <f>AND('Planilla_General_07-12-2012_8_3'!P1777,"AAAAAHb3rAA=")</f>
        <v>#VALUE!</v>
      </c>
      <c r="B119" t="e">
        <f>IF('Planilla_General_07-12-2012_8_3'!1778:1778,"AAAAAHb3rAE=",0)</f>
        <v>#VALUE!</v>
      </c>
      <c r="C119" t="e">
        <f>AND('Planilla_General_07-12-2012_8_3'!A1778,"AAAAAHb3rAI=")</f>
        <v>#VALUE!</v>
      </c>
      <c r="D119" t="e">
        <f>AND('Planilla_General_07-12-2012_8_3'!B1778,"AAAAAHb3rAM=")</f>
        <v>#VALUE!</v>
      </c>
      <c r="E119" t="e">
        <f>AND('Planilla_General_07-12-2012_8_3'!C1778,"AAAAAHb3rAQ=")</f>
        <v>#VALUE!</v>
      </c>
      <c r="F119" t="e">
        <f>AND('Planilla_General_07-12-2012_8_3'!D1778,"AAAAAHb3rAU=")</f>
        <v>#VALUE!</v>
      </c>
      <c r="G119" t="e">
        <f>AND('Planilla_General_07-12-2012_8_3'!E1778,"AAAAAHb3rAY=")</f>
        <v>#VALUE!</v>
      </c>
      <c r="H119" t="e">
        <f>AND('Planilla_General_07-12-2012_8_3'!F1778,"AAAAAHb3rAc=")</f>
        <v>#VALUE!</v>
      </c>
      <c r="I119" t="e">
        <f>AND('Planilla_General_07-12-2012_8_3'!G1778,"AAAAAHb3rAg=")</f>
        <v>#VALUE!</v>
      </c>
      <c r="J119" t="e">
        <f>AND('Planilla_General_07-12-2012_8_3'!H1778,"AAAAAHb3rAk=")</f>
        <v>#VALUE!</v>
      </c>
      <c r="K119" t="e">
        <f>AND('Planilla_General_07-12-2012_8_3'!I1778,"AAAAAHb3rAo=")</f>
        <v>#VALUE!</v>
      </c>
      <c r="L119" t="e">
        <f>AND('Planilla_General_07-12-2012_8_3'!J1778,"AAAAAHb3rAs=")</f>
        <v>#VALUE!</v>
      </c>
      <c r="M119" t="e">
        <f>AND('Planilla_General_07-12-2012_8_3'!K1778,"AAAAAHb3rAw=")</f>
        <v>#VALUE!</v>
      </c>
      <c r="N119" t="e">
        <f>AND('Planilla_General_07-12-2012_8_3'!L1778,"AAAAAHb3rA0=")</f>
        <v>#VALUE!</v>
      </c>
      <c r="O119" t="e">
        <f>AND('Planilla_General_07-12-2012_8_3'!M1778,"AAAAAHb3rA4=")</f>
        <v>#VALUE!</v>
      </c>
      <c r="P119" t="e">
        <f>AND('Planilla_General_07-12-2012_8_3'!N1778,"AAAAAHb3rA8=")</f>
        <v>#VALUE!</v>
      </c>
      <c r="Q119" t="e">
        <f>AND('Planilla_General_07-12-2012_8_3'!O1778,"AAAAAHb3rBA=")</f>
        <v>#VALUE!</v>
      </c>
      <c r="R119" t="e">
        <f>AND('Planilla_General_07-12-2012_8_3'!P1778,"AAAAAHb3rBE=")</f>
        <v>#VALUE!</v>
      </c>
      <c r="S119">
        <f>IF('Planilla_General_07-12-2012_8_3'!1779:1779,"AAAAAHb3rBI=",0)</f>
        <v>0</v>
      </c>
      <c r="T119" t="e">
        <f>AND('Planilla_General_07-12-2012_8_3'!A1779,"AAAAAHb3rBM=")</f>
        <v>#VALUE!</v>
      </c>
      <c r="U119" t="e">
        <f>AND('Planilla_General_07-12-2012_8_3'!B1779,"AAAAAHb3rBQ=")</f>
        <v>#VALUE!</v>
      </c>
      <c r="V119" t="e">
        <f>AND('Planilla_General_07-12-2012_8_3'!C1779,"AAAAAHb3rBU=")</f>
        <v>#VALUE!</v>
      </c>
      <c r="W119" t="e">
        <f>AND('Planilla_General_07-12-2012_8_3'!D1779,"AAAAAHb3rBY=")</f>
        <v>#VALUE!</v>
      </c>
      <c r="X119" t="e">
        <f>AND('Planilla_General_07-12-2012_8_3'!E1779,"AAAAAHb3rBc=")</f>
        <v>#VALUE!</v>
      </c>
      <c r="Y119" t="e">
        <f>AND('Planilla_General_07-12-2012_8_3'!F1779,"AAAAAHb3rBg=")</f>
        <v>#VALUE!</v>
      </c>
      <c r="Z119" t="e">
        <f>AND('Planilla_General_07-12-2012_8_3'!G1779,"AAAAAHb3rBk=")</f>
        <v>#VALUE!</v>
      </c>
      <c r="AA119" t="e">
        <f>AND('Planilla_General_07-12-2012_8_3'!H1779,"AAAAAHb3rBo=")</f>
        <v>#VALUE!</v>
      </c>
      <c r="AB119" t="e">
        <f>AND('Planilla_General_07-12-2012_8_3'!I1779,"AAAAAHb3rBs=")</f>
        <v>#VALUE!</v>
      </c>
      <c r="AC119" t="e">
        <f>AND('Planilla_General_07-12-2012_8_3'!J1779,"AAAAAHb3rBw=")</f>
        <v>#VALUE!</v>
      </c>
      <c r="AD119" t="e">
        <f>AND('Planilla_General_07-12-2012_8_3'!K1779,"AAAAAHb3rB0=")</f>
        <v>#VALUE!</v>
      </c>
      <c r="AE119" t="e">
        <f>AND('Planilla_General_07-12-2012_8_3'!L1779,"AAAAAHb3rB4=")</f>
        <v>#VALUE!</v>
      </c>
      <c r="AF119" t="e">
        <f>AND('Planilla_General_07-12-2012_8_3'!M1779,"AAAAAHb3rB8=")</f>
        <v>#VALUE!</v>
      </c>
      <c r="AG119" t="e">
        <f>AND('Planilla_General_07-12-2012_8_3'!N1779,"AAAAAHb3rCA=")</f>
        <v>#VALUE!</v>
      </c>
      <c r="AH119" t="e">
        <f>AND('Planilla_General_07-12-2012_8_3'!O1779,"AAAAAHb3rCE=")</f>
        <v>#VALUE!</v>
      </c>
      <c r="AI119" t="e">
        <f>AND('Planilla_General_07-12-2012_8_3'!P1779,"AAAAAHb3rCI=")</f>
        <v>#VALUE!</v>
      </c>
      <c r="AJ119">
        <f>IF('Planilla_General_07-12-2012_8_3'!1780:1780,"AAAAAHb3rCM=",0)</f>
        <v>0</v>
      </c>
      <c r="AK119" t="e">
        <f>AND('Planilla_General_07-12-2012_8_3'!A1780,"AAAAAHb3rCQ=")</f>
        <v>#VALUE!</v>
      </c>
      <c r="AL119" t="e">
        <f>AND('Planilla_General_07-12-2012_8_3'!B1780,"AAAAAHb3rCU=")</f>
        <v>#VALUE!</v>
      </c>
      <c r="AM119" t="e">
        <f>AND('Planilla_General_07-12-2012_8_3'!C1780,"AAAAAHb3rCY=")</f>
        <v>#VALUE!</v>
      </c>
      <c r="AN119" t="e">
        <f>AND('Planilla_General_07-12-2012_8_3'!D1780,"AAAAAHb3rCc=")</f>
        <v>#VALUE!</v>
      </c>
      <c r="AO119" t="e">
        <f>AND('Planilla_General_07-12-2012_8_3'!E1780,"AAAAAHb3rCg=")</f>
        <v>#VALUE!</v>
      </c>
      <c r="AP119" t="e">
        <f>AND('Planilla_General_07-12-2012_8_3'!F1780,"AAAAAHb3rCk=")</f>
        <v>#VALUE!</v>
      </c>
      <c r="AQ119" t="e">
        <f>AND('Planilla_General_07-12-2012_8_3'!G1780,"AAAAAHb3rCo=")</f>
        <v>#VALUE!</v>
      </c>
      <c r="AR119" t="e">
        <f>AND('Planilla_General_07-12-2012_8_3'!H1780,"AAAAAHb3rCs=")</f>
        <v>#VALUE!</v>
      </c>
      <c r="AS119" t="e">
        <f>AND('Planilla_General_07-12-2012_8_3'!I1780,"AAAAAHb3rCw=")</f>
        <v>#VALUE!</v>
      </c>
      <c r="AT119" t="e">
        <f>AND('Planilla_General_07-12-2012_8_3'!J1780,"AAAAAHb3rC0=")</f>
        <v>#VALUE!</v>
      </c>
      <c r="AU119" t="e">
        <f>AND('Planilla_General_07-12-2012_8_3'!K1780,"AAAAAHb3rC4=")</f>
        <v>#VALUE!</v>
      </c>
      <c r="AV119" t="e">
        <f>AND('Planilla_General_07-12-2012_8_3'!L1780,"AAAAAHb3rC8=")</f>
        <v>#VALUE!</v>
      </c>
      <c r="AW119" t="e">
        <f>AND('Planilla_General_07-12-2012_8_3'!M1780,"AAAAAHb3rDA=")</f>
        <v>#VALUE!</v>
      </c>
      <c r="AX119" t="e">
        <f>AND('Planilla_General_07-12-2012_8_3'!N1780,"AAAAAHb3rDE=")</f>
        <v>#VALUE!</v>
      </c>
      <c r="AY119" t="e">
        <f>AND('Planilla_General_07-12-2012_8_3'!O1780,"AAAAAHb3rDI=")</f>
        <v>#VALUE!</v>
      </c>
      <c r="AZ119" t="e">
        <f>AND('Planilla_General_07-12-2012_8_3'!P1780,"AAAAAHb3rDM=")</f>
        <v>#VALUE!</v>
      </c>
      <c r="BA119">
        <f>IF('Planilla_General_07-12-2012_8_3'!1781:1781,"AAAAAHb3rDQ=",0)</f>
        <v>0</v>
      </c>
      <c r="BB119" t="e">
        <f>AND('Planilla_General_07-12-2012_8_3'!A1781,"AAAAAHb3rDU=")</f>
        <v>#VALUE!</v>
      </c>
      <c r="BC119" t="e">
        <f>AND('Planilla_General_07-12-2012_8_3'!B1781,"AAAAAHb3rDY=")</f>
        <v>#VALUE!</v>
      </c>
      <c r="BD119" t="e">
        <f>AND('Planilla_General_07-12-2012_8_3'!C1781,"AAAAAHb3rDc=")</f>
        <v>#VALUE!</v>
      </c>
      <c r="BE119" t="e">
        <f>AND('Planilla_General_07-12-2012_8_3'!D1781,"AAAAAHb3rDg=")</f>
        <v>#VALUE!</v>
      </c>
      <c r="BF119" t="e">
        <f>AND('Planilla_General_07-12-2012_8_3'!E1781,"AAAAAHb3rDk=")</f>
        <v>#VALUE!</v>
      </c>
      <c r="BG119" t="e">
        <f>AND('Planilla_General_07-12-2012_8_3'!F1781,"AAAAAHb3rDo=")</f>
        <v>#VALUE!</v>
      </c>
      <c r="BH119" t="e">
        <f>AND('Planilla_General_07-12-2012_8_3'!G1781,"AAAAAHb3rDs=")</f>
        <v>#VALUE!</v>
      </c>
      <c r="BI119" t="e">
        <f>AND('Planilla_General_07-12-2012_8_3'!H1781,"AAAAAHb3rDw=")</f>
        <v>#VALUE!</v>
      </c>
      <c r="BJ119" t="e">
        <f>AND('Planilla_General_07-12-2012_8_3'!I1781,"AAAAAHb3rD0=")</f>
        <v>#VALUE!</v>
      </c>
      <c r="BK119" t="e">
        <f>AND('Planilla_General_07-12-2012_8_3'!J1781,"AAAAAHb3rD4=")</f>
        <v>#VALUE!</v>
      </c>
      <c r="BL119" t="e">
        <f>AND('Planilla_General_07-12-2012_8_3'!K1781,"AAAAAHb3rD8=")</f>
        <v>#VALUE!</v>
      </c>
      <c r="BM119" t="e">
        <f>AND('Planilla_General_07-12-2012_8_3'!L1781,"AAAAAHb3rEA=")</f>
        <v>#VALUE!</v>
      </c>
      <c r="BN119" t="e">
        <f>AND('Planilla_General_07-12-2012_8_3'!M1781,"AAAAAHb3rEE=")</f>
        <v>#VALUE!</v>
      </c>
      <c r="BO119" t="e">
        <f>AND('Planilla_General_07-12-2012_8_3'!N1781,"AAAAAHb3rEI=")</f>
        <v>#VALUE!</v>
      </c>
      <c r="BP119" t="e">
        <f>AND('Planilla_General_07-12-2012_8_3'!O1781,"AAAAAHb3rEM=")</f>
        <v>#VALUE!</v>
      </c>
      <c r="BQ119" t="e">
        <f>AND('Planilla_General_07-12-2012_8_3'!P1781,"AAAAAHb3rEQ=")</f>
        <v>#VALUE!</v>
      </c>
      <c r="BR119">
        <f>IF('Planilla_General_07-12-2012_8_3'!1782:1782,"AAAAAHb3rEU=",0)</f>
        <v>0</v>
      </c>
      <c r="BS119" t="e">
        <f>AND('Planilla_General_07-12-2012_8_3'!A1782,"AAAAAHb3rEY=")</f>
        <v>#VALUE!</v>
      </c>
      <c r="BT119" t="e">
        <f>AND('Planilla_General_07-12-2012_8_3'!B1782,"AAAAAHb3rEc=")</f>
        <v>#VALUE!</v>
      </c>
      <c r="BU119" t="e">
        <f>AND('Planilla_General_07-12-2012_8_3'!C1782,"AAAAAHb3rEg=")</f>
        <v>#VALUE!</v>
      </c>
      <c r="BV119" t="e">
        <f>AND('Planilla_General_07-12-2012_8_3'!D1782,"AAAAAHb3rEk=")</f>
        <v>#VALUE!</v>
      </c>
      <c r="BW119" t="e">
        <f>AND('Planilla_General_07-12-2012_8_3'!E1782,"AAAAAHb3rEo=")</f>
        <v>#VALUE!</v>
      </c>
      <c r="BX119" t="e">
        <f>AND('Planilla_General_07-12-2012_8_3'!F1782,"AAAAAHb3rEs=")</f>
        <v>#VALUE!</v>
      </c>
      <c r="BY119" t="e">
        <f>AND('Planilla_General_07-12-2012_8_3'!G1782,"AAAAAHb3rEw=")</f>
        <v>#VALUE!</v>
      </c>
      <c r="BZ119" t="e">
        <f>AND('Planilla_General_07-12-2012_8_3'!H1782,"AAAAAHb3rE0=")</f>
        <v>#VALUE!</v>
      </c>
      <c r="CA119" t="e">
        <f>AND('Planilla_General_07-12-2012_8_3'!I1782,"AAAAAHb3rE4=")</f>
        <v>#VALUE!</v>
      </c>
      <c r="CB119" t="e">
        <f>AND('Planilla_General_07-12-2012_8_3'!J1782,"AAAAAHb3rE8=")</f>
        <v>#VALUE!</v>
      </c>
      <c r="CC119" t="e">
        <f>AND('Planilla_General_07-12-2012_8_3'!K1782,"AAAAAHb3rFA=")</f>
        <v>#VALUE!</v>
      </c>
      <c r="CD119" t="e">
        <f>AND('Planilla_General_07-12-2012_8_3'!L1782,"AAAAAHb3rFE=")</f>
        <v>#VALUE!</v>
      </c>
      <c r="CE119" t="e">
        <f>AND('Planilla_General_07-12-2012_8_3'!M1782,"AAAAAHb3rFI=")</f>
        <v>#VALUE!</v>
      </c>
      <c r="CF119" t="e">
        <f>AND('Planilla_General_07-12-2012_8_3'!N1782,"AAAAAHb3rFM=")</f>
        <v>#VALUE!</v>
      </c>
      <c r="CG119" t="e">
        <f>AND('Planilla_General_07-12-2012_8_3'!O1782,"AAAAAHb3rFQ=")</f>
        <v>#VALUE!</v>
      </c>
      <c r="CH119" t="e">
        <f>AND('Planilla_General_07-12-2012_8_3'!P1782,"AAAAAHb3rFU=")</f>
        <v>#VALUE!</v>
      </c>
      <c r="CI119">
        <f>IF('Planilla_General_07-12-2012_8_3'!1783:1783,"AAAAAHb3rFY=",0)</f>
        <v>0</v>
      </c>
      <c r="CJ119" t="e">
        <f>AND('Planilla_General_07-12-2012_8_3'!A1783,"AAAAAHb3rFc=")</f>
        <v>#VALUE!</v>
      </c>
      <c r="CK119" t="e">
        <f>AND('Planilla_General_07-12-2012_8_3'!B1783,"AAAAAHb3rFg=")</f>
        <v>#VALUE!</v>
      </c>
      <c r="CL119" t="e">
        <f>AND('Planilla_General_07-12-2012_8_3'!C1783,"AAAAAHb3rFk=")</f>
        <v>#VALUE!</v>
      </c>
      <c r="CM119" t="e">
        <f>AND('Planilla_General_07-12-2012_8_3'!D1783,"AAAAAHb3rFo=")</f>
        <v>#VALUE!</v>
      </c>
      <c r="CN119" t="e">
        <f>AND('Planilla_General_07-12-2012_8_3'!E1783,"AAAAAHb3rFs=")</f>
        <v>#VALUE!</v>
      </c>
      <c r="CO119" t="e">
        <f>AND('Planilla_General_07-12-2012_8_3'!F1783,"AAAAAHb3rFw=")</f>
        <v>#VALUE!</v>
      </c>
      <c r="CP119" t="e">
        <f>AND('Planilla_General_07-12-2012_8_3'!G1783,"AAAAAHb3rF0=")</f>
        <v>#VALUE!</v>
      </c>
      <c r="CQ119" t="e">
        <f>AND('Planilla_General_07-12-2012_8_3'!H1783,"AAAAAHb3rF4=")</f>
        <v>#VALUE!</v>
      </c>
      <c r="CR119" t="e">
        <f>AND('Planilla_General_07-12-2012_8_3'!I1783,"AAAAAHb3rF8=")</f>
        <v>#VALUE!</v>
      </c>
      <c r="CS119" t="e">
        <f>AND('Planilla_General_07-12-2012_8_3'!J1783,"AAAAAHb3rGA=")</f>
        <v>#VALUE!</v>
      </c>
      <c r="CT119" t="e">
        <f>AND('Planilla_General_07-12-2012_8_3'!K1783,"AAAAAHb3rGE=")</f>
        <v>#VALUE!</v>
      </c>
      <c r="CU119" t="e">
        <f>AND('Planilla_General_07-12-2012_8_3'!L1783,"AAAAAHb3rGI=")</f>
        <v>#VALUE!</v>
      </c>
      <c r="CV119" t="e">
        <f>AND('Planilla_General_07-12-2012_8_3'!M1783,"AAAAAHb3rGM=")</f>
        <v>#VALUE!</v>
      </c>
      <c r="CW119" t="e">
        <f>AND('Planilla_General_07-12-2012_8_3'!N1783,"AAAAAHb3rGQ=")</f>
        <v>#VALUE!</v>
      </c>
      <c r="CX119" t="e">
        <f>AND('Planilla_General_07-12-2012_8_3'!O1783,"AAAAAHb3rGU=")</f>
        <v>#VALUE!</v>
      </c>
      <c r="CY119" t="e">
        <f>AND('Planilla_General_07-12-2012_8_3'!P1783,"AAAAAHb3rGY=")</f>
        <v>#VALUE!</v>
      </c>
      <c r="CZ119">
        <f>IF('Planilla_General_07-12-2012_8_3'!1784:1784,"AAAAAHb3rGc=",0)</f>
        <v>0</v>
      </c>
      <c r="DA119" t="e">
        <f>AND('Planilla_General_07-12-2012_8_3'!A1784,"AAAAAHb3rGg=")</f>
        <v>#VALUE!</v>
      </c>
      <c r="DB119" t="e">
        <f>AND('Planilla_General_07-12-2012_8_3'!B1784,"AAAAAHb3rGk=")</f>
        <v>#VALUE!</v>
      </c>
      <c r="DC119" t="e">
        <f>AND('Planilla_General_07-12-2012_8_3'!C1784,"AAAAAHb3rGo=")</f>
        <v>#VALUE!</v>
      </c>
      <c r="DD119" t="e">
        <f>AND('Planilla_General_07-12-2012_8_3'!D1784,"AAAAAHb3rGs=")</f>
        <v>#VALUE!</v>
      </c>
      <c r="DE119" t="e">
        <f>AND('Planilla_General_07-12-2012_8_3'!E1784,"AAAAAHb3rGw=")</f>
        <v>#VALUE!</v>
      </c>
      <c r="DF119" t="e">
        <f>AND('Planilla_General_07-12-2012_8_3'!F1784,"AAAAAHb3rG0=")</f>
        <v>#VALUE!</v>
      </c>
      <c r="DG119" t="e">
        <f>AND('Planilla_General_07-12-2012_8_3'!G1784,"AAAAAHb3rG4=")</f>
        <v>#VALUE!</v>
      </c>
      <c r="DH119" t="e">
        <f>AND('Planilla_General_07-12-2012_8_3'!H1784,"AAAAAHb3rG8=")</f>
        <v>#VALUE!</v>
      </c>
      <c r="DI119" t="e">
        <f>AND('Planilla_General_07-12-2012_8_3'!I1784,"AAAAAHb3rHA=")</f>
        <v>#VALUE!</v>
      </c>
      <c r="DJ119" t="e">
        <f>AND('Planilla_General_07-12-2012_8_3'!J1784,"AAAAAHb3rHE=")</f>
        <v>#VALUE!</v>
      </c>
      <c r="DK119" t="e">
        <f>AND('Planilla_General_07-12-2012_8_3'!K1784,"AAAAAHb3rHI=")</f>
        <v>#VALUE!</v>
      </c>
      <c r="DL119" t="e">
        <f>AND('Planilla_General_07-12-2012_8_3'!L1784,"AAAAAHb3rHM=")</f>
        <v>#VALUE!</v>
      </c>
      <c r="DM119" t="e">
        <f>AND('Planilla_General_07-12-2012_8_3'!M1784,"AAAAAHb3rHQ=")</f>
        <v>#VALUE!</v>
      </c>
      <c r="DN119" t="e">
        <f>AND('Planilla_General_07-12-2012_8_3'!N1784,"AAAAAHb3rHU=")</f>
        <v>#VALUE!</v>
      </c>
      <c r="DO119" t="e">
        <f>AND('Planilla_General_07-12-2012_8_3'!O1784,"AAAAAHb3rHY=")</f>
        <v>#VALUE!</v>
      </c>
      <c r="DP119" t="e">
        <f>AND('Planilla_General_07-12-2012_8_3'!P1784,"AAAAAHb3rHc=")</f>
        <v>#VALUE!</v>
      </c>
      <c r="DQ119">
        <f>IF('Planilla_General_07-12-2012_8_3'!1785:1785,"AAAAAHb3rHg=",0)</f>
        <v>0</v>
      </c>
      <c r="DR119" t="e">
        <f>AND('Planilla_General_07-12-2012_8_3'!A1785,"AAAAAHb3rHk=")</f>
        <v>#VALUE!</v>
      </c>
      <c r="DS119" t="e">
        <f>AND('Planilla_General_07-12-2012_8_3'!B1785,"AAAAAHb3rHo=")</f>
        <v>#VALUE!</v>
      </c>
      <c r="DT119" t="e">
        <f>AND('Planilla_General_07-12-2012_8_3'!C1785,"AAAAAHb3rHs=")</f>
        <v>#VALUE!</v>
      </c>
      <c r="DU119" t="e">
        <f>AND('Planilla_General_07-12-2012_8_3'!D1785,"AAAAAHb3rHw=")</f>
        <v>#VALUE!</v>
      </c>
      <c r="DV119" t="e">
        <f>AND('Planilla_General_07-12-2012_8_3'!E1785,"AAAAAHb3rH0=")</f>
        <v>#VALUE!</v>
      </c>
      <c r="DW119" t="e">
        <f>AND('Planilla_General_07-12-2012_8_3'!F1785,"AAAAAHb3rH4=")</f>
        <v>#VALUE!</v>
      </c>
      <c r="DX119" t="e">
        <f>AND('Planilla_General_07-12-2012_8_3'!G1785,"AAAAAHb3rH8=")</f>
        <v>#VALUE!</v>
      </c>
      <c r="DY119" t="e">
        <f>AND('Planilla_General_07-12-2012_8_3'!H1785,"AAAAAHb3rIA=")</f>
        <v>#VALUE!</v>
      </c>
      <c r="DZ119" t="e">
        <f>AND('Planilla_General_07-12-2012_8_3'!I1785,"AAAAAHb3rIE=")</f>
        <v>#VALUE!</v>
      </c>
      <c r="EA119" t="e">
        <f>AND('Planilla_General_07-12-2012_8_3'!J1785,"AAAAAHb3rII=")</f>
        <v>#VALUE!</v>
      </c>
      <c r="EB119" t="e">
        <f>AND('Planilla_General_07-12-2012_8_3'!K1785,"AAAAAHb3rIM=")</f>
        <v>#VALUE!</v>
      </c>
      <c r="EC119" t="e">
        <f>AND('Planilla_General_07-12-2012_8_3'!L1785,"AAAAAHb3rIQ=")</f>
        <v>#VALUE!</v>
      </c>
      <c r="ED119" t="e">
        <f>AND('Planilla_General_07-12-2012_8_3'!M1785,"AAAAAHb3rIU=")</f>
        <v>#VALUE!</v>
      </c>
      <c r="EE119" t="e">
        <f>AND('Planilla_General_07-12-2012_8_3'!N1785,"AAAAAHb3rIY=")</f>
        <v>#VALUE!</v>
      </c>
      <c r="EF119" t="e">
        <f>AND('Planilla_General_07-12-2012_8_3'!O1785,"AAAAAHb3rIc=")</f>
        <v>#VALUE!</v>
      </c>
      <c r="EG119" t="e">
        <f>AND('Planilla_General_07-12-2012_8_3'!P1785,"AAAAAHb3rIg=")</f>
        <v>#VALUE!</v>
      </c>
      <c r="EH119">
        <f>IF('Planilla_General_07-12-2012_8_3'!1786:1786,"AAAAAHb3rIk=",0)</f>
        <v>0</v>
      </c>
      <c r="EI119" t="e">
        <f>AND('Planilla_General_07-12-2012_8_3'!A1786,"AAAAAHb3rIo=")</f>
        <v>#VALUE!</v>
      </c>
      <c r="EJ119" t="e">
        <f>AND('Planilla_General_07-12-2012_8_3'!B1786,"AAAAAHb3rIs=")</f>
        <v>#VALUE!</v>
      </c>
      <c r="EK119" t="e">
        <f>AND('Planilla_General_07-12-2012_8_3'!C1786,"AAAAAHb3rIw=")</f>
        <v>#VALUE!</v>
      </c>
      <c r="EL119" t="e">
        <f>AND('Planilla_General_07-12-2012_8_3'!D1786,"AAAAAHb3rI0=")</f>
        <v>#VALUE!</v>
      </c>
      <c r="EM119" t="e">
        <f>AND('Planilla_General_07-12-2012_8_3'!E1786,"AAAAAHb3rI4=")</f>
        <v>#VALUE!</v>
      </c>
      <c r="EN119" t="e">
        <f>AND('Planilla_General_07-12-2012_8_3'!F1786,"AAAAAHb3rI8=")</f>
        <v>#VALUE!</v>
      </c>
      <c r="EO119" t="e">
        <f>AND('Planilla_General_07-12-2012_8_3'!G1786,"AAAAAHb3rJA=")</f>
        <v>#VALUE!</v>
      </c>
      <c r="EP119" t="e">
        <f>AND('Planilla_General_07-12-2012_8_3'!H1786,"AAAAAHb3rJE=")</f>
        <v>#VALUE!</v>
      </c>
      <c r="EQ119" t="e">
        <f>AND('Planilla_General_07-12-2012_8_3'!I1786,"AAAAAHb3rJI=")</f>
        <v>#VALUE!</v>
      </c>
      <c r="ER119" t="e">
        <f>AND('Planilla_General_07-12-2012_8_3'!J1786,"AAAAAHb3rJM=")</f>
        <v>#VALUE!</v>
      </c>
      <c r="ES119" t="e">
        <f>AND('Planilla_General_07-12-2012_8_3'!K1786,"AAAAAHb3rJQ=")</f>
        <v>#VALUE!</v>
      </c>
      <c r="ET119" t="e">
        <f>AND('Planilla_General_07-12-2012_8_3'!L1786,"AAAAAHb3rJU=")</f>
        <v>#VALUE!</v>
      </c>
      <c r="EU119" t="e">
        <f>AND('Planilla_General_07-12-2012_8_3'!M1786,"AAAAAHb3rJY=")</f>
        <v>#VALUE!</v>
      </c>
      <c r="EV119" t="e">
        <f>AND('Planilla_General_07-12-2012_8_3'!N1786,"AAAAAHb3rJc=")</f>
        <v>#VALUE!</v>
      </c>
      <c r="EW119" t="e">
        <f>AND('Planilla_General_07-12-2012_8_3'!O1786,"AAAAAHb3rJg=")</f>
        <v>#VALUE!</v>
      </c>
      <c r="EX119" t="e">
        <f>AND('Planilla_General_07-12-2012_8_3'!P1786,"AAAAAHb3rJk=")</f>
        <v>#VALUE!</v>
      </c>
      <c r="EY119">
        <f>IF('Planilla_General_07-12-2012_8_3'!1787:1787,"AAAAAHb3rJo=",0)</f>
        <v>0</v>
      </c>
      <c r="EZ119" t="e">
        <f>AND('Planilla_General_07-12-2012_8_3'!A1787,"AAAAAHb3rJs=")</f>
        <v>#VALUE!</v>
      </c>
      <c r="FA119" t="e">
        <f>AND('Planilla_General_07-12-2012_8_3'!B1787,"AAAAAHb3rJw=")</f>
        <v>#VALUE!</v>
      </c>
      <c r="FB119" t="e">
        <f>AND('Planilla_General_07-12-2012_8_3'!C1787,"AAAAAHb3rJ0=")</f>
        <v>#VALUE!</v>
      </c>
      <c r="FC119" t="e">
        <f>AND('Planilla_General_07-12-2012_8_3'!D1787,"AAAAAHb3rJ4=")</f>
        <v>#VALUE!</v>
      </c>
      <c r="FD119" t="e">
        <f>AND('Planilla_General_07-12-2012_8_3'!E1787,"AAAAAHb3rJ8=")</f>
        <v>#VALUE!</v>
      </c>
      <c r="FE119" t="e">
        <f>AND('Planilla_General_07-12-2012_8_3'!F1787,"AAAAAHb3rKA=")</f>
        <v>#VALUE!</v>
      </c>
      <c r="FF119" t="e">
        <f>AND('Planilla_General_07-12-2012_8_3'!G1787,"AAAAAHb3rKE=")</f>
        <v>#VALUE!</v>
      </c>
      <c r="FG119" t="e">
        <f>AND('Planilla_General_07-12-2012_8_3'!H1787,"AAAAAHb3rKI=")</f>
        <v>#VALUE!</v>
      </c>
      <c r="FH119" t="e">
        <f>AND('Planilla_General_07-12-2012_8_3'!I1787,"AAAAAHb3rKM=")</f>
        <v>#VALUE!</v>
      </c>
      <c r="FI119" t="e">
        <f>AND('Planilla_General_07-12-2012_8_3'!J1787,"AAAAAHb3rKQ=")</f>
        <v>#VALUE!</v>
      </c>
      <c r="FJ119" t="e">
        <f>AND('Planilla_General_07-12-2012_8_3'!K1787,"AAAAAHb3rKU=")</f>
        <v>#VALUE!</v>
      </c>
      <c r="FK119" t="e">
        <f>AND('Planilla_General_07-12-2012_8_3'!L1787,"AAAAAHb3rKY=")</f>
        <v>#VALUE!</v>
      </c>
      <c r="FL119" t="e">
        <f>AND('Planilla_General_07-12-2012_8_3'!M1787,"AAAAAHb3rKc=")</f>
        <v>#VALUE!</v>
      </c>
      <c r="FM119" t="e">
        <f>AND('Planilla_General_07-12-2012_8_3'!N1787,"AAAAAHb3rKg=")</f>
        <v>#VALUE!</v>
      </c>
      <c r="FN119" t="e">
        <f>AND('Planilla_General_07-12-2012_8_3'!O1787,"AAAAAHb3rKk=")</f>
        <v>#VALUE!</v>
      </c>
      <c r="FO119" t="e">
        <f>AND('Planilla_General_07-12-2012_8_3'!P1787,"AAAAAHb3rKo=")</f>
        <v>#VALUE!</v>
      </c>
      <c r="FP119">
        <f>IF('Planilla_General_07-12-2012_8_3'!1788:1788,"AAAAAHb3rKs=",0)</f>
        <v>0</v>
      </c>
      <c r="FQ119" t="e">
        <f>AND('Planilla_General_07-12-2012_8_3'!A1788,"AAAAAHb3rKw=")</f>
        <v>#VALUE!</v>
      </c>
      <c r="FR119" t="e">
        <f>AND('Planilla_General_07-12-2012_8_3'!B1788,"AAAAAHb3rK0=")</f>
        <v>#VALUE!</v>
      </c>
      <c r="FS119" t="e">
        <f>AND('Planilla_General_07-12-2012_8_3'!C1788,"AAAAAHb3rK4=")</f>
        <v>#VALUE!</v>
      </c>
      <c r="FT119" t="e">
        <f>AND('Planilla_General_07-12-2012_8_3'!D1788,"AAAAAHb3rK8=")</f>
        <v>#VALUE!</v>
      </c>
      <c r="FU119" t="e">
        <f>AND('Planilla_General_07-12-2012_8_3'!E1788,"AAAAAHb3rLA=")</f>
        <v>#VALUE!</v>
      </c>
      <c r="FV119" t="e">
        <f>AND('Planilla_General_07-12-2012_8_3'!F1788,"AAAAAHb3rLE=")</f>
        <v>#VALUE!</v>
      </c>
      <c r="FW119" t="e">
        <f>AND('Planilla_General_07-12-2012_8_3'!G1788,"AAAAAHb3rLI=")</f>
        <v>#VALUE!</v>
      </c>
      <c r="FX119" t="e">
        <f>AND('Planilla_General_07-12-2012_8_3'!H1788,"AAAAAHb3rLM=")</f>
        <v>#VALUE!</v>
      </c>
      <c r="FY119" t="e">
        <f>AND('Planilla_General_07-12-2012_8_3'!I1788,"AAAAAHb3rLQ=")</f>
        <v>#VALUE!</v>
      </c>
      <c r="FZ119" t="e">
        <f>AND('Planilla_General_07-12-2012_8_3'!J1788,"AAAAAHb3rLU=")</f>
        <v>#VALUE!</v>
      </c>
      <c r="GA119" t="e">
        <f>AND('Planilla_General_07-12-2012_8_3'!K1788,"AAAAAHb3rLY=")</f>
        <v>#VALUE!</v>
      </c>
      <c r="GB119" t="e">
        <f>AND('Planilla_General_07-12-2012_8_3'!L1788,"AAAAAHb3rLc=")</f>
        <v>#VALUE!</v>
      </c>
      <c r="GC119" t="e">
        <f>AND('Planilla_General_07-12-2012_8_3'!M1788,"AAAAAHb3rLg=")</f>
        <v>#VALUE!</v>
      </c>
      <c r="GD119" t="e">
        <f>AND('Planilla_General_07-12-2012_8_3'!N1788,"AAAAAHb3rLk=")</f>
        <v>#VALUE!</v>
      </c>
      <c r="GE119" t="e">
        <f>AND('Planilla_General_07-12-2012_8_3'!O1788,"AAAAAHb3rLo=")</f>
        <v>#VALUE!</v>
      </c>
      <c r="GF119" t="e">
        <f>AND('Planilla_General_07-12-2012_8_3'!P1788,"AAAAAHb3rLs=")</f>
        <v>#VALUE!</v>
      </c>
      <c r="GG119">
        <f>IF('Planilla_General_07-12-2012_8_3'!1789:1789,"AAAAAHb3rLw=",0)</f>
        <v>0</v>
      </c>
      <c r="GH119" t="e">
        <f>AND('Planilla_General_07-12-2012_8_3'!A1789,"AAAAAHb3rL0=")</f>
        <v>#VALUE!</v>
      </c>
      <c r="GI119" t="e">
        <f>AND('Planilla_General_07-12-2012_8_3'!B1789,"AAAAAHb3rL4=")</f>
        <v>#VALUE!</v>
      </c>
      <c r="GJ119" t="e">
        <f>AND('Planilla_General_07-12-2012_8_3'!C1789,"AAAAAHb3rL8=")</f>
        <v>#VALUE!</v>
      </c>
      <c r="GK119" t="e">
        <f>AND('Planilla_General_07-12-2012_8_3'!D1789,"AAAAAHb3rMA=")</f>
        <v>#VALUE!</v>
      </c>
      <c r="GL119" t="e">
        <f>AND('Planilla_General_07-12-2012_8_3'!E1789,"AAAAAHb3rME=")</f>
        <v>#VALUE!</v>
      </c>
      <c r="GM119" t="e">
        <f>AND('Planilla_General_07-12-2012_8_3'!F1789,"AAAAAHb3rMI=")</f>
        <v>#VALUE!</v>
      </c>
      <c r="GN119" t="e">
        <f>AND('Planilla_General_07-12-2012_8_3'!G1789,"AAAAAHb3rMM=")</f>
        <v>#VALUE!</v>
      </c>
      <c r="GO119" t="e">
        <f>AND('Planilla_General_07-12-2012_8_3'!H1789,"AAAAAHb3rMQ=")</f>
        <v>#VALUE!</v>
      </c>
      <c r="GP119" t="e">
        <f>AND('Planilla_General_07-12-2012_8_3'!I1789,"AAAAAHb3rMU=")</f>
        <v>#VALUE!</v>
      </c>
      <c r="GQ119" t="e">
        <f>AND('Planilla_General_07-12-2012_8_3'!J1789,"AAAAAHb3rMY=")</f>
        <v>#VALUE!</v>
      </c>
      <c r="GR119" t="e">
        <f>AND('Planilla_General_07-12-2012_8_3'!K1789,"AAAAAHb3rMc=")</f>
        <v>#VALUE!</v>
      </c>
      <c r="GS119" t="e">
        <f>AND('Planilla_General_07-12-2012_8_3'!L1789,"AAAAAHb3rMg=")</f>
        <v>#VALUE!</v>
      </c>
      <c r="GT119" t="e">
        <f>AND('Planilla_General_07-12-2012_8_3'!M1789,"AAAAAHb3rMk=")</f>
        <v>#VALUE!</v>
      </c>
      <c r="GU119" t="e">
        <f>AND('Planilla_General_07-12-2012_8_3'!N1789,"AAAAAHb3rMo=")</f>
        <v>#VALUE!</v>
      </c>
      <c r="GV119" t="e">
        <f>AND('Planilla_General_07-12-2012_8_3'!O1789,"AAAAAHb3rMs=")</f>
        <v>#VALUE!</v>
      </c>
      <c r="GW119" t="e">
        <f>AND('Planilla_General_07-12-2012_8_3'!P1789,"AAAAAHb3rMw=")</f>
        <v>#VALUE!</v>
      </c>
      <c r="GX119">
        <f>IF('Planilla_General_07-12-2012_8_3'!1790:1790,"AAAAAHb3rM0=",0)</f>
        <v>0</v>
      </c>
      <c r="GY119" t="e">
        <f>AND('Planilla_General_07-12-2012_8_3'!A1790,"AAAAAHb3rM4=")</f>
        <v>#VALUE!</v>
      </c>
      <c r="GZ119" t="e">
        <f>AND('Planilla_General_07-12-2012_8_3'!B1790,"AAAAAHb3rM8=")</f>
        <v>#VALUE!</v>
      </c>
      <c r="HA119" t="e">
        <f>AND('Planilla_General_07-12-2012_8_3'!C1790,"AAAAAHb3rNA=")</f>
        <v>#VALUE!</v>
      </c>
      <c r="HB119" t="e">
        <f>AND('Planilla_General_07-12-2012_8_3'!D1790,"AAAAAHb3rNE=")</f>
        <v>#VALUE!</v>
      </c>
      <c r="HC119" t="e">
        <f>AND('Planilla_General_07-12-2012_8_3'!E1790,"AAAAAHb3rNI=")</f>
        <v>#VALUE!</v>
      </c>
      <c r="HD119" t="e">
        <f>AND('Planilla_General_07-12-2012_8_3'!F1790,"AAAAAHb3rNM=")</f>
        <v>#VALUE!</v>
      </c>
      <c r="HE119" t="e">
        <f>AND('Planilla_General_07-12-2012_8_3'!G1790,"AAAAAHb3rNQ=")</f>
        <v>#VALUE!</v>
      </c>
      <c r="HF119" t="e">
        <f>AND('Planilla_General_07-12-2012_8_3'!H1790,"AAAAAHb3rNU=")</f>
        <v>#VALUE!</v>
      </c>
      <c r="HG119" t="e">
        <f>AND('Planilla_General_07-12-2012_8_3'!I1790,"AAAAAHb3rNY=")</f>
        <v>#VALUE!</v>
      </c>
      <c r="HH119" t="e">
        <f>AND('Planilla_General_07-12-2012_8_3'!J1790,"AAAAAHb3rNc=")</f>
        <v>#VALUE!</v>
      </c>
      <c r="HI119" t="e">
        <f>AND('Planilla_General_07-12-2012_8_3'!K1790,"AAAAAHb3rNg=")</f>
        <v>#VALUE!</v>
      </c>
      <c r="HJ119" t="e">
        <f>AND('Planilla_General_07-12-2012_8_3'!L1790,"AAAAAHb3rNk=")</f>
        <v>#VALUE!</v>
      </c>
      <c r="HK119" t="e">
        <f>AND('Planilla_General_07-12-2012_8_3'!M1790,"AAAAAHb3rNo=")</f>
        <v>#VALUE!</v>
      </c>
      <c r="HL119" t="e">
        <f>AND('Planilla_General_07-12-2012_8_3'!N1790,"AAAAAHb3rNs=")</f>
        <v>#VALUE!</v>
      </c>
      <c r="HM119" t="e">
        <f>AND('Planilla_General_07-12-2012_8_3'!O1790,"AAAAAHb3rNw=")</f>
        <v>#VALUE!</v>
      </c>
      <c r="HN119" t="e">
        <f>AND('Planilla_General_07-12-2012_8_3'!P1790,"AAAAAHb3rN0=")</f>
        <v>#VALUE!</v>
      </c>
      <c r="HO119">
        <f>IF('Planilla_General_07-12-2012_8_3'!1791:1791,"AAAAAHb3rN4=",0)</f>
        <v>0</v>
      </c>
      <c r="HP119" t="e">
        <f>AND('Planilla_General_07-12-2012_8_3'!A1791,"AAAAAHb3rN8=")</f>
        <v>#VALUE!</v>
      </c>
      <c r="HQ119" t="e">
        <f>AND('Planilla_General_07-12-2012_8_3'!B1791,"AAAAAHb3rOA=")</f>
        <v>#VALUE!</v>
      </c>
      <c r="HR119" t="e">
        <f>AND('Planilla_General_07-12-2012_8_3'!C1791,"AAAAAHb3rOE=")</f>
        <v>#VALUE!</v>
      </c>
      <c r="HS119" t="e">
        <f>AND('Planilla_General_07-12-2012_8_3'!D1791,"AAAAAHb3rOI=")</f>
        <v>#VALUE!</v>
      </c>
      <c r="HT119" t="e">
        <f>AND('Planilla_General_07-12-2012_8_3'!E1791,"AAAAAHb3rOM=")</f>
        <v>#VALUE!</v>
      </c>
      <c r="HU119" t="e">
        <f>AND('Planilla_General_07-12-2012_8_3'!F1791,"AAAAAHb3rOQ=")</f>
        <v>#VALUE!</v>
      </c>
      <c r="HV119" t="e">
        <f>AND('Planilla_General_07-12-2012_8_3'!G1791,"AAAAAHb3rOU=")</f>
        <v>#VALUE!</v>
      </c>
      <c r="HW119" t="e">
        <f>AND('Planilla_General_07-12-2012_8_3'!H1791,"AAAAAHb3rOY=")</f>
        <v>#VALUE!</v>
      </c>
      <c r="HX119" t="e">
        <f>AND('Planilla_General_07-12-2012_8_3'!I1791,"AAAAAHb3rOc=")</f>
        <v>#VALUE!</v>
      </c>
      <c r="HY119" t="e">
        <f>AND('Planilla_General_07-12-2012_8_3'!J1791,"AAAAAHb3rOg=")</f>
        <v>#VALUE!</v>
      </c>
      <c r="HZ119" t="e">
        <f>AND('Planilla_General_07-12-2012_8_3'!K1791,"AAAAAHb3rOk=")</f>
        <v>#VALUE!</v>
      </c>
      <c r="IA119" t="e">
        <f>AND('Planilla_General_07-12-2012_8_3'!L1791,"AAAAAHb3rOo=")</f>
        <v>#VALUE!</v>
      </c>
      <c r="IB119" t="e">
        <f>AND('Planilla_General_07-12-2012_8_3'!M1791,"AAAAAHb3rOs=")</f>
        <v>#VALUE!</v>
      </c>
      <c r="IC119" t="e">
        <f>AND('Planilla_General_07-12-2012_8_3'!N1791,"AAAAAHb3rOw=")</f>
        <v>#VALUE!</v>
      </c>
      <c r="ID119" t="e">
        <f>AND('Planilla_General_07-12-2012_8_3'!O1791,"AAAAAHb3rO0=")</f>
        <v>#VALUE!</v>
      </c>
      <c r="IE119" t="e">
        <f>AND('Planilla_General_07-12-2012_8_3'!P1791,"AAAAAHb3rO4=")</f>
        <v>#VALUE!</v>
      </c>
      <c r="IF119">
        <f>IF('Planilla_General_07-12-2012_8_3'!1792:1792,"AAAAAHb3rO8=",0)</f>
        <v>0</v>
      </c>
      <c r="IG119" t="e">
        <f>AND('Planilla_General_07-12-2012_8_3'!A1792,"AAAAAHb3rPA=")</f>
        <v>#VALUE!</v>
      </c>
      <c r="IH119" t="e">
        <f>AND('Planilla_General_07-12-2012_8_3'!B1792,"AAAAAHb3rPE=")</f>
        <v>#VALUE!</v>
      </c>
      <c r="II119" t="e">
        <f>AND('Planilla_General_07-12-2012_8_3'!C1792,"AAAAAHb3rPI=")</f>
        <v>#VALUE!</v>
      </c>
      <c r="IJ119" t="e">
        <f>AND('Planilla_General_07-12-2012_8_3'!D1792,"AAAAAHb3rPM=")</f>
        <v>#VALUE!</v>
      </c>
      <c r="IK119" t="e">
        <f>AND('Planilla_General_07-12-2012_8_3'!E1792,"AAAAAHb3rPQ=")</f>
        <v>#VALUE!</v>
      </c>
      <c r="IL119" t="e">
        <f>AND('Planilla_General_07-12-2012_8_3'!F1792,"AAAAAHb3rPU=")</f>
        <v>#VALUE!</v>
      </c>
      <c r="IM119" t="e">
        <f>AND('Planilla_General_07-12-2012_8_3'!G1792,"AAAAAHb3rPY=")</f>
        <v>#VALUE!</v>
      </c>
      <c r="IN119" t="e">
        <f>AND('Planilla_General_07-12-2012_8_3'!H1792,"AAAAAHb3rPc=")</f>
        <v>#VALUE!</v>
      </c>
      <c r="IO119" t="e">
        <f>AND('Planilla_General_07-12-2012_8_3'!I1792,"AAAAAHb3rPg=")</f>
        <v>#VALUE!</v>
      </c>
      <c r="IP119" t="e">
        <f>AND('Planilla_General_07-12-2012_8_3'!J1792,"AAAAAHb3rPk=")</f>
        <v>#VALUE!</v>
      </c>
      <c r="IQ119" t="e">
        <f>AND('Planilla_General_07-12-2012_8_3'!K1792,"AAAAAHb3rPo=")</f>
        <v>#VALUE!</v>
      </c>
      <c r="IR119" t="e">
        <f>AND('Planilla_General_07-12-2012_8_3'!L1792,"AAAAAHb3rPs=")</f>
        <v>#VALUE!</v>
      </c>
      <c r="IS119" t="e">
        <f>AND('Planilla_General_07-12-2012_8_3'!M1792,"AAAAAHb3rPw=")</f>
        <v>#VALUE!</v>
      </c>
      <c r="IT119" t="e">
        <f>AND('Planilla_General_07-12-2012_8_3'!N1792,"AAAAAHb3rP0=")</f>
        <v>#VALUE!</v>
      </c>
      <c r="IU119" t="e">
        <f>AND('Planilla_General_07-12-2012_8_3'!O1792,"AAAAAHb3rP4=")</f>
        <v>#VALUE!</v>
      </c>
      <c r="IV119" t="e">
        <f>AND('Planilla_General_07-12-2012_8_3'!P1792,"AAAAAHb3rP8=")</f>
        <v>#VALUE!</v>
      </c>
    </row>
    <row r="120" spans="1:256" x14ac:dyDescent="0.25">
      <c r="A120" t="e">
        <f>IF('Planilla_General_07-12-2012_8_3'!1793:1793,"AAAAAE35cwA=",0)</f>
        <v>#VALUE!</v>
      </c>
      <c r="B120" t="e">
        <f>AND('Planilla_General_07-12-2012_8_3'!A1793,"AAAAAE35cwE=")</f>
        <v>#VALUE!</v>
      </c>
      <c r="C120" t="e">
        <f>AND('Planilla_General_07-12-2012_8_3'!B1793,"AAAAAE35cwI=")</f>
        <v>#VALUE!</v>
      </c>
      <c r="D120" t="e">
        <f>AND('Planilla_General_07-12-2012_8_3'!C1793,"AAAAAE35cwM=")</f>
        <v>#VALUE!</v>
      </c>
      <c r="E120" t="e">
        <f>AND('Planilla_General_07-12-2012_8_3'!D1793,"AAAAAE35cwQ=")</f>
        <v>#VALUE!</v>
      </c>
      <c r="F120" t="e">
        <f>AND('Planilla_General_07-12-2012_8_3'!E1793,"AAAAAE35cwU=")</f>
        <v>#VALUE!</v>
      </c>
      <c r="G120" t="e">
        <f>AND('Planilla_General_07-12-2012_8_3'!F1793,"AAAAAE35cwY=")</f>
        <v>#VALUE!</v>
      </c>
      <c r="H120" t="e">
        <f>AND('Planilla_General_07-12-2012_8_3'!G1793,"AAAAAE35cwc=")</f>
        <v>#VALUE!</v>
      </c>
      <c r="I120" t="e">
        <f>AND('Planilla_General_07-12-2012_8_3'!H1793,"AAAAAE35cwg=")</f>
        <v>#VALUE!</v>
      </c>
      <c r="J120" t="e">
        <f>AND('Planilla_General_07-12-2012_8_3'!I1793,"AAAAAE35cwk=")</f>
        <v>#VALUE!</v>
      </c>
      <c r="K120" t="e">
        <f>AND('Planilla_General_07-12-2012_8_3'!J1793,"AAAAAE35cwo=")</f>
        <v>#VALUE!</v>
      </c>
      <c r="L120" t="e">
        <f>AND('Planilla_General_07-12-2012_8_3'!K1793,"AAAAAE35cws=")</f>
        <v>#VALUE!</v>
      </c>
      <c r="M120" t="e">
        <f>AND('Planilla_General_07-12-2012_8_3'!L1793,"AAAAAE35cww=")</f>
        <v>#VALUE!</v>
      </c>
      <c r="N120" t="e">
        <f>AND('Planilla_General_07-12-2012_8_3'!M1793,"AAAAAE35cw0=")</f>
        <v>#VALUE!</v>
      </c>
      <c r="O120" t="e">
        <f>AND('Planilla_General_07-12-2012_8_3'!N1793,"AAAAAE35cw4=")</f>
        <v>#VALUE!</v>
      </c>
      <c r="P120" t="e">
        <f>AND('Planilla_General_07-12-2012_8_3'!O1793,"AAAAAE35cw8=")</f>
        <v>#VALUE!</v>
      </c>
      <c r="Q120" t="e">
        <f>AND('Planilla_General_07-12-2012_8_3'!P1793,"AAAAAE35cxA=")</f>
        <v>#VALUE!</v>
      </c>
      <c r="R120">
        <f>IF('Planilla_General_07-12-2012_8_3'!1794:1794,"AAAAAE35cxE=",0)</f>
        <v>0</v>
      </c>
      <c r="S120" t="e">
        <f>AND('Planilla_General_07-12-2012_8_3'!A1794,"AAAAAE35cxI=")</f>
        <v>#VALUE!</v>
      </c>
      <c r="T120" t="e">
        <f>AND('Planilla_General_07-12-2012_8_3'!B1794,"AAAAAE35cxM=")</f>
        <v>#VALUE!</v>
      </c>
      <c r="U120" t="e">
        <f>AND('Planilla_General_07-12-2012_8_3'!C1794,"AAAAAE35cxQ=")</f>
        <v>#VALUE!</v>
      </c>
      <c r="V120" t="e">
        <f>AND('Planilla_General_07-12-2012_8_3'!D1794,"AAAAAE35cxU=")</f>
        <v>#VALUE!</v>
      </c>
      <c r="W120" t="e">
        <f>AND('Planilla_General_07-12-2012_8_3'!E1794,"AAAAAE35cxY=")</f>
        <v>#VALUE!</v>
      </c>
      <c r="X120" t="e">
        <f>AND('Planilla_General_07-12-2012_8_3'!F1794,"AAAAAE35cxc=")</f>
        <v>#VALUE!</v>
      </c>
      <c r="Y120" t="e">
        <f>AND('Planilla_General_07-12-2012_8_3'!G1794,"AAAAAE35cxg=")</f>
        <v>#VALUE!</v>
      </c>
      <c r="Z120" t="e">
        <f>AND('Planilla_General_07-12-2012_8_3'!H1794,"AAAAAE35cxk=")</f>
        <v>#VALUE!</v>
      </c>
      <c r="AA120" t="e">
        <f>AND('Planilla_General_07-12-2012_8_3'!I1794,"AAAAAE35cxo=")</f>
        <v>#VALUE!</v>
      </c>
      <c r="AB120" t="e">
        <f>AND('Planilla_General_07-12-2012_8_3'!J1794,"AAAAAE35cxs=")</f>
        <v>#VALUE!</v>
      </c>
      <c r="AC120" t="e">
        <f>AND('Planilla_General_07-12-2012_8_3'!K1794,"AAAAAE35cxw=")</f>
        <v>#VALUE!</v>
      </c>
      <c r="AD120" t="e">
        <f>AND('Planilla_General_07-12-2012_8_3'!L1794,"AAAAAE35cx0=")</f>
        <v>#VALUE!</v>
      </c>
      <c r="AE120" t="e">
        <f>AND('Planilla_General_07-12-2012_8_3'!M1794,"AAAAAE35cx4=")</f>
        <v>#VALUE!</v>
      </c>
      <c r="AF120" t="e">
        <f>AND('Planilla_General_07-12-2012_8_3'!N1794,"AAAAAE35cx8=")</f>
        <v>#VALUE!</v>
      </c>
      <c r="AG120" t="e">
        <f>AND('Planilla_General_07-12-2012_8_3'!O1794,"AAAAAE35cyA=")</f>
        <v>#VALUE!</v>
      </c>
      <c r="AH120" t="e">
        <f>AND('Planilla_General_07-12-2012_8_3'!P1794,"AAAAAE35cyE=")</f>
        <v>#VALUE!</v>
      </c>
      <c r="AI120">
        <f>IF('Planilla_General_07-12-2012_8_3'!1795:1795,"AAAAAE35cyI=",0)</f>
        <v>0</v>
      </c>
      <c r="AJ120" t="e">
        <f>AND('Planilla_General_07-12-2012_8_3'!A1795,"AAAAAE35cyM=")</f>
        <v>#VALUE!</v>
      </c>
      <c r="AK120" t="e">
        <f>AND('Planilla_General_07-12-2012_8_3'!B1795,"AAAAAE35cyQ=")</f>
        <v>#VALUE!</v>
      </c>
      <c r="AL120" t="e">
        <f>AND('Planilla_General_07-12-2012_8_3'!C1795,"AAAAAE35cyU=")</f>
        <v>#VALUE!</v>
      </c>
      <c r="AM120" t="e">
        <f>AND('Planilla_General_07-12-2012_8_3'!D1795,"AAAAAE35cyY=")</f>
        <v>#VALUE!</v>
      </c>
      <c r="AN120" t="e">
        <f>AND('Planilla_General_07-12-2012_8_3'!E1795,"AAAAAE35cyc=")</f>
        <v>#VALUE!</v>
      </c>
      <c r="AO120" t="e">
        <f>AND('Planilla_General_07-12-2012_8_3'!F1795,"AAAAAE35cyg=")</f>
        <v>#VALUE!</v>
      </c>
      <c r="AP120" t="e">
        <f>AND('Planilla_General_07-12-2012_8_3'!G1795,"AAAAAE35cyk=")</f>
        <v>#VALUE!</v>
      </c>
      <c r="AQ120" t="e">
        <f>AND('Planilla_General_07-12-2012_8_3'!H1795,"AAAAAE35cyo=")</f>
        <v>#VALUE!</v>
      </c>
      <c r="AR120" t="e">
        <f>AND('Planilla_General_07-12-2012_8_3'!I1795,"AAAAAE35cys=")</f>
        <v>#VALUE!</v>
      </c>
      <c r="AS120" t="e">
        <f>AND('Planilla_General_07-12-2012_8_3'!J1795,"AAAAAE35cyw=")</f>
        <v>#VALUE!</v>
      </c>
      <c r="AT120" t="e">
        <f>AND('Planilla_General_07-12-2012_8_3'!K1795,"AAAAAE35cy0=")</f>
        <v>#VALUE!</v>
      </c>
      <c r="AU120" t="e">
        <f>AND('Planilla_General_07-12-2012_8_3'!L1795,"AAAAAE35cy4=")</f>
        <v>#VALUE!</v>
      </c>
      <c r="AV120" t="e">
        <f>AND('Planilla_General_07-12-2012_8_3'!M1795,"AAAAAE35cy8=")</f>
        <v>#VALUE!</v>
      </c>
      <c r="AW120" t="e">
        <f>AND('Planilla_General_07-12-2012_8_3'!N1795,"AAAAAE35czA=")</f>
        <v>#VALUE!</v>
      </c>
      <c r="AX120" t="e">
        <f>AND('Planilla_General_07-12-2012_8_3'!O1795,"AAAAAE35czE=")</f>
        <v>#VALUE!</v>
      </c>
      <c r="AY120" t="e">
        <f>AND('Planilla_General_07-12-2012_8_3'!P1795,"AAAAAE35czI=")</f>
        <v>#VALUE!</v>
      </c>
      <c r="AZ120">
        <f>IF('Planilla_General_07-12-2012_8_3'!1796:1796,"AAAAAE35czM=",0)</f>
        <v>0</v>
      </c>
      <c r="BA120" t="e">
        <f>AND('Planilla_General_07-12-2012_8_3'!A1796,"AAAAAE35czQ=")</f>
        <v>#VALUE!</v>
      </c>
      <c r="BB120" t="e">
        <f>AND('Planilla_General_07-12-2012_8_3'!B1796,"AAAAAE35czU=")</f>
        <v>#VALUE!</v>
      </c>
      <c r="BC120" t="e">
        <f>AND('Planilla_General_07-12-2012_8_3'!C1796,"AAAAAE35czY=")</f>
        <v>#VALUE!</v>
      </c>
      <c r="BD120" t="e">
        <f>AND('Planilla_General_07-12-2012_8_3'!D1796,"AAAAAE35czc=")</f>
        <v>#VALUE!</v>
      </c>
      <c r="BE120" t="e">
        <f>AND('Planilla_General_07-12-2012_8_3'!E1796,"AAAAAE35czg=")</f>
        <v>#VALUE!</v>
      </c>
      <c r="BF120" t="e">
        <f>AND('Planilla_General_07-12-2012_8_3'!F1796,"AAAAAE35czk=")</f>
        <v>#VALUE!</v>
      </c>
      <c r="BG120" t="e">
        <f>AND('Planilla_General_07-12-2012_8_3'!G1796,"AAAAAE35czo=")</f>
        <v>#VALUE!</v>
      </c>
      <c r="BH120" t="e">
        <f>AND('Planilla_General_07-12-2012_8_3'!H1796,"AAAAAE35czs=")</f>
        <v>#VALUE!</v>
      </c>
      <c r="BI120" t="e">
        <f>AND('Planilla_General_07-12-2012_8_3'!I1796,"AAAAAE35czw=")</f>
        <v>#VALUE!</v>
      </c>
      <c r="BJ120" t="e">
        <f>AND('Planilla_General_07-12-2012_8_3'!J1796,"AAAAAE35cz0=")</f>
        <v>#VALUE!</v>
      </c>
      <c r="BK120" t="e">
        <f>AND('Planilla_General_07-12-2012_8_3'!K1796,"AAAAAE35cz4=")</f>
        <v>#VALUE!</v>
      </c>
      <c r="BL120" t="e">
        <f>AND('Planilla_General_07-12-2012_8_3'!L1796,"AAAAAE35cz8=")</f>
        <v>#VALUE!</v>
      </c>
      <c r="BM120" t="e">
        <f>AND('Planilla_General_07-12-2012_8_3'!M1796,"AAAAAE35c0A=")</f>
        <v>#VALUE!</v>
      </c>
      <c r="BN120" t="e">
        <f>AND('Planilla_General_07-12-2012_8_3'!N1796,"AAAAAE35c0E=")</f>
        <v>#VALUE!</v>
      </c>
      <c r="BO120" t="e">
        <f>AND('Planilla_General_07-12-2012_8_3'!O1796,"AAAAAE35c0I=")</f>
        <v>#VALUE!</v>
      </c>
      <c r="BP120" t="e">
        <f>AND('Planilla_General_07-12-2012_8_3'!P1796,"AAAAAE35c0M=")</f>
        <v>#VALUE!</v>
      </c>
      <c r="BQ120">
        <f>IF('Planilla_General_07-12-2012_8_3'!1797:1797,"AAAAAE35c0Q=",0)</f>
        <v>0</v>
      </c>
      <c r="BR120" t="e">
        <f>AND('Planilla_General_07-12-2012_8_3'!A1797,"AAAAAE35c0U=")</f>
        <v>#VALUE!</v>
      </c>
      <c r="BS120" t="e">
        <f>AND('Planilla_General_07-12-2012_8_3'!B1797,"AAAAAE35c0Y=")</f>
        <v>#VALUE!</v>
      </c>
      <c r="BT120" t="e">
        <f>AND('Planilla_General_07-12-2012_8_3'!C1797,"AAAAAE35c0c=")</f>
        <v>#VALUE!</v>
      </c>
      <c r="BU120" t="e">
        <f>AND('Planilla_General_07-12-2012_8_3'!D1797,"AAAAAE35c0g=")</f>
        <v>#VALUE!</v>
      </c>
      <c r="BV120" t="e">
        <f>AND('Planilla_General_07-12-2012_8_3'!E1797,"AAAAAE35c0k=")</f>
        <v>#VALUE!</v>
      </c>
      <c r="BW120" t="e">
        <f>AND('Planilla_General_07-12-2012_8_3'!F1797,"AAAAAE35c0o=")</f>
        <v>#VALUE!</v>
      </c>
      <c r="BX120" t="e">
        <f>AND('Planilla_General_07-12-2012_8_3'!G1797,"AAAAAE35c0s=")</f>
        <v>#VALUE!</v>
      </c>
      <c r="BY120" t="e">
        <f>AND('Planilla_General_07-12-2012_8_3'!H1797,"AAAAAE35c0w=")</f>
        <v>#VALUE!</v>
      </c>
      <c r="BZ120" t="e">
        <f>AND('Planilla_General_07-12-2012_8_3'!I1797,"AAAAAE35c00=")</f>
        <v>#VALUE!</v>
      </c>
      <c r="CA120" t="e">
        <f>AND('Planilla_General_07-12-2012_8_3'!J1797,"AAAAAE35c04=")</f>
        <v>#VALUE!</v>
      </c>
      <c r="CB120" t="e">
        <f>AND('Planilla_General_07-12-2012_8_3'!K1797,"AAAAAE35c08=")</f>
        <v>#VALUE!</v>
      </c>
      <c r="CC120" t="e">
        <f>AND('Planilla_General_07-12-2012_8_3'!L1797,"AAAAAE35c1A=")</f>
        <v>#VALUE!</v>
      </c>
      <c r="CD120" t="e">
        <f>AND('Planilla_General_07-12-2012_8_3'!M1797,"AAAAAE35c1E=")</f>
        <v>#VALUE!</v>
      </c>
      <c r="CE120" t="e">
        <f>AND('Planilla_General_07-12-2012_8_3'!N1797,"AAAAAE35c1I=")</f>
        <v>#VALUE!</v>
      </c>
      <c r="CF120" t="e">
        <f>AND('Planilla_General_07-12-2012_8_3'!O1797,"AAAAAE35c1M=")</f>
        <v>#VALUE!</v>
      </c>
      <c r="CG120" t="e">
        <f>AND('Planilla_General_07-12-2012_8_3'!P1797,"AAAAAE35c1Q=")</f>
        <v>#VALUE!</v>
      </c>
      <c r="CH120">
        <f>IF('Planilla_General_07-12-2012_8_3'!1798:1798,"AAAAAE35c1U=",0)</f>
        <v>0</v>
      </c>
      <c r="CI120" t="e">
        <f>AND('Planilla_General_07-12-2012_8_3'!A1798,"AAAAAE35c1Y=")</f>
        <v>#VALUE!</v>
      </c>
      <c r="CJ120" t="e">
        <f>AND('Planilla_General_07-12-2012_8_3'!B1798,"AAAAAE35c1c=")</f>
        <v>#VALUE!</v>
      </c>
      <c r="CK120" t="e">
        <f>AND('Planilla_General_07-12-2012_8_3'!C1798,"AAAAAE35c1g=")</f>
        <v>#VALUE!</v>
      </c>
      <c r="CL120" t="e">
        <f>AND('Planilla_General_07-12-2012_8_3'!D1798,"AAAAAE35c1k=")</f>
        <v>#VALUE!</v>
      </c>
      <c r="CM120" t="e">
        <f>AND('Planilla_General_07-12-2012_8_3'!E1798,"AAAAAE35c1o=")</f>
        <v>#VALUE!</v>
      </c>
      <c r="CN120" t="e">
        <f>AND('Planilla_General_07-12-2012_8_3'!F1798,"AAAAAE35c1s=")</f>
        <v>#VALUE!</v>
      </c>
      <c r="CO120" t="e">
        <f>AND('Planilla_General_07-12-2012_8_3'!G1798,"AAAAAE35c1w=")</f>
        <v>#VALUE!</v>
      </c>
      <c r="CP120" t="e">
        <f>AND('Planilla_General_07-12-2012_8_3'!H1798,"AAAAAE35c10=")</f>
        <v>#VALUE!</v>
      </c>
      <c r="CQ120" t="e">
        <f>AND('Planilla_General_07-12-2012_8_3'!I1798,"AAAAAE35c14=")</f>
        <v>#VALUE!</v>
      </c>
      <c r="CR120" t="e">
        <f>AND('Planilla_General_07-12-2012_8_3'!J1798,"AAAAAE35c18=")</f>
        <v>#VALUE!</v>
      </c>
      <c r="CS120" t="e">
        <f>AND('Planilla_General_07-12-2012_8_3'!K1798,"AAAAAE35c2A=")</f>
        <v>#VALUE!</v>
      </c>
      <c r="CT120" t="e">
        <f>AND('Planilla_General_07-12-2012_8_3'!L1798,"AAAAAE35c2E=")</f>
        <v>#VALUE!</v>
      </c>
      <c r="CU120" t="e">
        <f>AND('Planilla_General_07-12-2012_8_3'!M1798,"AAAAAE35c2I=")</f>
        <v>#VALUE!</v>
      </c>
      <c r="CV120" t="e">
        <f>AND('Planilla_General_07-12-2012_8_3'!N1798,"AAAAAE35c2M=")</f>
        <v>#VALUE!</v>
      </c>
      <c r="CW120" t="e">
        <f>AND('Planilla_General_07-12-2012_8_3'!O1798,"AAAAAE35c2Q=")</f>
        <v>#VALUE!</v>
      </c>
      <c r="CX120" t="e">
        <f>AND('Planilla_General_07-12-2012_8_3'!P1798,"AAAAAE35c2U=")</f>
        <v>#VALUE!</v>
      </c>
      <c r="CY120">
        <f>IF('Planilla_General_07-12-2012_8_3'!1799:1799,"AAAAAE35c2Y=",0)</f>
        <v>0</v>
      </c>
      <c r="CZ120" t="e">
        <f>AND('Planilla_General_07-12-2012_8_3'!A1799,"AAAAAE35c2c=")</f>
        <v>#VALUE!</v>
      </c>
      <c r="DA120" t="e">
        <f>AND('Planilla_General_07-12-2012_8_3'!B1799,"AAAAAE35c2g=")</f>
        <v>#VALUE!</v>
      </c>
      <c r="DB120" t="e">
        <f>AND('Planilla_General_07-12-2012_8_3'!C1799,"AAAAAE35c2k=")</f>
        <v>#VALUE!</v>
      </c>
      <c r="DC120" t="e">
        <f>AND('Planilla_General_07-12-2012_8_3'!D1799,"AAAAAE35c2o=")</f>
        <v>#VALUE!</v>
      </c>
      <c r="DD120" t="e">
        <f>AND('Planilla_General_07-12-2012_8_3'!E1799,"AAAAAE35c2s=")</f>
        <v>#VALUE!</v>
      </c>
      <c r="DE120" t="e">
        <f>AND('Planilla_General_07-12-2012_8_3'!F1799,"AAAAAE35c2w=")</f>
        <v>#VALUE!</v>
      </c>
      <c r="DF120" t="e">
        <f>AND('Planilla_General_07-12-2012_8_3'!G1799,"AAAAAE35c20=")</f>
        <v>#VALUE!</v>
      </c>
      <c r="DG120" t="e">
        <f>AND('Planilla_General_07-12-2012_8_3'!H1799,"AAAAAE35c24=")</f>
        <v>#VALUE!</v>
      </c>
      <c r="DH120" t="e">
        <f>AND('Planilla_General_07-12-2012_8_3'!I1799,"AAAAAE35c28=")</f>
        <v>#VALUE!</v>
      </c>
      <c r="DI120" t="e">
        <f>AND('Planilla_General_07-12-2012_8_3'!J1799,"AAAAAE35c3A=")</f>
        <v>#VALUE!</v>
      </c>
      <c r="DJ120" t="e">
        <f>AND('Planilla_General_07-12-2012_8_3'!K1799,"AAAAAE35c3E=")</f>
        <v>#VALUE!</v>
      </c>
      <c r="DK120" t="e">
        <f>AND('Planilla_General_07-12-2012_8_3'!L1799,"AAAAAE35c3I=")</f>
        <v>#VALUE!</v>
      </c>
      <c r="DL120" t="e">
        <f>AND('Planilla_General_07-12-2012_8_3'!M1799,"AAAAAE35c3M=")</f>
        <v>#VALUE!</v>
      </c>
      <c r="DM120" t="e">
        <f>AND('Planilla_General_07-12-2012_8_3'!N1799,"AAAAAE35c3Q=")</f>
        <v>#VALUE!</v>
      </c>
      <c r="DN120" t="e">
        <f>AND('Planilla_General_07-12-2012_8_3'!O1799,"AAAAAE35c3U=")</f>
        <v>#VALUE!</v>
      </c>
      <c r="DO120" t="e">
        <f>AND('Planilla_General_07-12-2012_8_3'!P1799,"AAAAAE35c3Y=")</f>
        <v>#VALUE!</v>
      </c>
      <c r="DP120">
        <f>IF('Planilla_General_07-12-2012_8_3'!1800:1800,"AAAAAE35c3c=",0)</f>
        <v>0</v>
      </c>
      <c r="DQ120" t="e">
        <f>AND('Planilla_General_07-12-2012_8_3'!A1800,"AAAAAE35c3g=")</f>
        <v>#VALUE!</v>
      </c>
      <c r="DR120" t="e">
        <f>AND('Planilla_General_07-12-2012_8_3'!B1800,"AAAAAE35c3k=")</f>
        <v>#VALUE!</v>
      </c>
      <c r="DS120" t="e">
        <f>AND('Planilla_General_07-12-2012_8_3'!C1800,"AAAAAE35c3o=")</f>
        <v>#VALUE!</v>
      </c>
      <c r="DT120" t="e">
        <f>AND('Planilla_General_07-12-2012_8_3'!D1800,"AAAAAE35c3s=")</f>
        <v>#VALUE!</v>
      </c>
      <c r="DU120" t="e">
        <f>AND('Planilla_General_07-12-2012_8_3'!E1800,"AAAAAE35c3w=")</f>
        <v>#VALUE!</v>
      </c>
      <c r="DV120" t="e">
        <f>AND('Planilla_General_07-12-2012_8_3'!F1800,"AAAAAE35c30=")</f>
        <v>#VALUE!</v>
      </c>
      <c r="DW120" t="e">
        <f>AND('Planilla_General_07-12-2012_8_3'!G1800,"AAAAAE35c34=")</f>
        <v>#VALUE!</v>
      </c>
      <c r="DX120" t="e">
        <f>AND('Planilla_General_07-12-2012_8_3'!H1800,"AAAAAE35c38=")</f>
        <v>#VALUE!</v>
      </c>
      <c r="DY120" t="e">
        <f>AND('Planilla_General_07-12-2012_8_3'!I1800,"AAAAAE35c4A=")</f>
        <v>#VALUE!</v>
      </c>
      <c r="DZ120" t="e">
        <f>AND('Planilla_General_07-12-2012_8_3'!J1800,"AAAAAE35c4E=")</f>
        <v>#VALUE!</v>
      </c>
      <c r="EA120" t="e">
        <f>AND('Planilla_General_07-12-2012_8_3'!K1800,"AAAAAE35c4I=")</f>
        <v>#VALUE!</v>
      </c>
      <c r="EB120" t="e">
        <f>AND('Planilla_General_07-12-2012_8_3'!L1800,"AAAAAE35c4M=")</f>
        <v>#VALUE!</v>
      </c>
      <c r="EC120" t="e">
        <f>AND('Planilla_General_07-12-2012_8_3'!M1800,"AAAAAE35c4Q=")</f>
        <v>#VALUE!</v>
      </c>
      <c r="ED120" t="e">
        <f>AND('Planilla_General_07-12-2012_8_3'!N1800,"AAAAAE35c4U=")</f>
        <v>#VALUE!</v>
      </c>
      <c r="EE120" t="e">
        <f>AND('Planilla_General_07-12-2012_8_3'!O1800,"AAAAAE35c4Y=")</f>
        <v>#VALUE!</v>
      </c>
      <c r="EF120" t="e">
        <f>AND('Planilla_General_07-12-2012_8_3'!P1800,"AAAAAE35c4c=")</f>
        <v>#VALUE!</v>
      </c>
      <c r="EG120">
        <f>IF('Planilla_General_07-12-2012_8_3'!1801:1801,"AAAAAE35c4g=",0)</f>
        <v>0</v>
      </c>
      <c r="EH120" t="e">
        <f>AND('Planilla_General_07-12-2012_8_3'!A1801,"AAAAAE35c4k=")</f>
        <v>#VALUE!</v>
      </c>
      <c r="EI120" t="e">
        <f>AND('Planilla_General_07-12-2012_8_3'!B1801,"AAAAAE35c4o=")</f>
        <v>#VALUE!</v>
      </c>
      <c r="EJ120" t="e">
        <f>AND('Planilla_General_07-12-2012_8_3'!C1801,"AAAAAE35c4s=")</f>
        <v>#VALUE!</v>
      </c>
      <c r="EK120" t="e">
        <f>AND('Planilla_General_07-12-2012_8_3'!D1801,"AAAAAE35c4w=")</f>
        <v>#VALUE!</v>
      </c>
      <c r="EL120" t="e">
        <f>AND('Planilla_General_07-12-2012_8_3'!E1801,"AAAAAE35c40=")</f>
        <v>#VALUE!</v>
      </c>
      <c r="EM120" t="e">
        <f>AND('Planilla_General_07-12-2012_8_3'!F1801,"AAAAAE35c44=")</f>
        <v>#VALUE!</v>
      </c>
      <c r="EN120" t="e">
        <f>AND('Planilla_General_07-12-2012_8_3'!G1801,"AAAAAE35c48=")</f>
        <v>#VALUE!</v>
      </c>
      <c r="EO120" t="e">
        <f>AND('Planilla_General_07-12-2012_8_3'!H1801,"AAAAAE35c5A=")</f>
        <v>#VALUE!</v>
      </c>
      <c r="EP120" t="e">
        <f>AND('Planilla_General_07-12-2012_8_3'!I1801,"AAAAAE35c5E=")</f>
        <v>#VALUE!</v>
      </c>
      <c r="EQ120" t="e">
        <f>AND('Planilla_General_07-12-2012_8_3'!J1801,"AAAAAE35c5I=")</f>
        <v>#VALUE!</v>
      </c>
      <c r="ER120" t="e">
        <f>AND('Planilla_General_07-12-2012_8_3'!K1801,"AAAAAE35c5M=")</f>
        <v>#VALUE!</v>
      </c>
      <c r="ES120" t="e">
        <f>AND('Planilla_General_07-12-2012_8_3'!L1801,"AAAAAE35c5Q=")</f>
        <v>#VALUE!</v>
      </c>
      <c r="ET120" t="e">
        <f>AND('Planilla_General_07-12-2012_8_3'!M1801,"AAAAAE35c5U=")</f>
        <v>#VALUE!</v>
      </c>
      <c r="EU120" t="e">
        <f>AND('Planilla_General_07-12-2012_8_3'!N1801,"AAAAAE35c5Y=")</f>
        <v>#VALUE!</v>
      </c>
      <c r="EV120" t="e">
        <f>AND('Planilla_General_07-12-2012_8_3'!O1801,"AAAAAE35c5c=")</f>
        <v>#VALUE!</v>
      </c>
      <c r="EW120" t="e">
        <f>AND('Planilla_General_07-12-2012_8_3'!P1801,"AAAAAE35c5g=")</f>
        <v>#VALUE!</v>
      </c>
      <c r="EX120">
        <f>IF('Planilla_General_07-12-2012_8_3'!1802:1802,"AAAAAE35c5k=",0)</f>
        <v>0</v>
      </c>
      <c r="EY120" t="e">
        <f>AND('Planilla_General_07-12-2012_8_3'!A1802,"AAAAAE35c5o=")</f>
        <v>#VALUE!</v>
      </c>
      <c r="EZ120" t="e">
        <f>AND('Planilla_General_07-12-2012_8_3'!B1802,"AAAAAE35c5s=")</f>
        <v>#VALUE!</v>
      </c>
      <c r="FA120" t="e">
        <f>AND('Planilla_General_07-12-2012_8_3'!C1802,"AAAAAE35c5w=")</f>
        <v>#VALUE!</v>
      </c>
      <c r="FB120" t="e">
        <f>AND('Planilla_General_07-12-2012_8_3'!D1802,"AAAAAE35c50=")</f>
        <v>#VALUE!</v>
      </c>
      <c r="FC120" t="e">
        <f>AND('Planilla_General_07-12-2012_8_3'!E1802,"AAAAAE35c54=")</f>
        <v>#VALUE!</v>
      </c>
      <c r="FD120" t="e">
        <f>AND('Planilla_General_07-12-2012_8_3'!F1802,"AAAAAE35c58=")</f>
        <v>#VALUE!</v>
      </c>
      <c r="FE120" t="e">
        <f>AND('Planilla_General_07-12-2012_8_3'!G1802,"AAAAAE35c6A=")</f>
        <v>#VALUE!</v>
      </c>
      <c r="FF120" t="e">
        <f>AND('Planilla_General_07-12-2012_8_3'!H1802,"AAAAAE35c6E=")</f>
        <v>#VALUE!</v>
      </c>
      <c r="FG120" t="e">
        <f>AND('Planilla_General_07-12-2012_8_3'!I1802,"AAAAAE35c6I=")</f>
        <v>#VALUE!</v>
      </c>
      <c r="FH120" t="e">
        <f>AND('Planilla_General_07-12-2012_8_3'!J1802,"AAAAAE35c6M=")</f>
        <v>#VALUE!</v>
      </c>
      <c r="FI120" t="e">
        <f>AND('Planilla_General_07-12-2012_8_3'!K1802,"AAAAAE35c6Q=")</f>
        <v>#VALUE!</v>
      </c>
      <c r="FJ120" t="e">
        <f>AND('Planilla_General_07-12-2012_8_3'!L1802,"AAAAAE35c6U=")</f>
        <v>#VALUE!</v>
      </c>
      <c r="FK120" t="e">
        <f>AND('Planilla_General_07-12-2012_8_3'!M1802,"AAAAAE35c6Y=")</f>
        <v>#VALUE!</v>
      </c>
      <c r="FL120" t="e">
        <f>AND('Planilla_General_07-12-2012_8_3'!N1802,"AAAAAE35c6c=")</f>
        <v>#VALUE!</v>
      </c>
      <c r="FM120" t="e">
        <f>AND('Planilla_General_07-12-2012_8_3'!O1802,"AAAAAE35c6g=")</f>
        <v>#VALUE!</v>
      </c>
      <c r="FN120" t="e">
        <f>AND('Planilla_General_07-12-2012_8_3'!P1802,"AAAAAE35c6k=")</f>
        <v>#VALUE!</v>
      </c>
      <c r="FO120">
        <f>IF('Planilla_General_07-12-2012_8_3'!1803:1803,"AAAAAE35c6o=",0)</f>
        <v>0</v>
      </c>
      <c r="FP120" t="e">
        <f>AND('Planilla_General_07-12-2012_8_3'!A1803,"AAAAAE35c6s=")</f>
        <v>#VALUE!</v>
      </c>
      <c r="FQ120" t="e">
        <f>AND('Planilla_General_07-12-2012_8_3'!B1803,"AAAAAE35c6w=")</f>
        <v>#VALUE!</v>
      </c>
      <c r="FR120" t="e">
        <f>AND('Planilla_General_07-12-2012_8_3'!C1803,"AAAAAE35c60=")</f>
        <v>#VALUE!</v>
      </c>
      <c r="FS120" t="e">
        <f>AND('Planilla_General_07-12-2012_8_3'!D1803,"AAAAAE35c64=")</f>
        <v>#VALUE!</v>
      </c>
      <c r="FT120" t="e">
        <f>AND('Planilla_General_07-12-2012_8_3'!E1803,"AAAAAE35c68=")</f>
        <v>#VALUE!</v>
      </c>
      <c r="FU120" t="e">
        <f>AND('Planilla_General_07-12-2012_8_3'!F1803,"AAAAAE35c7A=")</f>
        <v>#VALUE!</v>
      </c>
      <c r="FV120" t="e">
        <f>AND('Planilla_General_07-12-2012_8_3'!G1803,"AAAAAE35c7E=")</f>
        <v>#VALUE!</v>
      </c>
      <c r="FW120" t="e">
        <f>AND('Planilla_General_07-12-2012_8_3'!H1803,"AAAAAE35c7I=")</f>
        <v>#VALUE!</v>
      </c>
      <c r="FX120" t="e">
        <f>AND('Planilla_General_07-12-2012_8_3'!I1803,"AAAAAE35c7M=")</f>
        <v>#VALUE!</v>
      </c>
      <c r="FY120" t="e">
        <f>AND('Planilla_General_07-12-2012_8_3'!J1803,"AAAAAE35c7Q=")</f>
        <v>#VALUE!</v>
      </c>
      <c r="FZ120" t="e">
        <f>AND('Planilla_General_07-12-2012_8_3'!K1803,"AAAAAE35c7U=")</f>
        <v>#VALUE!</v>
      </c>
      <c r="GA120" t="e">
        <f>AND('Planilla_General_07-12-2012_8_3'!L1803,"AAAAAE35c7Y=")</f>
        <v>#VALUE!</v>
      </c>
      <c r="GB120" t="e">
        <f>AND('Planilla_General_07-12-2012_8_3'!M1803,"AAAAAE35c7c=")</f>
        <v>#VALUE!</v>
      </c>
      <c r="GC120" t="e">
        <f>AND('Planilla_General_07-12-2012_8_3'!N1803,"AAAAAE35c7g=")</f>
        <v>#VALUE!</v>
      </c>
      <c r="GD120" t="e">
        <f>AND('Planilla_General_07-12-2012_8_3'!O1803,"AAAAAE35c7k=")</f>
        <v>#VALUE!</v>
      </c>
      <c r="GE120" t="e">
        <f>AND('Planilla_General_07-12-2012_8_3'!P1803,"AAAAAE35c7o=")</f>
        <v>#VALUE!</v>
      </c>
      <c r="GF120">
        <f>IF('Planilla_General_07-12-2012_8_3'!1804:1804,"AAAAAE35c7s=",0)</f>
        <v>0</v>
      </c>
      <c r="GG120" t="e">
        <f>AND('Planilla_General_07-12-2012_8_3'!A1804,"AAAAAE35c7w=")</f>
        <v>#VALUE!</v>
      </c>
      <c r="GH120" t="e">
        <f>AND('Planilla_General_07-12-2012_8_3'!B1804,"AAAAAE35c70=")</f>
        <v>#VALUE!</v>
      </c>
      <c r="GI120" t="e">
        <f>AND('Planilla_General_07-12-2012_8_3'!C1804,"AAAAAE35c74=")</f>
        <v>#VALUE!</v>
      </c>
      <c r="GJ120" t="e">
        <f>AND('Planilla_General_07-12-2012_8_3'!D1804,"AAAAAE35c78=")</f>
        <v>#VALUE!</v>
      </c>
      <c r="GK120" t="e">
        <f>AND('Planilla_General_07-12-2012_8_3'!E1804,"AAAAAE35c8A=")</f>
        <v>#VALUE!</v>
      </c>
      <c r="GL120" t="e">
        <f>AND('Planilla_General_07-12-2012_8_3'!F1804,"AAAAAE35c8E=")</f>
        <v>#VALUE!</v>
      </c>
      <c r="GM120" t="e">
        <f>AND('Planilla_General_07-12-2012_8_3'!G1804,"AAAAAE35c8I=")</f>
        <v>#VALUE!</v>
      </c>
      <c r="GN120" t="e">
        <f>AND('Planilla_General_07-12-2012_8_3'!H1804,"AAAAAE35c8M=")</f>
        <v>#VALUE!</v>
      </c>
      <c r="GO120" t="e">
        <f>AND('Planilla_General_07-12-2012_8_3'!I1804,"AAAAAE35c8Q=")</f>
        <v>#VALUE!</v>
      </c>
      <c r="GP120" t="e">
        <f>AND('Planilla_General_07-12-2012_8_3'!J1804,"AAAAAE35c8U=")</f>
        <v>#VALUE!</v>
      </c>
      <c r="GQ120" t="e">
        <f>AND('Planilla_General_07-12-2012_8_3'!K1804,"AAAAAE35c8Y=")</f>
        <v>#VALUE!</v>
      </c>
      <c r="GR120" t="e">
        <f>AND('Planilla_General_07-12-2012_8_3'!L1804,"AAAAAE35c8c=")</f>
        <v>#VALUE!</v>
      </c>
      <c r="GS120" t="e">
        <f>AND('Planilla_General_07-12-2012_8_3'!M1804,"AAAAAE35c8g=")</f>
        <v>#VALUE!</v>
      </c>
      <c r="GT120" t="e">
        <f>AND('Planilla_General_07-12-2012_8_3'!N1804,"AAAAAE35c8k=")</f>
        <v>#VALUE!</v>
      </c>
      <c r="GU120" t="e">
        <f>AND('Planilla_General_07-12-2012_8_3'!O1804,"AAAAAE35c8o=")</f>
        <v>#VALUE!</v>
      </c>
      <c r="GV120" t="e">
        <f>AND('Planilla_General_07-12-2012_8_3'!P1804,"AAAAAE35c8s=")</f>
        <v>#VALUE!</v>
      </c>
      <c r="GW120">
        <f>IF('Planilla_General_07-12-2012_8_3'!1805:1805,"AAAAAE35c8w=",0)</f>
        <v>0</v>
      </c>
      <c r="GX120" t="e">
        <f>AND('Planilla_General_07-12-2012_8_3'!A1805,"AAAAAE35c80=")</f>
        <v>#VALUE!</v>
      </c>
      <c r="GY120" t="e">
        <f>AND('Planilla_General_07-12-2012_8_3'!B1805,"AAAAAE35c84=")</f>
        <v>#VALUE!</v>
      </c>
      <c r="GZ120" t="e">
        <f>AND('Planilla_General_07-12-2012_8_3'!C1805,"AAAAAE35c88=")</f>
        <v>#VALUE!</v>
      </c>
      <c r="HA120" t="e">
        <f>AND('Planilla_General_07-12-2012_8_3'!D1805,"AAAAAE35c9A=")</f>
        <v>#VALUE!</v>
      </c>
      <c r="HB120" t="e">
        <f>AND('Planilla_General_07-12-2012_8_3'!E1805,"AAAAAE35c9E=")</f>
        <v>#VALUE!</v>
      </c>
      <c r="HC120" t="e">
        <f>AND('Planilla_General_07-12-2012_8_3'!F1805,"AAAAAE35c9I=")</f>
        <v>#VALUE!</v>
      </c>
      <c r="HD120" t="e">
        <f>AND('Planilla_General_07-12-2012_8_3'!G1805,"AAAAAE35c9M=")</f>
        <v>#VALUE!</v>
      </c>
      <c r="HE120" t="e">
        <f>AND('Planilla_General_07-12-2012_8_3'!H1805,"AAAAAE35c9Q=")</f>
        <v>#VALUE!</v>
      </c>
      <c r="HF120" t="e">
        <f>AND('Planilla_General_07-12-2012_8_3'!I1805,"AAAAAE35c9U=")</f>
        <v>#VALUE!</v>
      </c>
      <c r="HG120" t="e">
        <f>AND('Planilla_General_07-12-2012_8_3'!J1805,"AAAAAE35c9Y=")</f>
        <v>#VALUE!</v>
      </c>
      <c r="HH120" t="e">
        <f>AND('Planilla_General_07-12-2012_8_3'!K1805,"AAAAAE35c9c=")</f>
        <v>#VALUE!</v>
      </c>
      <c r="HI120" t="e">
        <f>AND('Planilla_General_07-12-2012_8_3'!L1805,"AAAAAE35c9g=")</f>
        <v>#VALUE!</v>
      </c>
      <c r="HJ120" t="e">
        <f>AND('Planilla_General_07-12-2012_8_3'!M1805,"AAAAAE35c9k=")</f>
        <v>#VALUE!</v>
      </c>
      <c r="HK120" t="e">
        <f>AND('Planilla_General_07-12-2012_8_3'!N1805,"AAAAAE35c9o=")</f>
        <v>#VALUE!</v>
      </c>
      <c r="HL120" t="e">
        <f>AND('Planilla_General_07-12-2012_8_3'!O1805,"AAAAAE35c9s=")</f>
        <v>#VALUE!</v>
      </c>
      <c r="HM120" t="e">
        <f>AND('Planilla_General_07-12-2012_8_3'!P1805,"AAAAAE35c9w=")</f>
        <v>#VALUE!</v>
      </c>
      <c r="HN120">
        <f>IF('Planilla_General_07-12-2012_8_3'!1806:1806,"AAAAAE35c90=",0)</f>
        <v>0</v>
      </c>
      <c r="HO120" t="e">
        <f>AND('Planilla_General_07-12-2012_8_3'!A1806,"AAAAAE35c94=")</f>
        <v>#VALUE!</v>
      </c>
      <c r="HP120" t="e">
        <f>AND('Planilla_General_07-12-2012_8_3'!B1806,"AAAAAE35c98=")</f>
        <v>#VALUE!</v>
      </c>
      <c r="HQ120" t="e">
        <f>AND('Planilla_General_07-12-2012_8_3'!C1806,"AAAAAE35c+A=")</f>
        <v>#VALUE!</v>
      </c>
      <c r="HR120" t="e">
        <f>AND('Planilla_General_07-12-2012_8_3'!D1806,"AAAAAE35c+E=")</f>
        <v>#VALUE!</v>
      </c>
      <c r="HS120" t="e">
        <f>AND('Planilla_General_07-12-2012_8_3'!E1806,"AAAAAE35c+I=")</f>
        <v>#VALUE!</v>
      </c>
      <c r="HT120" t="e">
        <f>AND('Planilla_General_07-12-2012_8_3'!F1806,"AAAAAE35c+M=")</f>
        <v>#VALUE!</v>
      </c>
      <c r="HU120" t="e">
        <f>AND('Planilla_General_07-12-2012_8_3'!G1806,"AAAAAE35c+Q=")</f>
        <v>#VALUE!</v>
      </c>
      <c r="HV120" t="e">
        <f>AND('Planilla_General_07-12-2012_8_3'!H1806,"AAAAAE35c+U=")</f>
        <v>#VALUE!</v>
      </c>
      <c r="HW120" t="e">
        <f>AND('Planilla_General_07-12-2012_8_3'!I1806,"AAAAAE35c+Y=")</f>
        <v>#VALUE!</v>
      </c>
      <c r="HX120" t="e">
        <f>AND('Planilla_General_07-12-2012_8_3'!J1806,"AAAAAE35c+c=")</f>
        <v>#VALUE!</v>
      </c>
      <c r="HY120" t="e">
        <f>AND('Planilla_General_07-12-2012_8_3'!K1806,"AAAAAE35c+g=")</f>
        <v>#VALUE!</v>
      </c>
      <c r="HZ120" t="e">
        <f>AND('Planilla_General_07-12-2012_8_3'!L1806,"AAAAAE35c+k=")</f>
        <v>#VALUE!</v>
      </c>
      <c r="IA120" t="e">
        <f>AND('Planilla_General_07-12-2012_8_3'!M1806,"AAAAAE35c+o=")</f>
        <v>#VALUE!</v>
      </c>
      <c r="IB120" t="e">
        <f>AND('Planilla_General_07-12-2012_8_3'!N1806,"AAAAAE35c+s=")</f>
        <v>#VALUE!</v>
      </c>
      <c r="IC120" t="e">
        <f>AND('Planilla_General_07-12-2012_8_3'!O1806,"AAAAAE35c+w=")</f>
        <v>#VALUE!</v>
      </c>
      <c r="ID120" t="e">
        <f>AND('Planilla_General_07-12-2012_8_3'!P1806,"AAAAAE35c+0=")</f>
        <v>#VALUE!</v>
      </c>
      <c r="IE120">
        <f>IF('Planilla_General_07-12-2012_8_3'!1807:1807,"AAAAAE35c+4=",0)</f>
        <v>0</v>
      </c>
      <c r="IF120" t="e">
        <f>AND('Planilla_General_07-12-2012_8_3'!A1807,"AAAAAE35c+8=")</f>
        <v>#VALUE!</v>
      </c>
      <c r="IG120" t="e">
        <f>AND('Planilla_General_07-12-2012_8_3'!B1807,"AAAAAE35c/A=")</f>
        <v>#VALUE!</v>
      </c>
      <c r="IH120" t="e">
        <f>AND('Planilla_General_07-12-2012_8_3'!C1807,"AAAAAE35c/E=")</f>
        <v>#VALUE!</v>
      </c>
      <c r="II120" t="e">
        <f>AND('Planilla_General_07-12-2012_8_3'!D1807,"AAAAAE35c/I=")</f>
        <v>#VALUE!</v>
      </c>
      <c r="IJ120" t="e">
        <f>AND('Planilla_General_07-12-2012_8_3'!E1807,"AAAAAE35c/M=")</f>
        <v>#VALUE!</v>
      </c>
      <c r="IK120" t="e">
        <f>AND('Planilla_General_07-12-2012_8_3'!F1807,"AAAAAE35c/Q=")</f>
        <v>#VALUE!</v>
      </c>
      <c r="IL120" t="e">
        <f>AND('Planilla_General_07-12-2012_8_3'!G1807,"AAAAAE35c/U=")</f>
        <v>#VALUE!</v>
      </c>
      <c r="IM120" t="e">
        <f>AND('Planilla_General_07-12-2012_8_3'!H1807,"AAAAAE35c/Y=")</f>
        <v>#VALUE!</v>
      </c>
      <c r="IN120" t="e">
        <f>AND('Planilla_General_07-12-2012_8_3'!I1807,"AAAAAE35c/c=")</f>
        <v>#VALUE!</v>
      </c>
      <c r="IO120" t="e">
        <f>AND('Planilla_General_07-12-2012_8_3'!J1807,"AAAAAE35c/g=")</f>
        <v>#VALUE!</v>
      </c>
      <c r="IP120" t="e">
        <f>AND('Planilla_General_07-12-2012_8_3'!K1807,"AAAAAE35c/k=")</f>
        <v>#VALUE!</v>
      </c>
      <c r="IQ120" t="e">
        <f>AND('Planilla_General_07-12-2012_8_3'!L1807,"AAAAAE35c/o=")</f>
        <v>#VALUE!</v>
      </c>
      <c r="IR120" t="e">
        <f>AND('Planilla_General_07-12-2012_8_3'!M1807,"AAAAAE35c/s=")</f>
        <v>#VALUE!</v>
      </c>
      <c r="IS120" t="e">
        <f>AND('Planilla_General_07-12-2012_8_3'!N1807,"AAAAAE35c/w=")</f>
        <v>#VALUE!</v>
      </c>
      <c r="IT120" t="e">
        <f>AND('Planilla_General_07-12-2012_8_3'!O1807,"AAAAAE35c/0=")</f>
        <v>#VALUE!</v>
      </c>
      <c r="IU120" t="e">
        <f>AND('Planilla_General_07-12-2012_8_3'!P1807,"AAAAAE35c/4=")</f>
        <v>#VALUE!</v>
      </c>
      <c r="IV120">
        <f>IF('Planilla_General_07-12-2012_8_3'!1808:1808,"AAAAAE35c/8=",0)</f>
        <v>0</v>
      </c>
    </row>
    <row r="121" spans="1:256" x14ac:dyDescent="0.25">
      <c r="A121" t="e">
        <f>AND('Planilla_General_07-12-2012_8_3'!A1808,"AAAAAGudzwA=")</f>
        <v>#VALUE!</v>
      </c>
      <c r="B121" t="e">
        <f>AND('Planilla_General_07-12-2012_8_3'!B1808,"AAAAAGudzwE=")</f>
        <v>#VALUE!</v>
      </c>
      <c r="C121" t="e">
        <f>AND('Planilla_General_07-12-2012_8_3'!C1808,"AAAAAGudzwI=")</f>
        <v>#VALUE!</v>
      </c>
      <c r="D121" t="e">
        <f>AND('Planilla_General_07-12-2012_8_3'!D1808,"AAAAAGudzwM=")</f>
        <v>#VALUE!</v>
      </c>
      <c r="E121" t="e">
        <f>AND('Planilla_General_07-12-2012_8_3'!E1808,"AAAAAGudzwQ=")</f>
        <v>#VALUE!</v>
      </c>
      <c r="F121" t="e">
        <f>AND('Planilla_General_07-12-2012_8_3'!F1808,"AAAAAGudzwU=")</f>
        <v>#VALUE!</v>
      </c>
      <c r="G121" t="e">
        <f>AND('Planilla_General_07-12-2012_8_3'!G1808,"AAAAAGudzwY=")</f>
        <v>#VALUE!</v>
      </c>
      <c r="H121" t="e">
        <f>AND('Planilla_General_07-12-2012_8_3'!H1808,"AAAAAGudzwc=")</f>
        <v>#VALUE!</v>
      </c>
      <c r="I121" t="e">
        <f>AND('Planilla_General_07-12-2012_8_3'!I1808,"AAAAAGudzwg=")</f>
        <v>#VALUE!</v>
      </c>
      <c r="J121" t="e">
        <f>AND('Planilla_General_07-12-2012_8_3'!J1808,"AAAAAGudzwk=")</f>
        <v>#VALUE!</v>
      </c>
      <c r="K121" t="e">
        <f>AND('Planilla_General_07-12-2012_8_3'!K1808,"AAAAAGudzwo=")</f>
        <v>#VALUE!</v>
      </c>
      <c r="L121" t="e">
        <f>AND('Planilla_General_07-12-2012_8_3'!L1808,"AAAAAGudzws=")</f>
        <v>#VALUE!</v>
      </c>
      <c r="M121" t="e">
        <f>AND('Planilla_General_07-12-2012_8_3'!M1808,"AAAAAGudzww=")</f>
        <v>#VALUE!</v>
      </c>
      <c r="N121" t="e">
        <f>AND('Planilla_General_07-12-2012_8_3'!N1808,"AAAAAGudzw0=")</f>
        <v>#VALUE!</v>
      </c>
      <c r="O121" t="e">
        <f>AND('Planilla_General_07-12-2012_8_3'!O1808,"AAAAAGudzw4=")</f>
        <v>#VALUE!</v>
      </c>
      <c r="P121" t="e">
        <f>AND('Planilla_General_07-12-2012_8_3'!P1808,"AAAAAGudzw8=")</f>
        <v>#VALUE!</v>
      </c>
      <c r="Q121">
        <f>IF('Planilla_General_07-12-2012_8_3'!1809:1809,"AAAAAGudzxA=",0)</f>
        <v>0</v>
      </c>
      <c r="R121" t="e">
        <f>AND('Planilla_General_07-12-2012_8_3'!A1809,"AAAAAGudzxE=")</f>
        <v>#VALUE!</v>
      </c>
      <c r="S121" t="e">
        <f>AND('Planilla_General_07-12-2012_8_3'!B1809,"AAAAAGudzxI=")</f>
        <v>#VALUE!</v>
      </c>
      <c r="T121" t="e">
        <f>AND('Planilla_General_07-12-2012_8_3'!C1809,"AAAAAGudzxM=")</f>
        <v>#VALUE!</v>
      </c>
      <c r="U121" t="e">
        <f>AND('Planilla_General_07-12-2012_8_3'!D1809,"AAAAAGudzxQ=")</f>
        <v>#VALUE!</v>
      </c>
      <c r="V121" t="e">
        <f>AND('Planilla_General_07-12-2012_8_3'!E1809,"AAAAAGudzxU=")</f>
        <v>#VALUE!</v>
      </c>
      <c r="W121" t="e">
        <f>AND('Planilla_General_07-12-2012_8_3'!F1809,"AAAAAGudzxY=")</f>
        <v>#VALUE!</v>
      </c>
      <c r="X121" t="e">
        <f>AND('Planilla_General_07-12-2012_8_3'!G1809,"AAAAAGudzxc=")</f>
        <v>#VALUE!</v>
      </c>
      <c r="Y121" t="e">
        <f>AND('Planilla_General_07-12-2012_8_3'!H1809,"AAAAAGudzxg=")</f>
        <v>#VALUE!</v>
      </c>
      <c r="Z121" t="e">
        <f>AND('Planilla_General_07-12-2012_8_3'!I1809,"AAAAAGudzxk=")</f>
        <v>#VALUE!</v>
      </c>
      <c r="AA121" t="e">
        <f>AND('Planilla_General_07-12-2012_8_3'!J1809,"AAAAAGudzxo=")</f>
        <v>#VALUE!</v>
      </c>
      <c r="AB121" t="e">
        <f>AND('Planilla_General_07-12-2012_8_3'!K1809,"AAAAAGudzxs=")</f>
        <v>#VALUE!</v>
      </c>
      <c r="AC121" t="e">
        <f>AND('Planilla_General_07-12-2012_8_3'!L1809,"AAAAAGudzxw=")</f>
        <v>#VALUE!</v>
      </c>
      <c r="AD121" t="e">
        <f>AND('Planilla_General_07-12-2012_8_3'!M1809,"AAAAAGudzx0=")</f>
        <v>#VALUE!</v>
      </c>
      <c r="AE121" t="e">
        <f>AND('Planilla_General_07-12-2012_8_3'!N1809,"AAAAAGudzx4=")</f>
        <v>#VALUE!</v>
      </c>
      <c r="AF121" t="e">
        <f>AND('Planilla_General_07-12-2012_8_3'!O1809,"AAAAAGudzx8=")</f>
        <v>#VALUE!</v>
      </c>
      <c r="AG121" t="e">
        <f>AND('Planilla_General_07-12-2012_8_3'!P1809,"AAAAAGudzyA=")</f>
        <v>#VALUE!</v>
      </c>
      <c r="AH121">
        <f>IF('Planilla_General_07-12-2012_8_3'!1810:1810,"AAAAAGudzyE=",0)</f>
        <v>0</v>
      </c>
      <c r="AI121" t="e">
        <f>AND('Planilla_General_07-12-2012_8_3'!A1810,"AAAAAGudzyI=")</f>
        <v>#VALUE!</v>
      </c>
      <c r="AJ121" t="e">
        <f>AND('Planilla_General_07-12-2012_8_3'!B1810,"AAAAAGudzyM=")</f>
        <v>#VALUE!</v>
      </c>
      <c r="AK121" t="e">
        <f>AND('Planilla_General_07-12-2012_8_3'!C1810,"AAAAAGudzyQ=")</f>
        <v>#VALUE!</v>
      </c>
      <c r="AL121" t="e">
        <f>AND('Planilla_General_07-12-2012_8_3'!D1810,"AAAAAGudzyU=")</f>
        <v>#VALUE!</v>
      </c>
      <c r="AM121" t="e">
        <f>AND('Planilla_General_07-12-2012_8_3'!E1810,"AAAAAGudzyY=")</f>
        <v>#VALUE!</v>
      </c>
      <c r="AN121" t="e">
        <f>AND('Planilla_General_07-12-2012_8_3'!F1810,"AAAAAGudzyc=")</f>
        <v>#VALUE!</v>
      </c>
      <c r="AO121" t="e">
        <f>AND('Planilla_General_07-12-2012_8_3'!G1810,"AAAAAGudzyg=")</f>
        <v>#VALUE!</v>
      </c>
      <c r="AP121" t="e">
        <f>AND('Planilla_General_07-12-2012_8_3'!H1810,"AAAAAGudzyk=")</f>
        <v>#VALUE!</v>
      </c>
      <c r="AQ121" t="e">
        <f>AND('Planilla_General_07-12-2012_8_3'!I1810,"AAAAAGudzyo=")</f>
        <v>#VALUE!</v>
      </c>
      <c r="AR121" t="e">
        <f>AND('Planilla_General_07-12-2012_8_3'!J1810,"AAAAAGudzys=")</f>
        <v>#VALUE!</v>
      </c>
      <c r="AS121" t="e">
        <f>AND('Planilla_General_07-12-2012_8_3'!K1810,"AAAAAGudzyw=")</f>
        <v>#VALUE!</v>
      </c>
      <c r="AT121" t="e">
        <f>AND('Planilla_General_07-12-2012_8_3'!L1810,"AAAAAGudzy0=")</f>
        <v>#VALUE!</v>
      </c>
      <c r="AU121" t="e">
        <f>AND('Planilla_General_07-12-2012_8_3'!M1810,"AAAAAGudzy4=")</f>
        <v>#VALUE!</v>
      </c>
      <c r="AV121" t="e">
        <f>AND('Planilla_General_07-12-2012_8_3'!N1810,"AAAAAGudzy8=")</f>
        <v>#VALUE!</v>
      </c>
      <c r="AW121" t="e">
        <f>AND('Planilla_General_07-12-2012_8_3'!O1810,"AAAAAGudzzA=")</f>
        <v>#VALUE!</v>
      </c>
      <c r="AX121" t="e">
        <f>AND('Planilla_General_07-12-2012_8_3'!P1810,"AAAAAGudzzE=")</f>
        <v>#VALUE!</v>
      </c>
      <c r="AY121">
        <f>IF('Planilla_General_07-12-2012_8_3'!1811:1811,"AAAAAGudzzI=",0)</f>
        <v>0</v>
      </c>
      <c r="AZ121" t="e">
        <f>AND('Planilla_General_07-12-2012_8_3'!A1811,"AAAAAGudzzM=")</f>
        <v>#VALUE!</v>
      </c>
      <c r="BA121" t="e">
        <f>AND('Planilla_General_07-12-2012_8_3'!B1811,"AAAAAGudzzQ=")</f>
        <v>#VALUE!</v>
      </c>
      <c r="BB121" t="e">
        <f>AND('Planilla_General_07-12-2012_8_3'!C1811,"AAAAAGudzzU=")</f>
        <v>#VALUE!</v>
      </c>
      <c r="BC121" t="e">
        <f>AND('Planilla_General_07-12-2012_8_3'!D1811,"AAAAAGudzzY=")</f>
        <v>#VALUE!</v>
      </c>
      <c r="BD121" t="e">
        <f>AND('Planilla_General_07-12-2012_8_3'!E1811,"AAAAAGudzzc=")</f>
        <v>#VALUE!</v>
      </c>
      <c r="BE121" t="e">
        <f>AND('Planilla_General_07-12-2012_8_3'!F1811,"AAAAAGudzzg=")</f>
        <v>#VALUE!</v>
      </c>
      <c r="BF121" t="e">
        <f>AND('Planilla_General_07-12-2012_8_3'!G1811,"AAAAAGudzzk=")</f>
        <v>#VALUE!</v>
      </c>
      <c r="BG121" t="e">
        <f>AND('Planilla_General_07-12-2012_8_3'!H1811,"AAAAAGudzzo=")</f>
        <v>#VALUE!</v>
      </c>
      <c r="BH121" t="e">
        <f>AND('Planilla_General_07-12-2012_8_3'!I1811,"AAAAAGudzzs=")</f>
        <v>#VALUE!</v>
      </c>
      <c r="BI121" t="e">
        <f>AND('Planilla_General_07-12-2012_8_3'!J1811,"AAAAAGudzzw=")</f>
        <v>#VALUE!</v>
      </c>
      <c r="BJ121" t="e">
        <f>AND('Planilla_General_07-12-2012_8_3'!K1811,"AAAAAGudzz0=")</f>
        <v>#VALUE!</v>
      </c>
      <c r="BK121" t="e">
        <f>AND('Planilla_General_07-12-2012_8_3'!L1811,"AAAAAGudzz4=")</f>
        <v>#VALUE!</v>
      </c>
      <c r="BL121" t="e">
        <f>AND('Planilla_General_07-12-2012_8_3'!M1811,"AAAAAGudzz8=")</f>
        <v>#VALUE!</v>
      </c>
      <c r="BM121" t="e">
        <f>AND('Planilla_General_07-12-2012_8_3'!N1811,"AAAAAGudz0A=")</f>
        <v>#VALUE!</v>
      </c>
      <c r="BN121" t="e">
        <f>AND('Planilla_General_07-12-2012_8_3'!O1811,"AAAAAGudz0E=")</f>
        <v>#VALUE!</v>
      </c>
      <c r="BO121" t="e">
        <f>AND('Planilla_General_07-12-2012_8_3'!P1811,"AAAAAGudz0I=")</f>
        <v>#VALUE!</v>
      </c>
      <c r="BP121">
        <f>IF('Planilla_General_07-12-2012_8_3'!1812:1812,"AAAAAGudz0M=",0)</f>
        <v>0</v>
      </c>
      <c r="BQ121" t="e">
        <f>AND('Planilla_General_07-12-2012_8_3'!A1812,"AAAAAGudz0Q=")</f>
        <v>#VALUE!</v>
      </c>
      <c r="BR121" t="e">
        <f>AND('Planilla_General_07-12-2012_8_3'!B1812,"AAAAAGudz0U=")</f>
        <v>#VALUE!</v>
      </c>
      <c r="BS121" t="e">
        <f>AND('Planilla_General_07-12-2012_8_3'!C1812,"AAAAAGudz0Y=")</f>
        <v>#VALUE!</v>
      </c>
      <c r="BT121" t="e">
        <f>AND('Planilla_General_07-12-2012_8_3'!D1812,"AAAAAGudz0c=")</f>
        <v>#VALUE!</v>
      </c>
      <c r="BU121" t="e">
        <f>AND('Planilla_General_07-12-2012_8_3'!E1812,"AAAAAGudz0g=")</f>
        <v>#VALUE!</v>
      </c>
      <c r="BV121" t="e">
        <f>AND('Planilla_General_07-12-2012_8_3'!F1812,"AAAAAGudz0k=")</f>
        <v>#VALUE!</v>
      </c>
      <c r="BW121" t="e">
        <f>AND('Planilla_General_07-12-2012_8_3'!G1812,"AAAAAGudz0o=")</f>
        <v>#VALUE!</v>
      </c>
      <c r="BX121" t="e">
        <f>AND('Planilla_General_07-12-2012_8_3'!H1812,"AAAAAGudz0s=")</f>
        <v>#VALUE!</v>
      </c>
      <c r="BY121" t="e">
        <f>AND('Planilla_General_07-12-2012_8_3'!I1812,"AAAAAGudz0w=")</f>
        <v>#VALUE!</v>
      </c>
      <c r="BZ121" t="e">
        <f>AND('Planilla_General_07-12-2012_8_3'!J1812,"AAAAAGudz00=")</f>
        <v>#VALUE!</v>
      </c>
      <c r="CA121" t="e">
        <f>AND('Planilla_General_07-12-2012_8_3'!K1812,"AAAAAGudz04=")</f>
        <v>#VALUE!</v>
      </c>
      <c r="CB121" t="e">
        <f>AND('Planilla_General_07-12-2012_8_3'!L1812,"AAAAAGudz08=")</f>
        <v>#VALUE!</v>
      </c>
      <c r="CC121" t="e">
        <f>AND('Planilla_General_07-12-2012_8_3'!M1812,"AAAAAGudz1A=")</f>
        <v>#VALUE!</v>
      </c>
      <c r="CD121" t="e">
        <f>AND('Planilla_General_07-12-2012_8_3'!N1812,"AAAAAGudz1E=")</f>
        <v>#VALUE!</v>
      </c>
      <c r="CE121" t="e">
        <f>AND('Planilla_General_07-12-2012_8_3'!O1812,"AAAAAGudz1I=")</f>
        <v>#VALUE!</v>
      </c>
      <c r="CF121" t="e">
        <f>AND('Planilla_General_07-12-2012_8_3'!P1812,"AAAAAGudz1M=")</f>
        <v>#VALUE!</v>
      </c>
      <c r="CG121">
        <f>IF('Planilla_General_07-12-2012_8_3'!1813:1813,"AAAAAGudz1Q=",0)</f>
        <v>0</v>
      </c>
      <c r="CH121" t="e">
        <f>AND('Planilla_General_07-12-2012_8_3'!A1813,"AAAAAGudz1U=")</f>
        <v>#VALUE!</v>
      </c>
      <c r="CI121" t="e">
        <f>AND('Planilla_General_07-12-2012_8_3'!B1813,"AAAAAGudz1Y=")</f>
        <v>#VALUE!</v>
      </c>
      <c r="CJ121" t="e">
        <f>AND('Planilla_General_07-12-2012_8_3'!C1813,"AAAAAGudz1c=")</f>
        <v>#VALUE!</v>
      </c>
      <c r="CK121" t="e">
        <f>AND('Planilla_General_07-12-2012_8_3'!D1813,"AAAAAGudz1g=")</f>
        <v>#VALUE!</v>
      </c>
      <c r="CL121" t="e">
        <f>AND('Planilla_General_07-12-2012_8_3'!E1813,"AAAAAGudz1k=")</f>
        <v>#VALUE!</v>
      </c>
      <c r="CM121" t="e">
        <f>AND('Planilla_General_07-12-2012_8_3'!F1813,"AAAAAGudz1o=")</f>
        <v>#VALUE!</v>
      </c>
      <c r="CN121" t="e">
        <f>AND('Planilla_General_07-12-2012_8_3'!G1813,"AAAAAGudz1s=")</f>
        <v>#VALUE!</v>
      </c>
      <c r="CO121" t="e">
        <f>AND('Planilla_General_07-12-2012_8_3'!H1813,"AAAAAGudz1w=")</f>
        <v>#VALUE!</v>
      </c>
      <c r="CP121" t="e">
        <f>AND('Planilla_General_07-12-2012_8_3'!I1813,"AAAAAGudz10=")</f>
        <v>#VALUE!</v>
      </c>
      <c r="CQ121" t="e">
        <f>AND('Planilla_General_07-12-2012_8_3'!J1813,"AAAAAGudz14=")</f>
        <v>#VALUE!</v>
      </c>
      <c r="CR121" t="e">
        <f>AND('Planilla_General_07-12-2012_8_3'!K1813,"AAAAAGudz18=")</f>
        <v>#VALUE!</v>
      </c>
      <c r="CS121" t="e">
        <f>AND('Planilla_General_07-12-2012_8_3'!L1813,"AAAAAGudz2A=")</f>
        <v>#VALUE!</v>
      </c>
      <c r="CT121" t="e">
        <f>AND('Planilla_General_07-12-2012_8_3'!M1813,"AAAAAGudz2E=")</f>
        <v>#VALUE!</v>
      </c>
      <c r="CU121" t="e">
        <f>AND('Planilla_General_07-12-2012_8_3'!N1813,"AAAAAGudz2I=")</f>
        <v>#VALUE!</v>
      </c>
      <c r="CV121" t="e">
        <f>AND('Planilla_General_07-12-2012_8_3'!O1813,"AAAAAGudz2M=")</f>
        <v>#VALUE!</v>
      </c>
      <c r="CW121" t="e">
        <f>AND('Planilla_General_07-12-2012_8_3'!P1813,"AAAAAGudz2Q=")</f>
        <v>#VALUE!</v>
      </c>
      <c r="CX121">
        <f>IF('Planilla_General_07-12-2012_8_3'!1814:1814,"AAAAAGudz2U=",0)</f>
        <v>0</v>
      </c>
      <c r="CY121" t="e">
        <f>AND('Planilla_General_07-12-2012_8_3'!A1814,"AAAAAGudz2Y=")</f>
        <v>#VALUE!</v>
      </c>
      <c r="CZ121" t="e">
        <f>AND('Planilla_General_07-12-2012_8_3'!B1814,"AAAAAGudz2c=")</f>
        <v>#VALUE!</v>
      </c>
      <c r="DA121" t="e">
        <f>AND('Planilla_General_07-12-2012_8_3'!C1814,"AAAAAGudz2g=")</f>
        <v>#VALUE!</v>
      </c>
      <c r="DB121" t="e">
        <f>AND('Planilla_General_07-12-2012_8_3'!D1814,"AAAAAGudz2k=")</f>
        <v>#VALUE!</v>
      </c>
      <c r="DC121" t="e">
        <f>AND('Planilla_General_07-12-2012_8_3'!E1814,"AAAAAGudz2o=")</f>
        <v>#VALUE!</v>
      </c>
      <c r="DD121" t="e">
        <f>AND('Planilla_General_07-12-2012_8_3'!F1814,"AAAAAGudz2s=")</f>
        <v>#VALUE!</v>
      </c>
      <c r="DE121" t="e">
        <f>AND('Planilla_General_07-12-2012_8_3'!G1814,"AAAAAGudz2w=")</f>
        <v>#VALUE!</v>
      </c>
      <c r="DF121" t="e">
        <f>AND('Planilla_General_07-12-2012_8_3'!H1814,"AAAAAGudz20=")</f>
        <v>#VALUE!</v>
      </c>
      <c r="DG121" t="e">
        <f>AND('Planilla_General_07-12-2012_8_3'!I1814,"AAAAAGudz24=")</f>
        <v>#VALUE!</v>
      </c>
      <c r="DH121" t="e">
        <f>AND('Planilla_General_07-12-2012_8_3'!J1814,"AAAAAGudz28=")</f>
        <v>#VALUE!</v>
      </c>
      <c r="DI121" t="e">
        <f>AND('Planilla_General_07-12-2012_8_3'!K1814,"AAAAAGudz3A=")</f>
        <v>#VALUE!</v>
      </c>
      <c r="DJ121" t="e">
        <f>AND('Planilla_General_07-12-2012_8_3'!L1814,"AAAAAGudz3E=")</f>
        <v>#VALUE!</v>
      </c>
      <c r="DK121" t="e">
        <f>AND('Planilla_General_07-12-2012_8_3'!M1814,"AAAAAGudz3I=")</f>
        <v>#VALUE!</v>
      </c>
      <c r="DL121" t="e">
        <f>AND('Planilla_General_07-12-2012_8_3'!N1814,"AAAAAGudz3M=")</f>
        <v>#VALUE!</v>
      </c>
      <c r="DM121" t="e">
        <f>AND('Planilla_General_07-12-2012_8_3'!O1814,"AAAAAGudz3Q=")</f>
        <v>#VALUE!</v>
      </c>
      <c r="DN121" t="e">
        <f>AND('Planilla_General_07-12-2012_8_3'!P1814,"AAAAAGudz3U=")</f>
        <v>#VALUE!</v>
      </c>
      <c r="DO121">
        <f>IF('Planilla_General_07-12-2012_8_3'!1815:1815,"AAAAAGudz3Y=",0)</f>
        <v>0</v>
      </c>
      <c r="DP121" t="e">
        <f>AND('Planilla_General_07-12-2012_8_3'!A1815,"AAAAAGudz3c=")</f>
        <v>#VALUE!</v>
      </c>
      <c r="DQ121" t="e">
        <f>AND('Planilla_General_07-12-2012_8_3'!B1815,"AAAAAGudz3g=")</f>
        <v>#VALUE!</v>
      </c>
      <c r="DR121" t="e">
        <f>AND('Planilla_General_07-12-2012_8_3'!C1815,"AAAAAGudz3k=")</f>
        <v>#VALUE!</v>
      </c>
      <c r="DS121" t="e">
        <f>AND('Planilla_General_07-12-2012_8_3'!D1815,"AAAAAGudz3o=")</f>
        <v>#VALUE!</v>
      </c>
      <c r="DT121" t="e">
        <f>AND('Planilla_General_07-12-2012_8_3'!E1815,"AAAAAGudz3s=")</f>
        <v>#VALUE!</v>
      </c>
      <c r="DU121" t="e">
        <f>AND('Planilla_General_07-12-2012_8_3'!F1815,"AAAAAGudz3w=")</f>
        <v>#VALUE!</v>
      </c>
      <c r="DV121" t="e">
        <f>AND('Planilla_General_07-12-2012_8_3'!G1815,"AAAAAGudz30=")</f>
        <v>#VALUE!</v>
      </c>
      <c r="DW121" t="e">
        <f>AND('Planilla_General_07-12-2012_8_3'!H1815,"AAAAAGudz34=")</f>
        <v>#VALUE!</v>
      </c>
      <c r="DX121" t="e">
        <f>AND('Planilla_General_07-12-2012_8_3'!I1815,"AAAAAGudz38=")</f>
        <v>#VALUE!</v>
      </c>
      <c r="DY121" t="e">
        <f>AND('Planilla_General_07-12-2012_8_3'!J1815,"AAAAAGudz4A=")</f>
        <v>#VALUE!</v>
      </c>
      <c r="DZ121" t="e">
        <f>AND('Planilla_General_07-12-2012_8_3'!K1815,"AAAAAGudz4E=")</f>
        <v>#VALUE!</v>
      </c>
      <c r="EA121" t="e">
        <f>AND('Planilla_General_07-12-2012_8_3'!L1815,"AAAAAGudz4I=")</f>
        <v>#VALUE!</v>
      </c>
      <c r="EB121" t="e">
        <f>AND('Planilla_General_07-12-2012_8_3'!M1815,"AAAAAGudz4M=")</f>
        <v>#VALUE!</v>
      </c>
      <c r="EC121" t="e">
        <f>AND('Planilla_General_07-12-2012_8_3'!N1815,"AAAAAGudz4Q=")</f>
        <v>#VALUE!</v>
      </c>
      <c r="ED121" t="e">
        <f>AND('Planilla_General_07-12-2012_8_3'!O1815,"AAAAAGudz4U=")</f>
        <v>#VALUE!</v>
      </c>
      <c r="EE121" t="e">
        <f>AND('Planilla_General_07-12-2012_8_3'!P1815,"AAAAAGudz4Y=")</f>
        <v>#VALUE!</v>
      </c>
      <c r="EF121">
        <f>IF('Planilla_General_07-12-2012_8_3'!1816:1816,"AAAAAGudz4c=",0)</f>
        <v>0</v>
      </c>
      <c r="EG121" t="e">
        <f>AND('Planilla_General_07-12-2012_8_3'!A1816,"AAAAAGudz4g=")</f>
        <v>#VALUE!</v>
      </c>
      <c r="EH121" t="e">
        <f>AND('Planilla_General_07-12-2012_8_3'!B1816,"AAAAAGudz4k=")</f>
        <v>#VALUE!</v>
      </c>
      <c r="EI121" t="e">
        <f>AND('Planilla_General_07-12-2012_8_3'!C1816,"AAAAAGudz4o=")</f>
        <v>#VALUE!</v>
      </c>
      <c r="EJ121" t="e">
        <f>AND('Planilla_General_07-12-2012_8_3'!D1816,"AAAAAGudz4s=")</f>
        <v>#VALUE!</v>
      </c>
      <c r="EK121" t="e">
        <f>AND('Planilla_General_07-12-2012_8_3'!E1816,"AAAAAGudz4w=")</f>
        <v>#VALUE!</v>
      </c>
      <c r="EL121" t="e">
        <f>AND('Planilla_General_07-12-2012_8_3'!F1816,"AAAAAGudz40=")</f>
        <v>#VALUE!</v>
      </c>
      <c r="EM121" t="e">
        <f>AND('Planilla_General_07-12-2012_8_3'!G1816,"AAAAAGudz44=")</f>
        <v>#VALUE!</v>
      </c>
      <c r="EN121" t="e">
        <f>AND('Planilla_General_07-12-2012_8_3'!H1816,"AAAAAGudz48=")</f>
        <v>#VALUE!</v>
      </c>
      <c r="EO121" t="e">
        <f>AND('Planilla_General_07-12-2012_8_3'!I1816,"AAAAAGudz5A=")</f>
        <v>#VALUE!</v>
      </c>
      <c r="EP121" t="e">
        <f>AND('Planilla_General_07-12-2012_8_3'!J1816,"AAAAAGudz5E=")</f>
        <v>#VALUE!</v>
      </c>
      <c r="EQ121" t="e">
        <f>AND('Planilla_General_07-12-2012_8_3'!K1816,"AAAAAGudz5I=")</f>
        <v>#VALUE!</v>
      </c>
      <c r="ER121" t="e">
        <f>AND('Planilla_General_07-12-2012_8_3'!L1816,"AAAAAGudz5M=")</f>
        <v>#VALUE!</v>
      </c>
      <c r="ES121" t="e">
        <f>AND('Planilla_General_07-12-2012_8_3'!M1816,"AAAAAGudz5Q=")</f>
        <v>#VALUE!</v>
      </c>
      <c r="ET121" t="e">
        <f>AND('Planilla_General_07-12-2012_8_3'!N1816,"AAAAAGudz5U=")</f>
        <v>#VALUE!</v>
      </c>
      <c r="EU121" t="e">
        <f>AND('Planilla_General_07-12-2012_8_3'!O1816,"AAAAAGudz5Y=")</f>
        <v>#VALUE!</v>
      </c>
      <c r="EV121" t="e">
        <f>AND('Planilla_General_07-12-2012_8_3'!P1816,"AAAAAGudz5c=")</f>
        <v>#VALUE!</v>
      </c>
      <c r="EW121">
        <f>IF('Planilla_General_07-12-2012_8_3'!1817:1817,"AAAAAGudz5g=",0)</f>
        <v>0</v>
      </c>
      <c r="EX121" t="e">
        <f>AND('Planilla_General_07-12-2012_8_3'!A1817,"AAAAAGudz5k=")</f>
        <v>#VALUE!</v>
      </c>
      <c r="EY121" t="e">
        <f>AND('Planilla_General_07-12-2012_8_3'!B1817,"AAAAAGudz5o=")</f>
        <v>#VALUE!</v>
      </c>
      <c r="EZ121" t="e">
        <f>AND('Planilla_General_07-12-2012_8_3'!C1817,"AAAAAGudz5s=")</f>
        <v>#VALUE!</v>
      </c>
      <c r="FA121" t="e">
        <f>AND('Planilla_General_07-12-2012_8_3'!D1817,"AAAAAGudz5w=")</f>
        <v>#VALUE!</v>
      </c>
      <c r="FB121" t="e">
        <f>AND('Planilla_General_07-12-2012_8_3'!E1817,"AAAAAGudz50=")</f>
        <v>#VALUE!</v>
      </c>
      <c r="FC121" t="e">
        <f>AND('Planilla_General_07-12-2012_8_3'!F1817,"AAAAAGudz54=")</f>
        <v>#VALUE!</v>
      </c>
      <c r="FD121" t="e">
        <f>AND('Planilla_General_07-12-2012_8_3'!G1817,"AAAAAGudz58=")</f>
        <v>#VALUE!</v>
      </c>
      <c r="FE121" t="e">
        <f>AND('Planilla_General_07-12-2012_8_3'!H1817,"AAAAAGudz6A=")</f>
        <v>#VALUE!</v>
      </c>
      <c r="FF121" t="e">
        <f>AND('Planilla_General_07-12-2012_8_3'!I1817,"AAAAAGudz6E=")</f>
        <v>#VALUE!</v>
      </c>
      <c r="FG121" t="e">
        <f>AND('Planilla_General_07-12-2012_8_3'!J1817,"AAAAAGudz6I=")</f>
        <v>#VALUE!</v>
      </c>
      <c r="FH121" t="e">
        <f>AND('Planilla_General_07-12-2012_8_3'!K1817,"AAAAAGudz6M=")</f>
        <v>#VALUE!</v>
      </c>
      <c r="FI121" t="e">
        <f>AND('Planilla_General_07-12-2012_8_3'!L1817,"AAAAAGudz6Q=")</f>
        <v>#VALUE!</v>
      </c>
      <c r="FJ121" t="e">
        <f>AND('Planilla_General_07-12-2012_8_3'!M1817,"AAAAAGudz6U=")</f>
        <v>#VALUE!</v>
      </c>
      <c r="FK121" t="e">
        <f>AND('Planilla_General_07-12-2012_8_3'!N1817,"AAAAAGudz6Y=")</f>
        <v>#VALUE!</v>
      </c>
      <c r="FL121" t="e">
        <f>AND('Planilla_General_07-12-2012_8_3'!O1817,"AAAAAGudz6c=")</f>
        <v>#VALUE!</v>
      </c>
      <c r="FM121" t="e">
        <f>AND('Planilla_General_07-12-2012_8_3'!P1817,"AAAAAGudz6g=")</f>
        <v>#VALUE!</v>
      </c>
      <c r="FN121">
        <f>IF('Planilla_General_07-12-2012_8_3'!1818:1818,"AAAAAGudz6k=",0)</f>
        <v>0</v>
      </c>
      <c r="FO121" t="e">
        <f>AND('Planilla_General_07-12-2012_8_3'!A1818,"AAAAAGudz6o=")</f>
        <v>#VALUE!</v>
      </c>
      <c r="FP121" t="e">
        <f>AND('Planilla_General_07-12-2012_8_3'!B1818,"AAAAAGudz6s=")</f>
        <v>#VALUE!</v>
      </c>
      <c r="FQ121" t="e">
        <f>AND('Planilla_General_07-12-2012_8_3'!C1818,"AAAAAGudz6w=")</f>
        <v>#VALUE!</v>
      </c>
      <c r="FR121" t="e">
        <f>AND('Planilla_General_07-12-2012_8_3'!D1818,"AAAAAGudz60=")</f>
        <v>#VALUE!</v>
      </c>
      <c r="FS121" t="e">
        <f>AND('Planilla_General_07-12-2012_8_3'!E1818,"AAAAAGudz64=")</f>
        <v>#VALUE!</v>
      </c>
      <c r="FT121" t="e">
        <f>AND('Planilla_General_07-12-2012_8_3'!F1818,"AAAAAGudz68=")</f>
        <v>#VALUE!</v>
      </c>
      <c r="FU121" t="e">
        <f>AND('Planilla_General_07-12-2012_8_3'!G1818,"AAAAAGudz7A=")</f>
        <v>#VALUE!</v>
      </c>
      <c r="FV121" t="e">
        <f>AND('Planilla_General_07-12-2012_8_3'!H1818,"AAAAAGudz7E=")</f>
        <v>#VALUE!</v>
      </c>
      <c r="FW121" t="e">
        <f>AND('Planilla_General_07-12-2012_8_3'!I1818,"AAAAAGudz7I=")</f>
        <v>#VALUE!</v>
      </c>
      <c r="FX121" t="e">
        <f>AND('Planilla_General_07-12-2012_8_3'!J1818,"AAAAAGudz7M=")</f>
        <v>#VALUE!</v>
      </c>
      <c r="FY121" t="e">
        <f>AND('Planilla_General_07-12-2012_8_3'!K1818,"AAAAAGudz7Q=")</f>
        <v>#VALUE!</v>
      </c>
      <c r="FZ121" t="e">
        <f>AND('Planilla_General_07-12-2012_8_3'!L1818,"AAAAAGudz7U=")</f>
        <v>#VALUE!</v>
      </c>
      <c r="GA121" t="e">
        <f>AND('Planilla_General_07-12-2012_8_3'!M1818,"AAAAAGudz7Y=")</f>
        <v>#VALUE!</v>
      </c>
      <c r="GB121" t="e">
        <f>AND('Planilla_General_07-12-2012_8_3'!N1818,"AAAAAGudz7c=")</f>
        <v>#VALUE!</v>
      </c>
      <c r="GC121" t="e">
        <f>AND('Planilla_General_07-12-2012_8_3'!O1818,"AAAAAGudz7g=")</f>
        <v>#VALUE!</v>
      </c>
      <c r="GD121" t="e">
        <f>AND('Planilla_General_07-12-2012_8_3'!P1818,"AAAAAGudz7k=")</f>
        <v>#VALUE!</v>
      </c>
      <c r="GE121">
        <f>IF('Planilla_General_07-12-2012_8_3'!1819:1819,"AAAAAGudz7o=",0)</f>
        <v>0</v>
      </c>
      <c r="GF121" t="e">
        <f>AND('Planilla_General_07-12-2012_8_3'!A1819,"AAAAAGudz7s=")</f>
        <v>#VALUE!</v>
      </c>
      <c r="GG121" t="e">
        <f>AND('Planilla_General_07-12-2012_8_3'!B1819,"AAAAAGudz7w=")</f>
        <v>#VALUE!</v>
      </c>
      <c r="GH121" t="e">
        <f>AND('Planilla_General_07-12-2012_8_3'!C1819,"AAAAAGudz70=")</f>
        <v>#VALUE!</v>
      </c>
      <c r="GI121" t="e">
        <f>AND('Planilla_General_07-12-2012_8_3'!D1819,"AAAAAGudz74=")</f>
        <v>#VALUE!</v>
      </c>
      <c r="GJ121" t="e">
        <f>AND('Planilla_General_07-12-2012_8_3'!E1819,"AAAAAGudz78=")</f>
        <v>#VALUE!</v>
      </c>
      <c r="GK121" t="e">
        <f>AND('Planilla_General_07-12-2012_8_3'!F1819,"AAAAAGudz8A=")</f>
        <v>#VALUE!</v>
      </c>
      <c r="GL121" t="e">
        <f>AND('Planilla_General_07-12-2012_8_3'!G1819,"AAAAAGudz8E=")</f>
        <v>#VALUE!</v>
      </c>
      <c r="GM121" t="e">
        <f>AND('Planilla_General_07-12-2012_8_3'!H1819,"AAAAAGudz8I=")</f>
        <v>#VALUE!</v>
      </c>
      <c r="GN121" t="e">
        <f>AND('Planilla_General_07-12-2012_8_3'!I1819,"AAAAAGudz8M=")</f>
        <v>#VALUE!</v>
      </c>
      <c r="GO121" t="e">
        <f>AND('Planilla_General_07-12-2012_8_3'!J1819,"AAAAAGudz8Q=")</f>
        <v>#VALUE!</v>
      </c>
      <c r="GP121" t="e">
        <f>AND('Planilla_General_07-12-2012_8_3'!K1819,"AAAAAGudz8U=")</f>
        <v>#VALUE!</v>
      </c>
      <c r="GQ121" t="e">
        <f>AND('Planilla_General_07-12-2012_8_3'!L1819,"AAAAAGudz8Y=")</f>
        <v>#VALUE!</v>
      </c>
      <c r="GR121" t="e">
        <f>AND('Planilla_General_07-12-2012_8_3'!M1819,"AAAAAGudz8c=")</f>
        <v>#VALUE!</v>
      </c>
      <c r="GS121" t="e">
        <f>AND('Planilla_General_07-12-2012_8_3'!N1819,"AAAAAGudz8g=")</f>
        <v>#VALUE!</v>
      </c>
      <c r="GT121" t="e">
        <f>AND('Planilla_General_07-12-2012_8_3'!O1819,"AAAAAGudz8k=")</f>
        <v>#VALUE!</v>
      </c>
      <c r="GU121" t="e">
        <f>AND('Planilla_General_07-12-2012_8_3'!P1819,"AAAAAGudz8o=")</f>
        <v>#VALUE!</v>
      </c>
      <c r="GV121">
        <f>IF('Planilla_General_07-12-2012_8_3'!1820:1820,"AAAAAGudz8s=",0)</f>
        <v>0</v>
      </c>
      <c r="GW121" t="e">
        <f>AND('Planilla_General_07-12-2012_8_3'!A1820,"AAAAAGudz8w=")</f>
        <v>#VALUE!</v>
      </c>
      <c r="GX121" t="e">
        <f>AND('Planilla_General_07-12-2012_8_3'!B1820,"AAAAAGudz80=")</f>
        <v>#VALUE!</v>
      </c>
      <c r="GY121" t="e">
        <f>AND('Planilla_General_07-12-2012_8_3'!C1820,"AAAAAGudz84=")</f>
        <v>#VALUE!</v>
      </c>
      <c r="GZ121" t="e">
        <f>AND('Planilla_General_07-12-2012_8_3'!D1820,"AAAAAGudz88=")</f>
        <v>#VALUE!</v>
      </c>
      <c r="HA121" t="e">
        <f>AND('Planilla_General_07-12-2012_8_3'!E1820,"AAAAAGudz9A=")</f>
        <v>#VALUE!</v>
      </c>
      <c r="HB121" t="e">
        <f>AND('Planilla_General_07-12-2012_8_3'!F1820,"AAAAAGudz9E=")</f>
        <v>#VALUE!</v>
      </c>
      <c r="HC121" t="e">
        <f>AND('Planilla_General_07-12-2012_8_3'!G1820,"AAAAAGudz9I=")</f>
        <v>#VALUE!</v>
      </c>
      <c r="HD121" t="e">
        <f>AND('Planilla_General_07-12-2012_8_3'!H1820,"AAAAAGudz9M=")</f>
        <v>#VALUE!</v>
      </c>
      <c r="HE121" t="e">
        <f>AND('Planilla_General_07-12-2012_8_3'!I1820,"AAAAAGudz9Q=")</f>
        <v>#VALUE!</v>
      </c>
      <c r="HF121" t="e">
        <f>AND('Planilla_General_07-12-2012_8_3'!J1820,"AAAAAGudz9U=")</f>
        <v>#VALUE!</v>
      </c>
      <c r="HG121" t="e">
        <f>AND('Planilla_General_07-12-2012_8_3'!K1820,"AAAAAGudz9Y=")</f>
        <v>#VALUE!</v>
      </c>
      <c r="HH121" t="e">
        <f>AND('Planilla_General_07-12-2012_8_3'!L1820,"AAAAAGudz9c=")</f>
        <v>#VALUE!</v>
      </c>
      <c r="HI121" t="e">
        <f>AND('Planilla_General_07-12-2012_8_3'!M1820,"AAAAAGudz9g=")</f>
        <v>#VALUE!</v>
      </c>
      <c r="HJ121" t="e">
        <f>AND('Planilla_General_07-12-2012_8_3'!N1820,"AAAAAGudz9k=")</f>
        <v>#VALUE!</v>
      </c>
      <c r="HK121" t="e">
        <f>AND('Planilla_General_07-12-2012_8_3'!O1820,"AAAAAGudz9o=")</f>
        <v>#VALUE!</v>
      </c>
      <c r="HL121" t="e">
        <f>AND('Planilla_General_07-12-2012_8_3'!P1820,"AAAAAGudz9s=")</f>
        <v>#VALUE!</v>
      </c>
      <c r="HM121">
        <f>IF('Planilla_General_07-12-2012_8_3'!1821:1821,"AAAAAGudz9w=",0)</f>
        <v>0</v>
      </c>
      <c r="HN121" t="e">
        <f>AND('Planilla_General_07-12-2012_8_3'!A1821,"AAAAAGudz90=")</f>
        <v>#VALUE!</v>
      </c>
      <c r="HO121" t="e">
        <f>AND('Planilla_General_07-12-2012_8_3'!B1821,"AAAAAGudz94=")</f>
        <v>#VALUE!</v>
      </c>
      <c r="HP121" t="e">
        <f>AND('Planilla_General_07-12-2012_8_3'!C1821,"AAAAAGudz98=")</f>
        <v>#VALUE!</v>
      </c>
      <c r="HQ121" t="e">
        <f>AND('Planilla_General_07-12-2012_8_3'!D1821,"AAAAAGudz+A=")</f>
        <v>#VALUE!</v>
      </c>
      <c r="HR121" t="e">
        <f>AND('Planilla_General_07-12-2012_8_3'!E1821,"AAAAAGudz+E=")</f>
        <v>#VALUE!</v>
      </c>
      <c r="HS121" t="e">
        <f>AND('Planilla_General_07-12-2012_8_3'!F1821,"AAAAAGudz+I=")</f>
        <v>#VALUE!</v>
      </c>
      <c r="HT121" t="e">
        <f>AND('Planilla_General_07-12-2012_8_3'!G1821,"AAAAAGudz+M=")</f>
        <v>#VALUE!</v>
      </c>
      <c r="HU121" t="e">
        <f>AND('Planilla_General_07-12-2012_8_3'!H1821,"AAAAAGudz+Q=")</f>
        <v>#VALUE!</v>
      </c>
      <c r="HV121" t="e">
        <f>AND('Planilla_General_07-12-2012_8_3'!I1821,"AAAAAGudz+U=")</f>
        <v>#VALUE!</v>
      </c>
      <c r="HW121" t="e">
        <f>AND('Planilla_General_07-12-2012_8_3'!J1821,"AAAAAGudz+Y=")</f>
        <v>#VALUE!</v>
      </c>
      <c r="HX121" t="e">
        <f>AND('Planilla_General_07-12-2012_8_3'!K1821,"AAAAAGudz+c=")</f>
        <v>#VALUE!</v>
      </c>
      <c r="HY121" t="e">
        <f>AND('Planilla_General_07-12-2012_8_3'!L1821,"AAAAAGudz+g=")</f>
        <v>#VALUE!</v>
      </c>
      <c r="HZ121" t="e">
        <f>AND('Planilla_General_07-12-2012_8_3'!M1821,"AAAAAGudz+k=")</f>
        <v>#VALUE!</v>
      </c>
      <c r="IA121" t="e">
        <f>AND('Planilla_General_07-12-2012_8_3'!N1821,"AAAAAGudz+o=")</f>
        <v>#VALUE!</v>
      </c>
      <c r="IB121" t="e">
        <f>AND('Planilla_General_07-12-2012_8_3'!O1821,"AAAAAGudz+s=")</f>
        <v>#VALUE!</v>
      </c>
      <c r="IC121" t="e">
        <f>AND('Planilla_General_07-12-2012_8_3'!P1821,"AAAAAGudz+w=")</f>
        <v>#VALUE!</v>
      </c>
      <c r="ID121">
        <f>IF('Planilla_General_07-12-2012_8_3'!1822:1822,"AAAAAGudz+0=",0)</f>
        <v>0</v>
      </c>
      <c r="IE121" t="e">
        <f>AND('Planilla_General_07-12-2012_8_3'!A1822,"AAAAAGudz+4=")</f>
        <v>#VALUE!</v>
      </c>
      <c r="IF121" t="e">
        <f>AND('Planilla_General_07-12-2012_8_3'!B1822,"AAAAAGudz+8=")</f>
        <v>#VALUE!</v>
      </c>
      <c r="IG121" t="e">
        <f>AND('Planilla_General_07-12-2012_8_3'!C1822,"AAAAAGudz/A=")</f>
        <v>#VALUE!</v>
      </c>
      <c r="IH121" t="e">
        <f>AND('Planilla_General_07-12-2012_8_3'!D1822,"AAAAAGudz/E=")</f>
        <v>#VALUE!</v>
      </c>
      <c r="II121" t="e">
        <f>AND('Planilla_General_07-12-2012_8_3'!E1822,"AAAAAGudz/I=")</f>
        <v>#VALUE!</v>
      </c>
      <c r="IJ121" t="e">
        <f>AND('Planilla_General_07-12-2012_8_3'!F1822,"AAAAAGudz/M=")</f>
        <v>#VALUE!</v>
      </c>
      <c r="IK121" t="e">
        <f>AND('Planilla_General_07-12-2012_8_3'!G1822,"AAAAAGudz/Q=")</f>
        <v>#VALUE!</v>
      </c>
      <c r="IL121" t="e">
        <f>AND('Planilla_General_07-12-2012_8_3'!H1822,"AAAAAGudz/U=")</f>
        <v>#VALUE!</v>
      </c>
      <c r="IM121" t="e">
        <f>AND('Planilla_General_07-12-2012_8_3'!I1822,"AAAAAGudz/Y=")</f>
        <v>#VALUE!</v>
      </c>
      <c r="IN121" t="e">
        <f>AND('Planilla_General_07-12-2012_8_3'!J1822,"AAAAAGudz/c=")</f>
        <v>#VALUE!</v>
      </c>
      <c r="IO121" t="e">
        <f>AND('Planilla_General_07-12-2012_8_3'!K1822,"AAAAAGudz/g=")</f>
        <v>#VALUE!</v>
      </c>
      <c r="IP121" t="e">
        <f>AND('Planilla_General_07-12-2012_8_3'!L1822,"AAAAAGudz/k=")</f>
        <v>#VALUE!</v>
      </c>
      <c r="IQ121" t="e">
        <f>AND('Planilla_General_07-12-2012_8_3'!M1822,"AAAAAGudz/o=")</f>
        <v>#VALUE!</v>
      </c>
      <c r="IR121" t="e">
        <f>AND('Planilla_General_07-12-2012_8_3'!N1822,"AAAAAGudz/s=")</f>
        <v>#VALUE!</v>
      </c>
      <c r="IS121" t="e">
        <f>AND('Planilla_General_07-12-2012_8_3'!O1822,"AAAAAGudz/w=")</f>
        <v>#VALUE!</v>
      </c>
      <c r="IT121" t="e">
        <f>AND('Planilla_General_07-12-2012_8_3'!P1822,"AAAAAGudz/0=")</f>
        <v>#VALUE!</v>
      </c>
      <c r="IU121">
        <f>IF('Planilla_General_07-12-2012_8_3'!1823:1823,"AAAAAGudz/4=",0)</f>
        <v>0</v>
      </c>
      <c r="IV121" t="e">
        <f>AND('Planilla_General_07-12-2012_8_3'!A1823,"AAAAAGudz/8=")</f>
        <v>#VALUE!</v>
      </c>
    </row>
    <row r="122" spans="1:256" x14ac:dyDescent="0.25">
      <c r="A122" t="e">
        <f>AND('Planilla_General_07-12-2012_8_3'!B1823,"AAAAAHZ+/wA=")</f>
        <v>#VALUE!</v>
      </c>
      <c r="B122" t="e">
        <f>AND('Planilla_General_07-12-2012_8_3'!C1823,"AAAAAHZ+/wE=")</f>
        <v>#VALUE!</v>
      </c>
      <c r="C122" t="e">
        <f>AND('Planilla_General_07-12-2012_8_3'!D1823,"AAAAAHZ+/wI=")</f>
        <v>#VALUE!</v>
      </c>
      <c r="D122" t="e">
        <f>AND('Planilla_General_07-12-2012_8_3'!E1823,"AAAAAHZ+/wM=")</f>
        <v>#VALUE!</v>
      </c>
      <c r="E122" t="e">
        <f>AND('Planilla_General_07-12-2012_8_3'!F1823,"AAAAAHZ+/wQ=")</f>
        <v>#VALUE!</v>
      </c>
      <c r="F122" t="e">
        <f>AND('Planilla_General_07-12-2012_8_3'!G1823,"AAAAAHZ+/wU=")</f>
        <v>#VALUE!</v>
      </c>
      <c r="G122" t="e">
        <f>AND('Planilla_General_07-12-2012_8_3'!H1823,"AAAAAHZ+/wY=")</f>
        <v>#VALUE!</v>
      </c>
      <c r="H122" t="e">
        <f>AND('Planilla_General_07-12-2012_8_3'!I1823,"AAAAAHZ+/wc=")</f>
        <v>#VALUE!</v>
      </c>
      <c r="I122" t="e">
        <f>AND('Planilla_General_07-12-2012_8_3'!J1823,"AAAAAHZ+/wg=")</f>
        <v>#VALUE!</v>
      </c>
      <c r="J122" t="e">
        <f>AND('Planilla_General_07-12-2012_8_3'!K1823,"AAAAAHZ+/wk=")</f>
        <v>#VALUE!</v>
      </c>
      <c r="K122" t="e">
        <f>AND('Planilla_General_07-12-2012_8_3'!L1823,"AAAAAHZ+/wo=")</f>
        <v>#VALUE!</v>
      </c>
      <c r="L122" t="e">
        <f>AND('Planilla_General_07-12-2012_8_3'!M1823,"AAAAAHZ+/ws=")</f>
        <v>#VALUE!</v>
      </c>
      <c r="M122" t="e">
        <f>AND('Planilla_General_07-12-2012_8_3'!N1823,"AAAAAHZ+/ww=")</f>
        <v>#VALUE!</v>
      </c>
      <c r="N122" t="e">
        <f>AND('Planilla_General_07-12-2012_8_3'!O1823,"AAAAAHZ+/w0=")</f>
        <v>#VALUE!</v>
      </c>
      <c r="O122" t="e">
        <f>AND('Planilla_General_07-12-2012_8_3'!P1823,"AAAAAHZ+/w4=")</f>
        <v>#VALUE!</v>
      </c>
      <c r="P122">
        <f>IF('Planilla_General_07-12-2012_8_3'!1824:1824,"AAAAAHZ+/w8=",0)</f>
        <v>0</v>
      </c>
      <c r="Q122" t="e">
        <f>AND('Planilla_General_07-12-2012_8_3'!A1824,"AAAAAHZ+/xA=")</f>
        <v>#VALUE!</v>
      </c>
      <c r="R122" t="e">
        <f>AND('Planilla_General_07-12-2012_8_3'!B1824,"AAAAAHZ+/xE=")</f>
        <v>#VALUE!</v>
      </c>
      <c r="S122" t="e">
        <f>AND('Planilla_General_07-12-2012_8_3'!C1824,"AAAAAHZ+/xI=")</f>
        <v>#VALUE!</v>
      </c>
      <c r="T122" t="e">
        <f>AND('Planilla_General_07-12-2012_8_3'!D1824,"AAAAAHZ+/xM=")</f>
        <v>#VALUE!</v>
      </c>
      <c r="U122" t="e">
        <f>AND('Planilla_General_07-12-2012_8_3'!E1824,"AAAAAHZ+/xQ=")</f>
        <v>#VALUE!</v>
      </c>
      <c r="V122" t="e">
        <f>AND('Planilla_General_07-12-2012_8_3'!F1824,"AAAAAHZ+/xU=")</f>
        <v>#VALUE!</v>
      </c>
      <c r="W122" t="e">
        <f>AND('Planilla_General_07-12-2012_8_3'!G1824,"AAAAAHZ+/xY=")</f>
        <v>#VALUE!</v>
      </c>
      <c r="X122" t="e">
        <f>AND('Planilla_General_07-12-2012_8_3'!H1824,"AAAAAHZ+/xc=")</f>
        <v>#VALUE!</v>
      </c>
      <c r="Y122" t="e">
        <f>AND('Planilla_General_07-12-2012_8_3'!I1824,"AAAAAHZ+/xg=")</f>
        <v>#VALUE!</v>
      </c>
      <c r="Z122" t="e">
        <f>AND('Planilla_General_07-12-2012_8_3'!J1824,"AAAAAHZ+/xk=")</f>
        <v>#VALUE!</v>
      </c>
      <c r="AA122" t="e">
        <f>AND('Planilla_General_07-12-2012_8_3'!K1824,"AAAAAHZ+/xo=")</f>
        <v>#VALUE!</v>
      </c>
      <c r="AB122" t="e">
        <f>AND('Planilla_General_07-12-2012_8_3'!L1824,"AAAAAHZ+/xs=")</f>
        <v>#VALUE!</v>
      </c>
      <c r="AC122" t="e">
        <f>AND('Planilla_General_07-12-2012_8_3'!M1824,"AAAAAHZ+/xw=")</f>
        <v>#VALUE!</v>
      </c>
      <c r="AD122" t="e">
        <f>AND('Planilla_General_07-12-2012_8_3'!N1824,"AAAAAHZ+/x0=")</f>
        <v>#VALUE!</v>
      </c>
      <c r="AE122" t="e">
        <f>AND('Planilla_General_07-12-2012_8_3'!O1824,"AAAAAHZ+/x4=")</f>
        <v>#VALUE!</v>
      </c>
      <c r="AF122" t="e">
        <f>AND('Planilla_General_07-12-2012_8_3'!P1824,"AAAAAHZ+/x8=")</f>
        <v>#VALUE!</v>
      </c>
      <c r="AG122">
        <f>IF('Planilla_General_07-12-2012_8_3'!1825:1825,"AAAAAHZ+/yA=",0)</f>
        <v>0</v>
      </c>
      <c r="AH122" t="e">
        <f>AND('Planilla_General_07-12-2012_8_3'!A1825,"AAAAAHZ+/yE=")</f>
        <v>#VALUE!</v>
      </c>
      <c r="AI122" t="e">
        <f>AND('Planilla_General_07-12-2012_8_3'!B1825,"AAAAAHZ+/yI=")</f>
        <v>#VALUE!</v>
      </c>
      <c r="AJ122" t="e">
        <f>AND('Planilla_General_07-12-2012_8_3'!C1825,"AAAAAHZ+/yM=")</f>
        <v>#VALUE!</v>
      </c>
      <c r="AK122" t="e">
        <f>AND('Planilla_General_07-12-2012_8_3'!D1825,"AAAAAHZ+/yQ=")</f>
        <v>#VALUE!</v>
      </c>
      <c r="AL122" t="e">
        <f>AND('Planilla_General_07-12-2012_8_3'!E1825,"AAAAAHZ+/yU=")</f>
        <v>#VALUE!</v>
      </c>
      <c r="AM122" t="e">
        <f>AND('Planilla_General_07-12-2012_8_3'!F1825,"AAAAAHZ+/yY=")</f>
        <v>#VALUE!</v>
      </c>
      <c r="AN122" t="e">
        <f>AND('Planilla_General_07-12-2012_8_3'!G1825,"AAAAAHZ+/yc=")</f>
        <v>#VALUE!</v>
      </c>
      <c r="AO122" t="e">
        <f>AND('Planilla_General_07-12-2012_8_3'!H1825,"AAAAAHZ+/yg=")</f>
        <v>#VALUE!</v>
      </c>
      <c r="AP122" t="e">
        <f>AND('Planilla_General_07-12-2012_8_3'!I1825,"AAAAAHZ+/yk=")</f>
        <v>#VALUE!</v>
      </c>
      <c r="AQ122" t="e">
        <f>AND('Planilla_General_07-12-2012_8_3'!J1825,"AAAAAHZ+/yo=")</f>
        <v>#VALUE!</v>
      </c>
      <c r="AR122" t="e">
        <f>AND('Planilla_General_07-12-2012_8_3'!K1825,"AAAAAHZ+/ys=")</f>
        <v>#VALUE!</v>
      </c>
      <c r="AS122" t="e">
        <f>AND('Planilla_General_07-12-2012_8_3'!L1825,"AAAAAHZ+/yw=")</f>
        <v>#VALUE!</v>
      </c>
      <c r="AT122" t="e">
        <f>AND('Planilla_General_07-12-2012_8_3'!M1825,"AAAAAHZ+/y0=")</f>
        <v>#VALUE!</v>
      </c>
      <c r="AU122" t="e">
        <f>AND('Planilla_General_07-12-2012_8_3'!N1825,"AAAAAHZ+/y4=")</f>
        <v>#VALUE!</v>
      </c>
      <c r="AV122" t="e">
        <f>AND('Planilla_General_07-12-2012_8_3'!O1825,"AAAAAHZ+/y8=")</f>
        <v>#VALUE!</v>
      </c>
      <c r="AW122" t="e">
        <f>AND('Planilla_General_07-12-2012_8_3'!P1825,"AAAAAHZ+/zA=")</f>
        <v>#VALUE!</v>
      </c>
      <c r="AX122">
        <f>IF('Planilla_General_07-12-2012_8_3'!1826:1826,"AAAAAHZ+/zE=",0)</f>
        <v>0</v>
      </c>
      <c r="AY122" t="e">
        <f>AND('Planilla_General_07-12-2012_8_3'!A1826,"AAAAAHZ+/zI=")</f>
        <v>#VALUE!</v>
      </c>
      <c r="AZ122" t="e">
        <f>AND('Planilla_General_07-12-2012_8_3'!B1826,"AAAAAHZ+/zM=")</f>
        <v>#VALUE!</v>
      </c>
      <c r="BA122" t="e">
        <f>AND('Planilla_General_07-12-2012_8_3'!C1826,"AAAAAHZ+/zQ=")</f>
        <v>#VALUE!</v>
      </c>
      <c r="BB122" t="e">
        <f>AND('Planilla_General_07-12-2012_8_3'!D1826,"AAAAAHZ+/zU=")</f>
        <v>#VALUE!</v>
      </c>
      <c r="BC122" t="e">
        <f>AND('Planilla_General_07-12-2012_8_3'!E1826,"AAAAAHZ+/zY=")</f>
        <v>#VALUE!</v>
      </c>
      <c r="BD122" t="e">
        <f>AND('Planilla_General_07-12-2012_8_3'!F1826,"AAAAAHZ+/zc=")</f>
        <v>#VALUE!</v>
      </c>
      <c r="BE122" t="e">
        <f>AND('Planilla_General_07-12-2012_8_3'!G1826,"AAAAAHZ+/zg=")</f>
        <v>#VALUE!</v>
      </c>
      <c r="BF122" t="e">
        <f>AND('Planilla_General_07-12-2012_8_3'!H1826,"AAAAAHZ+/zk=")</f>
        <v>#VALUE!</v>
      </c>
      <c r="BG122" t="e">
        <f>AND('Planilla_General_07-12-2012_8_3'!I1826,"AAAAAHZ+/zo=")</f>
        <v>#VALUE!</v>
      </c>
      <c r="BH122" t="e">
        <f>AND('Planilla_General_07-12-2012_8_3'!J1826,"AAAAAHZ+/zs=")</f>
        <v>#VALUE!</v>
      </c>
      <c r="BI122" t="e">
        <f>AND('Planilla_General_07-12-2012_8_3'!K1826,"AAAAAHZ+/zw=")</f>
        <v>#VALUE!</v>
      </c>
      <c r="BJ122" t="e">
        <f>AND('Planilla_General_07-12-2012_8_3'!L1826,"AAAAAHZ+/z0=")</f>
        <v>#VALUE!</v>
      </c>
      <c r="BK122" t="e">
        <f>AND('Planilla_General_07-12-2012_8_3'!M1826,"AAAAAHZ+/z4=")</f>
        <v>#VALUE!</v>
      </c>
      <c r="BL122" t="e">
        <f>AND('Planilla_General_07-12-2012_8_3'!N1826,"AAAAAHZ+/z8=")</f>
        <v>#VALUE!</v>
      </c>
      <c r="BM122" t="e">
        <f>AND('Planilla_General_07-12-2012_8_3'!O1826,"AAAAAHZ+/0A=")</f>
        <v>#VALUE!</v>
      </c>
      <c r="BN122" t="e">
        <f>AND('Planilla_General_07-12-2012_8_3'!P1826,"AAAAAHZ+/0E=")</f>
        <v>#VALUE!</v>
      </c>
      <c r="BO122">
        <f>IF('Planilla_General_07-12-2012_8_3'!1827:1827,"AAAAAHZ+/0I=",0)</f>
        <v>0</v>
      </c>
      <c r="BP122" t="e">
        <f>AND('Planilla_General_07-12-2012_8_3'!A1827,"AAAAAHZ+/0M=")</f>
        <v>#VALUE!</v>
      </c>
      <c r="BQ122" t="e">
        <f>AND('Planilla_General_07-12-2012_8_3'!B1827,"AAAAAHZ+/0Q=")</f>
        <v>#VALUE!</v>
      </c>
      <c r="BR122" t="e">
        <f>AND('Planilla_General_07-12-2012_8_3'!C1827,"AAAAAHZ+/0U=")</f>
        <v>#VALUE!</v>
      </c>
      <c r="BS122" t="e">
        <f>AND('Planilla_General_07-12-2012_8_3'!D1827,"AAAAAHZ+/0Y=")</f>
        <v>#VALUE!</v>
      </c>
      <c r="BT122" t="e">
        <f>AND('Planilla_General_07-12-2012_8_3'!E1827,"AAAAAHZ+/0c=")</f>
        <v>#VALUE!</v>
      </c>
      <c r="BU122" t="e">
        <f>AND('Planilla_General_07-12-2012_8_3'!F1827,"AAAAAHZ+/0g=")</f>
        <v>#VALUE!</v>
      </c>
      <c r="BV122" t="e">
        <f>AND('Planilla_General_07-12-2012_8_3'!G1827,"AAAAAHZ+/0k=")</f>
        <v>#VALUE!</v>
      </c>
      <c r="BW122" t="e">
        <f>AND('Planilla_General_07-12-2012_8_3'!H1827,"AAAAAHZ+/0o=")</f>
        <v>#VALUE!</v>
      </c>
      <c r="BX122" t="e">
        <f>AND('Planilla_General_07-12-2012_8_3'!I1827,"AAAAAHZ+/0s=")</f>
        <v>#VALUE!</v>
      </c>
      <c r="BY122" t="e">
        <f>AND('Planilla_General_07-12-2012_8_3'!J1827,"AAAAAHZ+/0w=")</f>
        <v>#VALUE!</v>
      </c>
      <c r="BZ122" t="e">
        <f>AND('Planilla_General_07-12-2012_8_3'!K1827,"AAAAAHZ+/00=")</f>
        <v>#VALUE!</v>
      </c>
      <c r="CA122" t="e">
        <f>AND('Planilla_General_07-12-2012_8_3'!L1827,"AAAAAHZ+/04=")</f>
        <v>#VALUE!</v>
      </c>
      <c r="CB122" t="e">
        <f>AND('Planilla_General_07-12-2012_8_3'!M1827,"AAAAAHZ+/08=")</f>
        <v>#VALUE!</v>
      </c>
      <c r="CC122" t="e">
        <f>AND('Planilla_General_07-12-2012_8_3'!N1827,"AAAAAHZ+/1A=")</f>
        <v>#VALUE!</v>
      </c>
      <c r="CD122" t="e">
        <f>AND('Planilla_General_07-12-2012_8_3'!O1827,"AAAAAHZ+/1E=")</f>
        <v>#VALUE!</v>
      </c>
      <c r="CE122" t="e">
        <f>AND('Planilla_General_07-12-2012_8_3'!P1827,"AAAAAHZ+/1I=")</f>
        <v>#VALUE!</v>
      </c>
      <c r="CF122">
        <f>IF('Planilla_General_07-12-2012_8_3'!1828:1828,"AAAAAHZ+/1M=",0)</f>
        <v>0</v>
      </c>
      <c r="CG122" t="e">
        <f>AND('Planilla_General_07-12-2012_8_3'!A1828,"AAAAAHZ+/1Q=")</f>
        <v>#VALUE!</v>
      </c>
      <c r="CH122" t="e">
        <f>AND('Planilla_General_07-12-2012_8_3'!B1828,"AAAAAHZ+/1U=")</f>
        <v>#VALUE!</v>
      </c>
      <c r="CI122" t="e">
        <f>AND('Planilla_General_07-12-2012_8_3'!C1828,"AAAAAHZ+/1Y=")</f>
        <v>#VALUE!</v>
      </c>
      <c r="CJ122" t="e">
        <f>AND('Planilla_General_07-12-2012_8_3'!D1828,"AAAAAHZ+/1c=")</f>
        <v>#VALUE!</v>
      </c>
      <c r="CK122" t="e">
        <f>AND('Planilla_General_07-12-2012_8_3'!E1828,"AAAAAHZ+/1g=")</f>
        <v>#VALUE!</v>
      </c>
      <c r="CL122" t="e">
        <f>AND('Planilla_General_07-12-2012_8_3'!F1828,"AAAAAHZ+/1k=")</f>
        <v>#VALUE!</v>
      </c>
      <c r="CM122" t="e">
        <f>AND('Planilla_General_07-12-2012_8_3'!G1828,"AAAAAHZ+/1o=")</f>
        <v>#VALUE!</v>
      </c>
      <c r="CN122" t="e">
        <f>AND('Planilla_General_07-12-2012_8_3'!H1828,"AAAAAHZ+/1s=")</f>
        <v>#VALUE!</v>
      </c>
      <c r="CO122" t="e">
        <f>AND('Planilla_General_07-12-2012_8_3'!I1828,"AAAAAHZ+/1w=")</f>
        <v>#VALUE!</v>
      </c>
      <c r="CP122" t="e">
        <f>AND('Planilla_General_07-12-2012_8_3'!J1828,"AAAAAHZ+/10=")</f>
        <v>#VALUE!</v>
      </c>
      <c r="CQ122" t="e">
        <f>AND('Planilla_General_07-12-2012_8_3'!K1828,"AAAAAHZ+/14=")</f>
        <v>#VALUE!</v>
      </c>
      <c r="CR122" t="e">
        <f>AND('Planilla_General_07-12-2012_8_3'!L1828,"AAAAAHZ+/18=")</f>
        <v>#VALUE!</v>
      </c>
      <c r="CS122" t="e">
        <f>AND('Planilla_General_07-12-2012_8_3'!M1828,"AAAAAHZ+/2A=")</f>
        <v>#VALUE!</v>
      </c>
      <c r="CT122" t="e">
        <f>AND('Planilla_General_07-12-2012_8_3'!N1828,"AAAAAHZ+/2E=")</f>
        <v>#VALUE!</v>
      </c>
      <c r="CU122" t="e">
        <f>AND('Planilla_General_07-12-2012_8_3'!O1828,"AAAAAHZ+/2I=")</f>
        <v>#VALUE!</v>
      </c>
      <c r="CV122" t="e">
        <f>AND('Planilla_General_07-12-2012_8_3'!P1828,"AAAAAHZ+/2M=")</f>
        <v>#VALUE!</v>
      </c>
      <c r="CW122">
        <f>IF('Planilla_General_07-12-2012_8_3'!1829:1829,"AAAAAHZ+/2Q=",0)</f>
        <v>0</v>
      </c>
      <c r="CX122" t="e">
        <f>AND('Planilla_General_07-12-2012_8_3'!A1829,"AAAAAHZ+/2U=")</f>
        <v>#VALUE!</v>
      </c>
      <c r="CY122" t="e">
        <f>AND('Planilla_General_07-12-2012_8_3'!B1829,"AAAAAHZ+/2Y=")</f>
        <v>#VALUE!</v>
      </c>
      <c r="CZ122" t="e">
        <f>AND('Planilla_General_07-12-2012_8_3'!C1829,"AAAAAHZ+/2c=")</f>
        <v>#VALUE!</v>
      </c>
      <c r="DA122" t="e">
        <f>AND('Planilla_General_07-12-2012_8_3'!D1829,"AAAAAHZ+/2g=")</f>
        <v>#VALUE!</v>
      </c>
      <c r="DB122" t="e">
        <f>AND('Planilla_General_07-12-2012_8_3'!E1829,"AAAAAHZ+/2k=")</f>
        <v>#VALUE!</v>
      </c>
      <c r="DC122" t="e">
        <f>AND('Planilla_General_07-12-2012_8_3'!F1829,"AAAAAHZ+/2o=")</f>
        <v>#VALUE!</v>
      </c>
      <c r="DD122" t="e">
        <f>AND('Planilla_General_07-12-2012_8_3'!G1829,"AAAAAHZ+/2s=")</f>
        <v>#VALUE!</v>
      </c>
      <c r="DE122" t="e">
        <f>AND('Planilla_General_07-12-2012_8_3'!H1829,"AAAAAHZ+/2w=")</f>
        <v>#VALUE!</v>
      </c>
      <c r="DF122" t="e">
        <f>AND('Planilla_General_07-12-2012_8_3'!I1829,"AAAAAHZ+/20=")</f>
        <v>#VALUE!</v>
      </c>
      <c r="DG122" t="e">
        <f>AND('Planilla_General_07-12-2012_8_3'!J1829,"AAAAAHZ+/24=")</f>
        <v>#VALUE!</v>
      </c>
      <c r="DH122" t="e">
        <f>AND('Planilla_General_07-12-2012_8_3'!K1829,"AAAAAHZ+/28=")</f>
        <v>#VALUE!</v>
      </c>
      <c r="DI122" t="e">
        <f>AND('Planilla_General_07-12-2012_8_3'!L1829,"AAAAAHZ+/3A=")</f>
        <v>#VALUE!</v>
      </c>
      <c r="DJ122" t="e">
        <f>AND('Planilla_General_07-12-2012_8_3'!M1829,"AAAAAHZ+/3E=")</f>
        <v>#VALUE!</v>
      </c>
      <c r="DK122" t="e">
        <f>AND('Planilla_General_07-12-2012_8_3'!N1829,"AAAAAHZ+/3I=")</f>
        <v>#VALUE!</v>
      </c>
      <c r="DL122" t="e">
        <f>AND('Planilla_General_07-12-2012_8_3'!O1829,"AAAAAHZ+/3M=")</f>
        <v>#VALUE!</v>
      </c>
      <c r="DM122" t="e">
        <f>AND('Planilla_General_07-12-2012_8_3'!P1829,"AAAAAHZ+/3Q=")</f>
        <v>#VALUE!</v>
      </c>
      <c r="DN122">
        <f>IF('Planilla_General_07-12-2012_8_3'!1830:1830,"AAAAAHZ+/3U=",0)</f>
        <v>0</v>
      </c>
      <c r="DO122" t="e">
        <f>AND('Planilla_General_07-12-2012_8_3'!A1830,"AAAAAHZ+/3Y=")</f>
        <v>#VALUE!</v>
      </c>
      <c r="DP122" t="e">
        <f>AND('Planilla_General_07-12-2012_8_3'!B1830,"AAAAAHZ+/3c=")</f>
        <v>#VALUE!</v>
      </c>
      <c r="DQ122" t="e">
        <f>AND('Planilla_General_07-12-2012_8_3'!C1830,"AAAAAHZ+/3g=")</f>
        <v>#VALUE!</v>
      </c>
      <c r="DR122" t="e">
        <f>AND('Planilla_General_07-12-2012_8_3'!D1830,"AAAAAHZ+/3k=")</f>
        <v>#VALUE!</v>
      </c>
      <c r="DS122" t="e">
        <f>AND('Planilla_General_07-12-2012_8_3'!E1830,"AAAAAHZ+/3o=")</f>
        <v>#VALUE!</v>
      </c>
      <c r="DT122" t="e">
        <f>AND('Planilla_General_07-12-2012_8_3'!F1830,"AAAAAHZ+/3s=")</f>
        <v>#VALUE!</v>
      </c>
      <c r="DU122" t="e">
        <f>AND('Planilla_General_07-12-2012_8_3'!G1830,"AAAAAHZ+/3w=")</f>
        <v>#VALUE!</v>
      </c>
      <c r="DV122" t="e">
        <f>AND('Planilla_General_07-12-2012_8_3'!H1830,"AAAAAHZ+/30=")</f>
        <v>#VALUE!</v>
      </c>
      <c r="DW122" t="e">
        <f>AND('Planilla_General_07-12-2012_8_3'!I1830,"AAAAAHZ+/34=")</f>
        <v>#VALUE!</v>
      </c>
      <c r="DX122" t="e">
        <f>AND('Planilla_General_07-12-2012_8_3'!J1830,"AAAAAHZ+/38=")</f>
        <v>#VALUE!</v>
      </c>
      <c r="DY122" t="e">
        <f>AND('Planilla_General_07-12-2012_8_3'!K1830,"AAAAAHZ+/4A=")</f>
        <v>#VALUE!</v>
      </c>
      <c r="DZ122" t="e">
        <f>AND('Planilla_General_07-12-2012_8_3'!L1830,"AAAAAHZ+/4E=")</f>
        <v>#VALUE!</v>
      </c>
      <c r="EA122" t="e">
        <f>AND('Planilla_General_07-12-2012_8_3'!M1830,"AAAAAHZ+/4I=")</f>
        <v>#VALUE!</v>
      </c>
      <c r="EB122" t="e">
        <f>AND('Planilla_General_07-12-2012_8_3'!N1830,"AAAAAHZ+/4M=")</f>
        <v>#VALUE!</v>
      </c>
      <c r="EC122" t="e">
        <f>AND('Planilla_General_07-12-2012_8_3'!O1830,"AAAAAHZ+/4Q=")</f>
        <v>#VALUE!</v>
      </c>
      <c r="ED122" t="e">
        <f>AND('Planilla_General_07-12-2012_8_3'!P1830,"AAAAAHZ+/4U=")</f>
        <v>#VALUE!</v>
      </c>
      <c r="EE122">
        <f>IF('Planilla_General_07-12-2012_8_3'!1831:1831,"AAAAAHZ+/4Y=",0)</f>
        <v>0</v>
      </c>
      <c r="EF122" t="e">
        <f>AND('Planilla_General_07-12-2012_8_3'!A1831,"AAAAAHZ+/4c=")</f>
        <v>#VALUE!</v>
      </c>
      <c r="EG122" t="e">
        <f>AND('Planilla_General_07-12-2012_8_3'!B1831,"AAAAAHZ+/4g=")</f>
        <v>#VALUE!</v>
      </c>
      <c r="EH122" t="e">
        <f>AND('Planilla_General_07-12-2012_8_3'!C1831,"AAAAAHZ+/4k=")</f>
        <v>#VALUE!</v>
      </c>
      <c r="EI122" t="e">
        <f>AND('Planilla_General_07-12-2012_8_3'!D1831,"AAAAAHZ+/4o=")</f>
        <v>#VALUE!</v>
      </c>
      <c r="EJ122" t="e">
        <f>AND('Planilla_General_07-12-2012_8_3'!E1831,"AAAAAHZ+/4s=")</f>
        <v>#VALUE!</v>
      </c>
      <c r="EK122" t="e">
        <f>AND('Planilla_General_07-12-2012_8_3'!F1831,"AAAAAHZ+/4w=")</f>
        <v>#VALUE!</v>
      </c>
      <c r="EL122" t="e">
        <f>AND('Planilla_General_07-12-2012_8_3'!G1831,"AAAAAHZ+/40=")</f>
        <v>#VALUE!</v>
      </c>
      <c r="EM122" t="e">
        <f>AND('Planilla_General_07-12-2012_8_3'!H1831,"AAAAAHZ+/44=")</f>
        <v>#VALUE!</v>
      </c>
      <c r="EN122" t="e">
        <f>AND('Planilla_General_07-12-2012_8_3'!I1831,"AAAAAHZ+/48=")</f>
        <v>#VALUE!</v>
      </c>
      <c r="EO122" t="e">
        <f>AND('Planilla_General_07-12-2012_8_3'!J1831,"AAAAAHZ+/5A=")</f>
        <v>#VALUE!</v>
      </c>
      <c r="EP122" t="e">
        <f>AND('Planilla_General_07-12-2012_8_3'!K1831,"AAAAAHZ+/5E=")</f>
        <v>#VALUE!</v>
      </c>
      <c r="EQ122" t="e">
        <f>AND('Planilla_General_07-12-2012_8_3'!L1831,"AAAAAHZ+/5I=")</f>
        <v>#VALUE!</v>
      </c>
      <c r="ER122" t="e">
        <f>AND('Planilla_General_07-12-2012_8_3'!M1831,"AAAAAHZ+/5M=")</f>
        <v>#VALUE!</v>
      </c>
      <c r="ES122" t="e">
        <f>AND('Planilla_General_07-12-2012_8_3'!N1831,"AAAAAHZ+/5Q=")</f>
        <v>#VALUE!</v>
      </c>
      <c r="ET122" t="e">
        <f>AND('Planilla_General_07-12-2012_8_3'!O1831,"AAAAAHZ+/5U=")</f>
        <v>#VALUE!</v>
      </c>
      <c r="EU122" t="e">
        <f>AND('Planilla_General_07-12-2012_8_3'!P1831,"AAAAAHZ+/5Y=")</f>
        <v>#VALUE!</v>
      </c>
      <c r="EV122">
        <f>IF('Planilla_General_07-12-2012_8_3'!1832:1832,"AAAAAHZ+/5c=",0)</f>
        <v>0</v>
      </c>
      <c r="EW122" t="e">
        <f>AND('Planilla_General_07-12-2012_8_3'!A1832,"AAAAAHZ+/5g=")</f>
        <v>#VALUE!</v>
      </c>
      <c r="EX122" t="e">
        <f>AND('Planilla_General_07-12-2012_8_3'!B1832,"AAAAAHZ+/5k=")</f>
        <v>#VALUE!</v>
      </c>
      <c r="EY122" t="e">
        <f>AND('Planilla_General_07-12-2012_8_3'!C1832,"AAAAAHZ+/5o=")</f>
        <v>#VALUE!</v>
      </c>
      <c r="EZ122" t="e">
        <f>AND('Planilla_General_07-12-2012_8_3'!D1832,"AAAAAHZ+/5s=")</f>
        <v>#VALUE!</v>
      </c>
      <c r="FA122" t="e">
        <f>AND('Planilla_General_07-12-2012_8_3'!E1832,"AAAAAHZ+/5w=")</f>
        <v>#VALUE!</v>
      </c>
      <c r="FB122" t="e">
        <f>AND('Planilla_General_07-12-2012_8_3'!F1832,"AAAAAHZ+/50=")</f>
        <v>#VALUE!</v>
      </c>
      <c r="FC122" t="e">
        <f>AND('Planilla_General_07-12-2012_8_3'!G1832,"AAAAAHZ+/54=")</f>
        <v>#VALUE!</v>
      </c>
      <c r="FD122" t="e">
        <f>AND('Planilla_General_07-12-2012_8_3'!H1832,"AAAAAHZ+/58=")</f>
        <v>#VALUE!</v>
      </c>
      <c r="FE122" t="e">
        <f>AND('Planilla_General_07-12-2012_8_3'!I1832,"AAAAAHZ+/6A=")</f>
        <v>#VALUE!</v>
      </c>
      <c r="FF122" t="e">
        <f>AND('Planilla_General_07-12-2012_8_3'!J1832,"AAAAAHZ+/6E=")</f>
        <v>#VALUE!</v>
      </c>
      <c r="FG122" t="e">
        <f>AND('Planilla_General_07-12-2012_8_3'!K1832,"AAAAAHZ+/6I=")</f>
        <v>#VALUE!</v>
      </c>
      <c r="FH122" t="e">
        <f>AND('Planilla_General_07-12-2012_8_3'!L1832,"AAAAAHZ+/6M=")</f>
        <v>#VALUE!</v>
      </c>
      <c r="FI122" t="e">
        <f>AND('Planilla_General_07-12-2012_8_3'!M1832,"AAAAAHZ+/6Q=")</f>
        <v>#VALUE!</v>
      </c>
      <c r="FJ122" t="e">
        <f>AND('Planilla_General_07-12-2012_8_3'!N1832,"AAAAAHZ+/6U=")</f>
        <v>#VALUE!</v>
      </c>
      <c r="FK122" t="e">
        <f>AND('Planilla_General_07-12-2012_8_3'!O1832,"AAAAAHZ+/6Y=")</f>
        <v>#VALUE!</v>
      </c>
      <c r="FL122" t="e">
        <f>AND('Planilla_General_07-12-2012_8_3'!P1832,"AAAAAHZ+/6c=")</f>
        <v>#VALUE!</v>
      </c>
      <c r="FM122">
        <f>IF('Planilla_General_07-12-2012_8_3'!1833:1833,"AAAAAHZ+/6g=",0)</f>
        <v>0</v>
      </c>
      <c r="FN122" t="e">
        <f>AND('Planilla_General_07-12-2012_8_3'!A1833,"AAAAAHZ+/6k=")</f>
        <v>#VALUE!</v>
      </c>
      <c r="FO122" t="e">
        <f>AND('Planilla_General_07-12-2012_8_3'!B1833,"AAAAAHZ+/6o=")</f>
        <v>#VALUE!</v>
      </c>
      <c r="FP122" t="e">
        <f>AND('Planilla_General_07-12-2012_8_3'!C1833,"AAAAAHZ+/6s=")</f>
        <v>#VALUE!</v>
      </c>
      <c r="FQ122" t="e">
        <f>AND('Planilla_General_07-12-2012_8_3'!D1833,"AAAAAHZ+/6w=")</f>
        <v>#VALUE!</v>
      </c>
      <c r="FR122" t="e">
        <f>AND('Planilla_General_07-12-2012_8_3'!E1833,"AAAAAHZ+/60=")</f>
        <v>#VALUE!</v>
      </c>
      <c r="FS122" t="e">
        <f>AND('Planilla_General_07-12-2012_8_3'!F1833,"AAAAAHZ+/64=")</f>
        <v>#VALUE!</v>
      </c>
      <c r="FT122" t="e">
        <f>AND('Planilla_General_07-12-2012_8_3'!G1833,"AAAAAHZ+/68=")</f>
        <v>#VALUE!</v>
      </c>
      <c r="FU122" t="e">
        <f>AND('Planilla_General_07-12-2012_8_3'!H1833,"AAAAAHZ+/7A=")</f>
        <v>#VALUE!</v>
      </c>
      <c r="FV122" t="e">
        <f>AND('Planilla_General_07-12-2012_8_3'!I1833,"AAAAAHZ+/7E=")</f>
        <v>#VALUE!</v>
      </c>
      <c r="FW122" t="e">
        <f>AND('Planilla_General_07-12-2012_8_3'!J1833,"AAAAAHZ+/7I=")</f>
        <v>#VALUE!</v>
      </c>
      <c r="FX122" t="e">
        <f>AND('Planilla_General_07-12-2012_8_3'!K1833,"AAAAAHZ+/7M=")</f>
        <v>#VALUE!</v>
      </c>
      <c r="FY122" t="e">
        <f>AND('Planilla_General_07-12-2012_8_3'!L1833,"AAAAAHZ+/7Q=")</f>
        <v>#VALUE!</v>
      </c>
      <c r="FZ122" t="e">
        <f>AND('Planilla_General_07-12-2012_8_3'!M1833,"AAAAAHZ+/7U=")</f>
        <v>#VALUE!</v>
      </c>
      <c r="GA122" t="e">
        <f>AND('Planilla_General_07-12-2012_8_3'!N1833,"AAAAAHZ+/7Y=")</f>
        <v>#VALUE!</v>
      </c>
      <c r="GB122" t="e">
        <f>AND('Planilla_General_07-12-2012_8_3'!O1833,"AAAAAHZ+/7c=")</f>
        <v>#VALUE!</v>
      </c>
      <c r="GC122" t="e">
        <f>AND('Planilla_General_07-12-2012_8_3'!P1833,"AAAAAHZ+/7g=")</f>
        <v>#VALUE!</v>
      </c>
      <c r="GD122">
        <f>IF('Planilla_General_07-12-2012_8_3'!1834:1834,"AAAAAHZ+/7k=",0)</f>
        <v>0</v>
      </c>
      <c r="GE122" t="e">
        <f>AND('Planilla_General_07-12-2012_8_3'!A1834,"AAAAAHZ+/7o=")</f>
        <v>#VALUE!</v>
      </c>
      <c r="GF122" t="e">
        <f>AND('Planilla_General_07-12-2012_8_3'!B1834,"AAAAAHZ+/7s=")</f>
        <v>#VALUE!</v>
      </c>
      <c r="GG122" t="e">
        <f>AND('Planilla_General_07-12-2012_8_3'!C1834,"AAAAAHZ+/7w=")</f>
        <v>#VALUE!</v>
      </c>
      <c r="GH122" t="e">
        <f>AND('Planilla_General_07-12-2012_8_3'!D1834,"AAAAAHZ+/70=")</f>
        <v>#VALUE!</v>
      </c>
      <c r="GI122" t="e">
        <f>AND('Planilla_General_07-12-2012_8_3'!E1834,"AAAAAHZ+/74=")</f>
        <v>#VALUE!</v>
      </c>
      <c r="GJ122" t="e">
        <f>AND('Planilla_General_07-12-2012_8_3'!F1834,"AAAAAHZ+/78=")</f>
        <v>#VALUE!</v>
      </c>
      <c r="GK122" t="e">
        <f>AND('Planilla_General_07-12-2012_8_3'!G1834,"AAAAAHZ+/8A=")</f>
        <v>#VALUE!</v>
      </c>
      <c r="GL122" t="e">
        <f>AND('Planilla_General_07-12-2012_8_3'!H1834,"AAAAAHZ+/8E=")</f>
        <v>#VALUE!</v>
      </c>
      <c r="GM122" t="e">
        <f>AND('Planilla_General_07-12-2012_8_3'!I1834,"AAAAAHZ+/8I=")</f>
        <v>#VALUE!</v>
      </c>
      <c r="GN122" t="e">
        <f>AND('Planilla_General_07-12-2012_8_3'!J1834,"AAAAAHZ+/8M=")</f>
        <v>#VALUE!</v>
      </c>
      <c r="GO122" t="e">
        <f>AND('Planilla_General_07-12-2012_8_3'!K1834,"AAAAAHZ+/8Q=")</f>
        <v>#VALUE!</v>
      </c>
      <c r="GP122" t="e">
        <f>AND('Planilla_General_07-12-2012_8_3'!L1834,"AAAAAHZ+/8U=")</f>
        <v>#VALUE!</v>
      </c>
      <c r="GQ122" t="e">
        <f>AND('Planilla_General_07-12-2012_8_3'!M1834,"AAAAAHZ+/8Y=")</f>
        <v>#VALUE!</v>
      </c>
      <c r="GR122" t="e">
        <f>AND('Planilla_General_07-12-2012_8_3'!N1834,"AAAAAHZ+/8c=")</f>
        <v>#VALUE!</v>
      </c>
      <c r="GS122" t="e">
        <f>AND('Planilla_General_07-12-2012_8_3'!O1834,"AAAAAHZ+/8g=")</f>
        <v>#VALUE!</v>
      </c>
      <c r="GT122" t="e">
        <f>AND('Planilla_General_07-12-2012_8_3'!P1834,"AAAAAHZ+/8k=")</f>
        <v>#VALUE!</v>
      </c>
      <c r="GU122">
        <f>IF('Planilla_General_07-12-2012_8_3'!1835:1835,"AAAAAHZ+/8o=",0)</f>
        <v>0</v>
      </c>
      <c r="GV122" t="e">
        <f>AND('Planilla_General_07-12-2012_8_3'!A1835,"AAAAAHZ+/8s=")</f>
        <v>#VALUE!</v>
      </c>
      <c r="GW122" t="e">
        <f>AND('Planilla_General_07-12-2012_8_3'!B1835,"AAAAAHZ+/8w=")</f>
        <v>#VALUE!</v>
      </c>
      <c r="GX122" t="e">
        <f>AND('Planilla_General_07-12-2012_8_3'!C1835,"AAAAAHZ+/80=")</f>
        <v>#VALUE!</v>
      </c>
      <c r="GY122" t="e">
        <f>AND('Planilla_General_07-12-2012_8_3'!D1835,"AAAAAHZ+/84=")</f>
        <v>#VALUE!</v>
      </c>
      <c r="GZ122" t="e">
        <f>AND('Planilla_General_07-12-2012_8_3'!E1835,"AAAAAHZ+/88=")</f>
        <v>#VALUE!</v>
      </c>
      <c r="HA122" t="e">
        <f>AND('Planilla_General_07-12-2012_8_3'!F1835,"AAAAAHZ+/9A=")</f>
        <v>#VALUE!</v>
      </c>
      <c r="HB122" t="e">
        <f>AND('Planilla_General_07-12-2012_8_3'!G1835,"AAAAAHZ+/9E=")</f>
        <v>#VALUE!</v>
      </c>
      <c r="HC122" t="e">
        <f>AND('Planilla_General_07-12-2012_8_3'!H1835,"AAAAAHZ+/9I=")</f>
        <v>#VALUE!</v>
      </c>
      <c r="HD122" t="e">
        <f>AND('Planilla_General_07-12-2012_8_3'!I1835,"AAAAAHZ+/9M=")</f>
        <v>#VALUE!</v>
      </c>
      <c r="HE122" t="e">
        <f>AND('Planilla_General_07-12-2012_8_3'!J1835,"AAAAAHZ+/9Q=")</f>
        <v>#VALUE!</v>
      </c>
      <c r="HF122" t="e">
        <f>AND('Planilla_General_07-12-2012_8_3'!K1835,"AAAAAHZ+/9U=")</f>
        <v>#VALUE!</v>
      </c>
      <c r="HG122" t="e">
        <f>AND('Planilla_General_07-12-2012_8_3'!L1835,"AAAAAHZ+/9Y=")</f>
        <v>#VALUE!</v>
      </c>
      <c r="HH122" t="e">
        <f>AND('Planilla_General_07-12-2012_8_3'!M1835,"AAAAAHZ+/9c=")</f>
        <v>#VALUE!</v>
      </c>
      <c r="HI122" t="e">
        <f>AND('Planilla_General_07-12-2012_8_3'!N1835,"AAAAAHZ+/9g=")</f>
        <v>#VALUE!</v>
      </c>
      <c r="HJ122" t="e">
        <f>AND('Planilla_General_07-12-2012_8_3'!O1835,"AAAAAHZ+/9k=")</f>
        <v>#VALUE!</v>
      </c>
      <c r="HK122" t="e">
        <f>AND('Planilla_General_07-12-2012_8_3'!P1835,"AAAAAHZ+/9o=")</f>
        <v>#VALUE!</v>
      </c>
      <c r="HL122">
        <f>IF('Planilla_General_07-12-2012_8_3'!1836:1836,"AAAAAHZ+/9s=",0)</f>
        <v>0</v>
      </c>
      <c r="HM122" t="e">
        <f>AND('Planilla_General_07-12-2012_8_3'!A1836,"AAAAAHZ+/9w=")</f>
        <v>#VALUE!</v>
      </c>
      <c r="HN122" t="e">
        <f>AND('Planilla_General_07-12-2012_8_3'!B1836,"AAAAAHZ+/90=")</f>
        <v>#VALUE!</v>
      </c>
      <c r="HO122" t="e">
        <f>AND('Planilla_General_07-12-2012_8_3'!C1836,"AAAAAHZ+/94=")</f>
        <v>#VALUE!</v>
      </c>
      <c r="HP122" t="e">
        <f>AND('Planilla_General_07-12-2012_8_3'!D1836,"AAAAAHZ+/98=")</f>
        <v>#VALUE!</v>
      </c>
      <c r="HQ122" t="e">
        <f>AND('Planilla_General_07-12-2012_8_3'!E1836,"AAAAAHZ+/+A=")</f>
        <v>#VALUE!</v>
      </c>
      <c r="HR122" t="e">
        <f>AND('Planilla_General_07-12-2012_8_3'!F1836,"AAAAAHZ+/+E=")</f>
        <v>#VALUE!</v>
      </c>
      <c r="HS122" t="e">
        <f>AND('Planilla_General_07-12-2012_8_3'!G1836,"AAAAAHZ+/+I=")</f>
        <v>#VALUE!</v>
      </c>
      <c r="HT122" t="e">
        <f>AND('Planilla_General_07-12-2012_8_3'!H1836,"AAAAAHZ+/+M=")</f>
        <v>#VALUE!</v>
      </c>
      <c r="HU122" t="e">
        <f>AND('Planilla_General_07-12-2012_8_3'!I1836,"AAAAAHZ+/+Q=")</f>
        <v>#VALUE!</v>
      </c>
      <c r="HV122" t="e">
        <f>AND('Planilla_General_07-12-2012_8_3'!J1836,"AAAAAHZ+/+U=")</f>
        <v>#VALUE!</v>
      </c>
      <c r="HW122" t="e">
        <f>AND('Planilla_General_07-12-2012_8_3'!K1836,"AAAAAHZ+/+Y=")</f>
        <v>#VALUE!</v>
      </c>
      <c r="HX122" t="e">
        <f>AND('Planilla_General_07-12-2012_8_3'!L1836,"AAAAAHZ+/+c=")</f>
        <v>#VALUE!</v>
      </c>
      <c r="HY122" t="e">
        <f>AND('Planilla_General_07-12-2012_8_3'!M1836,"AAAAAHZ+/+g=")</f>
        <v>#VALUE!</v>
      </c>
      <c r="HZ122" t="e">
        <f>AND('Planilla_General_07-12-2012_8_3'!N1836,"AAAAAHZ+/+k=")</f>
        <v>#VALUE!</v>
      </c>
      <c r="IA122" t="e">
        <f>AND('Planilla_General_07-12-2012_8_3'!O1836,"AAAAAHZ+/+o=")</f>
        <v>#VALUE!</v>
      </c>
      <c r="IB122" t="e">
        <f>AND('Planilla_General_07-12-2012_8_3'!P1836,"AAAAAHZ+/+s=")</f>
        <v>#VALUE!</v>
      </c>
      <c r="IC122">
        <f>IF('Planilla_General_07-12-2012_8_3'!1837:1837,"AAAAAHZ+/+w=",0)</f>
        <v>0</v>
      </c>
      <c r="ID122" t="e">
        <f>AND('Planilla_General_07-12-2012_8_3'!A1837,"AAAAAHZ+/+0=")</f>
        <v>#VALUE!</v>
      </c>
      <c r="IE122" t="e">
        <f>AND('Planilla_General_07-12-2012_8_3'!B1837,"AAAAAHZ+/+4=")</f>
        <v>#VALUE!</v>
      </c>
      <c r="IF122" t="e">
        <f>AND('Planilla_General_07-12-2012_8_3'!C1837,"AAAAAHZ+/+8=")</f>
        <v>#VALUE!</v>
      </c>
      <c r="IG122" t="e">
        <f>AND('Planilla_General_07-12-2012_8_3'!D1837,"AAAAAHZ+//A=")</f>
        <v>#VALUE!</v>
      </c>
      <c r="IH122" t="e">
        <f>AND('Planilla_General_07-12-2012_8_3'!E1837,"AAAAAHZ+//E=")</f>
        <v>#VALUE!</v>
      </c>
      <c r="II122" t="e">
        <f>AND('Planilla_General_07-12-2012_8_3'!F1837,"AAAAAHZ+//I=")</f>
        <v>#VALUE!</v>
      </c>
      <c r="IJ122" t="e">
        <f>AND('Planilla_General_07-12-2012_8_3'!G1837,"AAAAAHZ+//M=")</f>
        <v>#VALUE!</v>
      </c>
      <c r="IK122" t="e">
        <f>AND('Planilla_General_07-12-2012_8_3'!H1837,"AAAAAHZ+//Q=")</f>
        <v>#VALUE!</v>
      </c>
      <c r="IL122" t="e">
        <f>AND('Planilla_General_07-12-2012_8_3'!I1837,"AAAAAHZ+//U=")</f>
        <v>#VALUE!</v>
      </c>
      <c r="IM122" t="e">
        <f>AND('Planilla_General_07-12-2012_8_3'!J1837,"AAAAAHZ+//Y=")</f>
        <v>#VALUE!</v>
      </c>
      <c r="IN122" t="e">
        <f>AND('Planilla_General_07-12-2012_8_3'!K1837,"AAAAAHZ+//c=")</f>
        <v>#VALUE!</v>
      </c>
      <c r="IO122" t="e">
        <f>AND('Planilla_General_07-12-2012_8_3'!L1837,"AAAAAHZ+//g=")</f>
        <v>#VALUE!</v>
      </c>
      <c r="IP122" t="e">
        <f>AND('Planilla_General_07-12-2012_8_3'!M1837,"AAAAAHZ+//k=")</f>
        <v>#VALUE!</v>
      </c>
      <c r="IQ122" t="e">
        <f>AND('Planilla_General_07-12-2012_8_3'!N1837,"AAAAAHZ+//o=")</f>
        <v>#VALUE!</v>
      </c>
      <c r="IR122" t="e">
        <f>AND('Planilla_General_07-12-2012_8_3'!O1837,"AAAAAHZ+//s=")</f>
        <v>#VALUE!</v>
      </c>
      <c r="IS122" t="e">
        <f>AND('Planilla_General_07-12-2012_8_3'!P1837,"AAAAAHZ+//w=")</f>
        <v>#VALUE!</v>
      </c>
      <c r="IT122">
        <f>IF('Planilla_General_07-12-2012_8_3'!1838:1838,"AAAAAHZ+//0=",0)</f>
        <v>0</v>
      </c>
      <c r="IU122" t="e">
        <f>AND('Planilla_General_07-12-2012_8_3'!A1838,"AAAAAHZ+//4=")</f>
        <v>#VALUE!</v>
      </c>
      <c r="IV122" t="e">
        <f>AND('Planilla_General_07-12-2012_8_3'!B1838,"AAAAAHZ+//8=")</f>
        <v>#VALUE!</v>
      </c>
    </row>
    <row r="123" spans="1:256" x14ac:dyDescent="0.25">
      <c r="A123" t="e">
        <f>AND('Planilla_General_07-12-2012_8_3'!C1838,"AAAAACf7/wA=")</f>
        <v>#VALUE!</v>
      </c>
      <c r="B123" t="e">
        <f>AND('Planilla_General_07-12-2012_8_3'!D1838,"AAAAACf7/wE=")</f>
        <v>#VALUE!</v>
      </c>
      <c r="C123" t="e">
        <f>AND('Planilla_General_07-12-2012_8_3'!E1838,"AAAAACf7/wI=")</f>
        <v>#VALUE!</v>
      </c>
      <c r="D123" t="e">
        <f>AND('Planilla_General_07-12-2012_8_3'!F1838,"AAAAACf7/wM=")</f>
        <v>#VALUE!</v>
      </c>
      <c r="E123" t="e">
        <f>AND('Planilla_General_07-12-2012_8_3'!G1838,"AAAAACf7/wQ=")</f>
        <v>#VALUE!</v>
      </c>
      <c r="F123" t="e">
        <f>AND('Planilla_General_07-12-2012_8_3'!H1838,"AAAAACf7/wU=")</f>
        <v>#VALUE!</v>
      </c>
      <c r="G123" t="e">
        <f>AND('Planilla_General_07-12-2012_8_3'!I1838,"AAAAACf7/wY=")</f>
        <v>#VALUE!</v>
      </c>
      <c r="H123" t="e">
        <f>AND('Planilla_General_07-12-2012_8_3'!J1838,"AAAAACf7/wc=")</f>
        <v>#VALUE!</v>
      </c>
      <c r="I123" t="e">
        <f>AND('Planilla_General_07-12-2012_8_3'!K1838,"AAAAACf7/wg=")</f>
        <v>#VALUE!</v>
      </c>
      <c r="J123" t="e">
        <f>AND('Planilla_General_07-12-2012_8_3'!L1838,"AAAAACf7/wk=")</f>
        <v>#VALUE!</v>
      </c>
      <c r="K123" t="e">
        <f>AND('Planilla_General_07-12-2012_8_3'!M1838,"AAAAACf7/wo=")</f>
        <v>#VALUE!</v>
      </c>
      <c r="L123" t="e">
        <f>AND('Planilla_General_07-12-2012_8_3'!N1838,"AAAAACf7/ws=")</f>
        <v>#VALUE!</v>
      </c>
      <c r="M123" t="e">
        <f>AND('Planilla_General_07-12-2012_8_3'!O1838,"AAAAACf7/ww=")</f>
        <v>#VALUE!</v>
      </c>
      <c r="N123" t="e">
        <f>AND('Planilla_General_07-12-2012_8_3'!P1838,"AAAAACf7/w0=")</f>
        <v>#VALUE!</v>
      </c>
      <c r="O123" t="str">
        <f>IF('Planilla_General_07-12-2012_8_3'!1839:1839,"AAAAACf7/w4=",0)</f>
        <v>AAAAACf7/w4=</v>
      </c>
      <c r="P123" t="e">
        <f>AND('Planilla_General_07-12-2012_8_3'!A1839,"AAAAACf7/w8=")</f>
        <v>#VALUE!</v>
      </c>
      <c r="Q123" t="e">
        <f>AND('Planilla_General_07-12-2012_8_3'!B1839,"AAAAACf7/xA=")</f>
        <v>#VALUE!</v>
      </c>
      <c r="R123" t="e">
        <f>AND('Planilla_General_07-12-2012_8_3'!C1839,"AAAAACf7/xE=")</f>
        <v>#VALUE!</v>
      </c>
      <c r="S123" t="e">
        <f>AND('Planilla_General_07-12-2012_8_3'!D1839,"AAAAACf7/xI=")</f>
        <v>#VALUE!</v>
      </c>
      <c r="T123" t="e">
        <f>AND('Planilla_General_07-12-2012_8_3'!E1839,"AAAAACf7/xM=")</f>
        <v>#VALUE!</v>
      </c>
      <c r="U123" t="e">
        <f>AND('Planilla_General_07-12-2012_8_3'!F1839,"AAAAACf7/xQ=")</f>
        <v>#VALUE!</v>
      </c>
      <c r="V123" t="e">
        <f>AND('Planilla_General_07-12-2012_8_3'!G1839,"AAAAACf7/xU=")</f>
        <v>#VALUE!</v>
      </c>
      <c r="W123" t="e">
        <f>AND('Planilla_General_07-12-2012_8_3'!H1839,"AAAAACf7/xY=")</f>
        <v>#VALUE!</v>
      </c>
      <c r="X123" t="e">
        <f>AND('Planilla_General_07-12-2012_8_3'!I1839,"AAAAACf7/xc=")</f>
        <v>#VALUE!</v>
      </c>
      <c r="Y123" t="e">
        <f>AND('Planilla_General_07-12-2012_8_3'!J1839,"AAAAACf7/xg=")</f>
        <v>#VALUE!</v>
      </c>
      <c r="Z123" t="e">
        <f>AND('Planilla_General_07-12-2012_8_3'!K1839,"AAAAACf7/xk=")</f>
        <v>#VALUE!</v>
      </c>
      <c r="AA123" t="e">
        <f>AND('Planilla_General_07-12-2012_8_3'!L1839,"AAAAACf7/xo=")</f>
        <v>#VALUE!</v>
      </c>
      <c r="AB123" t="e">
        <f>AND('Planilla_General_07-12-2012_8_3'!M1839,"AAAAACf7/xs=")</f>
        <v>#VALUE!</v>
      </c>
      <c r="AC123" t="e">
        <f>AND('Planilla_General_07-12-2012_8_3'!N1839,"AAAAACf7/xw=")</f>
        <v>#VALUE!</v>
      </c>
      <c r="AD123" t="e">
        <f>AND('Planilla_General_07-12-2012_8_3'!O1839,"AAAAACf7/x0=")</f>
        <v>#VALUE!</v>
      </c>
      <c r="AE123" t="e">
        <f>AND('Planilla_General_07-12-2012_8_3'!P1839,"AAAAACf7/x4=")</f>
        <v>#VALUE!</v>
      </c>
      <c r="AF123">
        <f>IF('Planilla_General_07-12-2012_8_3'!1840:1840,"AAAAACf7/x8=",0)</f>
        <v>0</v>
      </c>
      <c r="AG123" t="e">
        <f>AND('Planilla_General_07-12-2012_8_3'!A1840,"AAAAACf7/yA=")</f>
        <v>#VALUE!</v>
      </c>
      <c r="AH123" t="e">
        <f>AND('Planilla_General_07-12-2012_8_3'!B1840,"AAAAACf7/yE=")</f>
        <v>#VALUE!</v>
      </c>
      <c r="AI123" t="e">
        <f>AND('Planilla_General_07-12-2012_8_3'!C1840,"AAAAACf7/yI=")</f>
        <v>#VALUE!</v>
      </c>
      <c r="AJ123" t="e">
        <f>AND('Planilla_General_07-12-2012_8_3'!D1840,"AAAAACf7/yM=")</f>
        <v>#VALUE!</v>
      </c>
      <c r="AK123" t="e">
        <f>AND('Planilla_General_07-12-2012_8_3'!E1840,"AAAAACf7/yQ=")</f>
        <v>#VALUE!</v>
      </c>
      <c r="AL123" t="e">
        <f>AND('Planilla_General_07-12-2012_8_3'!F1840,"AAAAACf7/yU=")</f>
        <v>#VALUE!</v>
      </c>
      <c r="AM123" t="e">
        <f>AND('Planilla_General_07-12-2012_8_3'!G1840,"AAAAACf7/yY=")</f>
        <v>#VALUE!</v>
      </c>
      <c r="AN123" t="e">
        <f>AND('Planilla_General_07-12-2012_8_3'!H1840,"AAAAACf7/yc=")</f>
        <v>#VALUE!</v>
      </c>
      <c r="AO123" t="e">
        <f>AND('Planilla_General_07-12-2012_8_3'!I1840,"AAAAACf7/yg=")</f>
        <v>#VALUE!</v>
      </c>
      <c r="AP123" t="e">
        <f>AND('Planilla_General_07-12-2012_8_3'!J1840,"AAAAACf7/yk=")</f>
        <v>#VALUE!</v>
      </c>
      <c r="AQ123" t="e">
        <f>AND('Planilla_General_07-12-2012_8_3'!K1840,"AAAAACf7/yo=")</f>
        <v>#VALUE!</v>
      </c>
      <c r="AR123" t="e">
        <f>AND('Planilla_General_07-12-2012_8_3'!L1840,"AAAAACf7/ys=")</f>
        <v>#VALUE!</v>
      </c>
      <c r="AS123" t="e">
        <f>AND('Planilla_General_07-12-2012_8_3'!M1840,"AAAAACf7/yw=")</f>
        <v>#VALUE!</v>
      </c>
      <c r="AT123" t="e">
        <f>AND('Planilla_General_07-12-2012_8_3'!N1840,"AAAAACf7/y0=")</f>
        <v>#VALUE!</v>
      </c>
      <c r="AU123" t="e">
        <f>AND('Planilla_General_07-12-2012_8_3'!O1840,"AAAAACf7/y4=")</f>
        <v>#VALUE!</v>
      </c>
      <c r="AV123" t="e">
        <f>AND('Planilla_General_07-12-2012_8_3'!P1840,"AAAAACf7/y8=")</f>
        <v>#VALUE!</v>
      </c>
      <c r="AW123">
        <f>IF('Planilla_General_07-12-2012_8_3'!1841:1841,"AAAAACf7/zA=",0)</f>
        <v>0</v>
      </c>
      <c r="AX123" t="e">
        <f>AND('Planilla_General_07-12-2012_8_3'!A1841,"AAAAACf7/zE=")</f>
        <v>#VALUE!</v>
      </c>
      <c r="AY123" t="e">
        <f>AND('Planilla_General_07-12-2012_8_3'!B1841,"AAAAACf7/zI=")</f>
        <v>#VALUE!</v>
      </c>
      <c r="AZ123" t="e">
        <f>AND('Planilla_General_07-12-2012_8_3'!C1841,"AAAAACf7/zM=")</f>
        <v>#VALUE!</v>
      </c>
      <c r="BA123" t="e">
        <f>AND('Planilla_General_07-12-2012_8_3'!D1841,"AAAAACf7/zQ=")</f>
        <v>#VALUE!</v>
      </c>
      <c r="BB123" t="e">
        <f>AND('Planilla_General_07-12-2012_8_3'!E1841,"AAAAACf7/zU=")</f>
        <v>#VALUE!</v>
      </c>
      <c r="BC123" t="e">
        <f>AND('Planilla_General_07-12-2012_8_3'!F1841,"AAAAACf7/zY=")</f>
        <v>#VALUE!</v>
      </c>
      <c r="BD123" t="e">
        <f>AND('Planilla_General_07-12-2012_8_3'!G1841,"AAAAACf7/zc=")</f>
        <v>#VALUE!</v>
      </c>
      <c r="BE123" t="e">
        <f>AND('Planilla_General_07-12-2012_8_3'!H1841,"AAAAACf7/zg=")</f>
        <v>#VALUE!</v>
      </c>
      <c r="BF123" t="e">
        <f>AND('Planilla_General_07-12-2012_8_3'!I1841,"AAAAACf7/zk=")</f>
        <v>#VALUE!</v>
      </c>
      <c r="BG123" t="e">
        <f>AND('Planilla_General_07-12-2012_8_3'!J1841,"AAAAACf7/zo=")</f>
        <v>#VALUE!</v>
      </c>
      <c r="BH123" t="e">
        <f>AND('Planilla_General_07-12-2012_8_3'!K1841,"AAAAACf7/zs=")</f>
        <v>#VALUE!</v>
      </c>
      <c r="BI123" t="e">
        <f>AND('Planilla_General_07-12-2012_8_3'!L1841,"AAAAACf7/zw=")</f>
        <v>#VALUE!</v>
      </c>
      <c r="BJ123" t="e">
        <f>AND('Planilla_General_07-12-2012_8_3'!M1841,"AAAAACf7/z0=")</f>
        <v>#VALUE!</v>
      </c>
      <c r="BK123" t="e">
        <f>AND('Planilla_General_07-12-2012_8_3'!N1841,"AAAAACf7/z4=")</f>
        <v>#VALUE!</v>
      </c>
      <c r="BL123" t="e">
        <f>AND('Planilla_General_07-12-2012_8_3'!O1841,"AAAAACf7/z8=")</f>
        <v>#VALUE!</v>
      </c>
      <c r="BM123" t="e">
        <f>AND('Planilla_General_07-12-2012_8_3'!P1841,"AAAAACf7/0A=")</f>
        <v>#VALUE!</v>
      </c>
      <c r="BN123">
        <f>IF('Planilla_General_07-12-2012_8_3'!1842:1842,"AAAAACf7/0E=",0)</f>
        <v>0</v>
      </c>
      <c r="BO123" t="e">
        <f>AND('Planilla_General_07-12-2012_8_3'!A1842,"AAAAACf7/0I=")</f>
        <v>#VALUE!</v>
      </c>
      <c r="BP123" t="e">
        <f>AND('Planilla_General_07-12-2012_8_3'!B1842,"AAAAACf7/0M=")</f>
        <v>#VALUE!</v>
      </c>
      <c r="BQ123" t="e">
        <f>AND('Planilla_General_07-12-2012_8_3'!C1842,"AAAAACf7/0Q=")</f>
        <v>#VALUE!</v>
      </c>
      <c r="BR123" t="e">
        <f>AND('Planilla_General_07-12-2012_8_3'!D1842,"AAAAACf7/0U=")</f>
        <v>#VALUE!</v>
      </c>
      <c r="BS123" t="e">
        <f>AND('Planilla_General_07-12-2012_8_3'!E1842,"AAAAACf7/0Y=")</f>
        <v>#VALUE!</v>
      </c>
      <c r="BT123" t="e">
        <f>AND('Planilla_General_07-12-2012_8_3'!F1842,"AAAAACf7/0c=")</f>
        <v>#VALUE!</v>
      </c>
      <c r="BU123" t="e">
        <f>AND('Planilla_General_07-12-2012_8_3'!G1842,"AAAAACf7/0g=")</f>
        <v>#VALUE!</v>
      </c>
      <c r="BV123" t="e">
        <f>AND('Planilla_General_07-12-2012_8_3'!H1842,"AAAAACf7/0k=")</f>
        <v>#VALUE!</v>
      </c>
      <c r="BW123" t="e">
        <f>AND('Planilla_General_07-12-2012_8_3'!I1842,"AAAAACf7/0o=")</f>
        <v>#VALUE!</v>
      </c>
      <c r="BX123" t="e">
        <f>AND('Planilla_General_07-12-2012_8_3'!J1842,"AAAAACf7/0s=")</f>
        <v>#VALUE!</v>
      </c>
      <c r="BY123" t="e">
        <f>AND('Planilla_General_07-12-2012_8_3'!K1842,"AAAAACf7/0w=")</f>
        <v>#VALUE!</v>
      </c>
      <c r="BZ123" t="e">
        <f>AND('Planilla_General_07-12-2012_8_3'!L1842,"AAAAACf7/00=")</f>
        <v>#VALUE!</v>
      </c>
      <c r="CA123" t="e">
        <f>AND('Planilla_General_07-12-2012_8_3'!M1842,"AAAAACf7/04=")</f>
        <v>#VALUE!</v>
      </c>
      <c r="CB123" t="e">
        <f>AND('Planilla_General_07-12-2012_8_3'!N1842,"AAAAACf7/08=")</f>
        <v>#VALUE!</v>
      </c>
      <c r="CC123" t="e">
        <f>AND('Planilla_General_07-12-2012_8_3'!O1842,"AAAAACf7/1A=")</f>
        <v>#VALUE!</v>
      </c>
      <c r="CD123" t="e">
        <f>AND('Planilla_General_07-12-2012_8_3'!P1842,"AAAAACf7/1E=")</f>
        <v>#VALUE!</v>
      </c>
      <c r="CE123">
        <f>IF('Planilla_General_07-12-2012_8_3'!1843:1843,"AAAAACf7/1I=",0)</f>
        <v>0</v>
      </c>
      <c r="CF123" t="e">
        <f>AND('Planilla_General_07-12-2012_8_3'!A1843,"AAAAACf7/1M=")</f>
        <v>#VALUE!</v>
      </c>
      <c r="CG123" t="e">
        <f>AND('Planilla_General_07-12-2012_8_3'!B1843,"AAAAACf7/1Q=")</f>
        <v>#VALUE!</v>
      </c>
      <c r="CH123" t="e">
        <f>AND('Planilla_General_07-12-2012_8_3'!C1843,"AAAAACf7/1U=")</f>
        <v>#VALUE!</v>
      </c>
      <c r="CI123" t="e">
        <f>AND('Planilla_General_07-12-2012_8_3'!D1843,"AAAAACf7/1Y=")</f>
        <v>#VALUE!</v>
      </c>
      <c r="CJ123" t="e">
        <f>AND('Planilla_General_07-12-2012_8_3'!E1843,"AAAAACf7/1c=")</f>
        <v>#VALUE!</v>
      </c>
      <c r="CK123" t="e">
        <f>AND('Planilla_General_07-12-2012_8_3'!F1843,"AAAAACf7/1g=")</f>
        <v>#VALUE!</v>
      </c>
      <c r="CL123" t="e">
        <f>AND('Planilla_General_07-12-2012_8_3'!G1843,"AAAAACf7/1k=")</f>
        <v>#VALUE!</v>
      </c>
      <c r="CM123" t="e">
        <f>AND('Planilla_General_07-12-2012_8_3'!H1843,"AAAAACf7/1o=")</f>
        <v>#VALUE!</v>
      </c>
      <c r="CN123" t="e">
        <f>AND('Planilla_General_07-12-2012_8_3'!I1843,"AAAAACf7/1s=")</f>
        <v>#VALUE!</v>
      </c>
      <c r="CO123" t="e">
        <f>AND('Planilla_General_07-12-2012_8_3'!J1843,"AAAAACf7/1w=")</f>
        <v>#VALUE!</v>
      </c>
      <c r="CP123" t="e">
        <f>AND('Planilla_General_07-12-2012_8_3'!K1843,"AAAAACf7/10=")</f>
        <v>#VALUE!</v>
      </c>
      <c r="CQ123" t="e">
        <f>AND('Planilla_General_07-12-2012_8_3'!L1843,"AAAAACf7/14=")</f>
        <v>#VALUE!</v>
      </c>
      <c r="CR123" t="e">
        <f>AND('Planilla_General_07-12-2012_8_3'!M1843,"AAAAACf7/18=")</f>
        <v>#VALUE!</v>
      </c>
      <c r="CS123" t="e">
        <f>AND('Planilla_General_07-12-2012_8_3'!N1843,"AAAAACf7/2A=")</f>
        <v>#VALUE!</v>
      </c>
      <c r="CT123" t="e">
        <f>AND('Planilla_General_07-12-2012_8_3'!O1843,"AAAAACf7/2E=")</f>
        <v>#VALUE!</v>
      </c>
      <c r="CU123" t="e">
        <f>AND('Planilla_General_07-12-2012_8_3'!P1843,"AAAAACf7/2I=")</f>
        <v>#VALUE!</v>
      </c>
      <c r="CV123">
        <f>IF('Planilla_General_07-12-2012_8_3'!1844:1844,"AAAAACf7/2M=",0)</f>
        <v>0</v>
      </c>
      <c r="CW123" t="e">
        <f>AND('Planilla_General_07-12-2012_8_3'!A1844,"AAAAACf7/2Q=")</f>
        <v>#VALUE!</v>
      </c>
      <c r="CX123" t="e">
        <f>AND('Planilla_General_07-12-2012_8_3'!B1844,"AAAAACf7/2U=")</f>
        <v>#VALUE!</v>
      </c>
      <c r="CY123" t="e">
        <f>AND('Planilla_General_07-12-2012_8_3'!C1844,"AAAAACf7/2Y=")</f>
        <v>#VALUE!</v>
      </c>
      <c r="CZ123" t="e">
        <f>AND('Planilla_General_07-12-2012_8_3'!D1844,"AAAAACf7/2c=")</f>
        <v>#VALUE!</v>
      </c>
      <c r="DA123" t="e">
        <f>AND('Planilla_General_07-12-2012_8_3'!E1844,"AAAAACf7/2g=")</f>
        <v>#VALUE!</v>
      </c>
      <c r="DB123" t="e">
        <f>AND('Planilla_General_07-12-2012_8_3'!F1844,"AAAAACf7/2k=")</f>
        <v>#VALUE!</v>
      </c>
      <c r="DC123" t="e">
        <f>AND('Planilla_General_07-12-2012_8_3'!G1844,"AAAAACf7/2o=")</f>
        <v>#VALUE!</v>
      </c>
      <c r="DD123" t="e">
        <f>AND('Planilla_General_07-12-2012_8_3'!H1844,"AAAAACf7/2s=")</f>
        <v>#VALUE!</v>
      </c>
      <c r="DE123" t="e">
        <f>AND('Planilla_General_07-12-2012_8_3'!I1844,"AAAAACf7/2w=")</f>
        <v>#VALUE!</v>
      </c>
      <c r="DF123" t="e">
        <f>AND('Planilla_General_07-12-2012_8_3'!J1844,"AAAAACf7/20=")</f>
        <v>#VALUE!</v>
      </c>
      <c r="DG123" t="e">
        <f>AND('Planilla_General_07-12-2012_8_3'!K1844,"AAAAACf7/24=")</f>
        <v>#VALUE!</v>
      </c>
      <c r="DH123" t="e">
        <f>AND('Planilla_General_07-12-2012_8_3'!L1844,"AAAAACf7/28=")</f>
        <v>#VALUE!</v>
      </c>
      <c r="DI123" t="e">
        <f>AND('Planilla_General_07-12-2012_8_3'!M1844,"AAAAACf7/3A=")</f>
        <v>#VALUE!</v>
      </c>
      <c r="DJ123" t="e">
        <f>AND('Planilla_General_07-12-2012_8_3'!N1844,"AAAAACf7/3E=")</f>
        <v>#VALUE!</v>
      </c>
      <c r="DK123" t="e">
        <f>AND('Planilla_General_07-12-2012_8_3'!O1844,"AAAAACf7/3I=")</f>
        <v>#VALUE!</v>
      </c>
      <c r="DL123" t="e">
        <f>AND('Planilla_General_07-12-2012_8_3'!P1844,"AAAAACf7/3M=")</f>
        <v>#VALUE!</v>
      </c>
      <c r="DM123">
        <f>IF('Planilla_General_07-12-2012_8_3'!1845:1845,"AAAAACf7/3Q=",0)</f>
        <v>0</v>
      </c>
      <c r="DN123" t="e">
        <f>AND('Planilla_General_07-12-2012_8_3'!A1845,"AAAAACf7/3U=")</f>
        <v>#VALUE!</v>
      </c>
      <c r="DO123" t="e">
        <f>AND('Planilla_General_07-12-2012_8_3'!B1845,"AAAAACf7/3Y=")</f>
        <v>#VALUE!</v>
      </c>
      <c r="DP123" t="e">
        <f>AND('Planilla_General_07-12-2012_8_3'!C1845,"AAAAACf7/3c=")</f>
        <v>#VALUE!</v>
      </c>
      <c r="DQ123" t="e">
        <f>AND('Planilla_General_07-12-2012_8_3'!D1845,"AAAAACf7/3g=")</f>
        <v>#VALUE!</v>
      </c>
      <c r="DR123" t="e">
        <f>AND('Planilla_General_07-12-2012_8_3'!E1845,"AAAAACf7/3k=")</f>
        <v>#VALUE!</v>
      </c>
      <c r="DS123" t="e">
        <f>AND('Planilla_General_07-12-2012_8_3'!F1845,"AAAAACf7/3o=")</f>
        <v>#VALUE!</v>
      </c>
      <c r="DT123" t="e">
        <f>AND('Planilla_General_07-12-2012_8_3'!G1845,"AAAAACf7/3s=")</f>
        <v>#VALUE!</v>
      </c>
      <c r="DU123" t="e">
        <f>AND('Planilla_General_07-12-2012_8_3'!H1845,"AAAAACf7/3w=")</f>
        <v>#VALUE!</v>
      </c>
      <c r="DV123" t="e">
        <f>AND('Planilla_General_07-12-2012_8_3'!I1845,"AAAAACf7/30=")</f>
        <v>#VALUE!</v>
      </c>
      <c r="DW123" t="e">
        <f>AND('Planilla_General_07-12-2012_8_3'!J1845,"AAAAACf7/34=")</f>
        <v>#VALUE!</v>
      </c>
      <c r="DX123" t="e">
        <f>AND('Planilla_General_07-12-2012_8_3'!K1845,"AAAAACf7/38=")</f>
        <v>#VALUE!</v>
      </c>
      <c r="DY123" t="e">
        <f>AND('Planilla_General_07-12-2012_8_3'!L1845,"AAAAACf7/4A=")</f>
        <v>#VALUE!</v>
      </c>
      <c r="DZ123" t="e">
        <f>AND('Planilla_General_07-12-2012_8_3'!M1845,"AAAAACf7/4E=")</f>
        <v>#VALUE!</v>
      </c>
      <c r="EA123" t="e">
        <f>AND('Planilla_General_07-12-2012_8_3'!N1845,"AAAAACf7/4I=")</f>
        <v>#VALUE!</v>
      </c>
      <c r="EB123" t="e">
        <f>AND('Planilla_General_07-12-2012_8_3'!O1845,"AAAAACf7/4M=")</f>
        <v>#VALUE!</v>
      </c>
      <c r="EC123" t="e">
        <f>AND('Planilla_General_07-12-2012_8_3'!P1845,"AAAAACf7/4Q=")</f>
        <v>#VALUE!</v>
      </c>
      <c r="ED123">
        <f>IF('Planilla_General_07-12-2012_8_3'!1846:1846,"AAAAACf7/4U=",0)</f>
        <v>0</v>
      </c>
      <c r="EE123" t="e">
        <f>AND('Planilla_General_07-12-2012_8_3'!A1846,"AAAAACf7/4Y=")</f>
        <v>#VALUE!</v>
      </c>
      <c r="EF123" t="e">
        <f>AND('Planilla_General_07-12-2012_8_3'!B1846,"AAAAACf7/4c=")</f>
        <v>#VALUE!</v>
      </c>
      <c r="EG123" t="e">
        <f>AND('Planilla_General_07-12-2012_8_3'!C1846,"AAAAACf7/4g=")</f>
        <v>#VALUE!</v>
      </c>
      <c r="EH123" t="e">
        <f>AND('Planilla_General_07-12-2012_8_3'!D1846,"AAAAACf7/4k=")</f>
        <v>#VALUE!</v>
      </c>
      <c r="EI123" t="e">
        <f>AND('Planilla_General_07-12-2012_8_3'!E1846,"AAAAACf7/4o=")</f>
        <v>#VALUE!</v>
      </c>
      <c r="EJ123" t="e">
        <f>AND('Planilla_General_07-12-2012_8_3'!F1846,"AAAAACf7/4s=")</f>
        <v>#VALUE!</v>
      </c>
      <c r="EK123" t="e">
        <f>AND('Planilla_General_07-12-2012_8_3'!G1846,"AAAAACf7/4w=")</f>
        <v>#VALUE!</v>
      </c>
      <c r="EL123" t="e">
        <f>AND('Planilla_General_07-12-2012_8_3'!H1846,"AAAAACf7/40=")</f>
        <v>#VALUE!</v>
      </c>
      <c r="EM123" t="e">
        <f>AND('Planilla_General_07-12-2012_8_3'!I1846,"AAAAACf7/44=")</f>
        <v>#VALUE!</v>
      </c>
      <c r="EN123" t="e">
        <f>AND('Planilla_General_07-12-2012_8_3'!J1846,"AAAAACf7/48=")</f>
        <v>#VALUE!</v>
      </c>
      <c r="EO123" t="e">
        <f>AND('Planilla_General_07-12-2012_8_3'!K1846,"AAAAACf7/5A=")</f>
        <v>#VALUE!</v>
      </c>
      <c r="EP123" t="e">
        <f>AND('Planilla_General_07-12-2012_8_3'!L1846,"AAAAACf7/5E=")</f>
        <v>#VALUE!</v>
      </c>
      <c r="EQ123" t="e">
        <f>AND('Planilla_General_07-12-2012_8_3'!M1846,"AAAAACf7/5I=")</f>
        <v>#VALUE!</v>
      </c>
      <c r="ER123" t="e">
        <f>AND('Planilla_General_07-12-2012_8_3'!N1846,"AAAAACf7/5M=")</f>
        <v>#VALUE!</v>
      </c>
      <c r="ES123" t="e">
        <f>AND('Planilla_General_07-12-2012_8_3'!O1846,"AAAAACf7/5Q=")</f>
        <v>#VALUE!</v>
      </c>
      <c r="ET123" t="e">
        <f>AND('Planilla_General_07-12-2012_8_3'!P1846,"AAAAACf7/5U=")</f>
        <v>#VALUE!</v>
      </c>
      <c r="EU123">
        <f>IF('Planilla_General_07-12-2012_8_3'!1847:1847,"AAAAACf7/5Y=",0)</f>
        <v>0</v>
      </c>
      <c r="EV123" t="e">
        <f>AND('Planilla_General_07-12-2012_8_3'!A1847,"AAAAACf7/5c=")</f>
        <v>#VALUE!</v>
      </c>
      <c r="EW123" t="e">
        <f>AND('Planilla_General_07-12-2012_8_3'!B1847,"AAAAACf7/5g=")</f>
        <v>#VALUE!</v>
      </c>
      <c r="EX123" t="e">
        <f>AND('Planilla_General_07-12-2012_8_3'!C1847,"AAAAACf7/5k=")</f>
        <v>#VALUE!</v>
      </c>
      <c r="EY123" t="e">
        <f>AND('Planilla_General_07-12-2012_8_3'!D1847,"AAAAACf7/5o=")</f>
        <v>#VALUE!</v>
      </c>
      <c r="EZ123" t="e">
        <f>AND('Planilla_General_07-12-2012_8_3'!E1847,"AAAAACf7/5s=")</f>
        <v>#VALUE!</v>
      </c>
      <c r="FA123" t="e">
        <f>AND('Planilla_General_07-12-2012_8_3'!F1847,"AAAAACf7/5w=")</f>
        <v>#VALUE!</v>
      </c>
      <c r="FB123" t="e">
        <f>AND('Planilla_General_07-12-2012_8_3'!G1847,"AAAAACf7/50=")</f>
        <v>#VALUE!</v>
      </c>
      <c r="FC123" t="e">
        <f>AND('Planilla_General_07-12-2012_8_3'!H1847,"AAAAACf7/54=")</f>
        <v>#VALUE!</v>
      </c>
      <c r="FD123" t="e">
        <f>AND('Planilla_General_07-12-2012_8_3'!I1847,"AAAAACf7/58=")</f>
        <v>#VALUE!</v>
      </c>
      <c r="FE123" t="e">
        <f>AND('Planilla_General_07-12-2012_8_3'!J1847,"AAAAACf7/6A=")</f>
        <v>#VALUE!</v>
      </c>
      <c r="FF123" t="e">
        <f>AND('Planilla_General_07-12-2012_8_3'!K1847,"AAAAACf7/6E=")</f>
        <v>#VALUE!</v>
      </c>
      <c r="FG123" t="e">
        <f>AND('Planilla_General_07-12-2012_8_3'!L1847,"AAAAACf7/6I=")</f>
        <v>#VALUE!</v>
      </c>
      <c r="FH123" t="e">
        <f>AND('Planilla_General_07-12-2012_8_3'!M1847,"AAAAACf7/6M=")</f>
        <v>#VALUE!</v>
      </c>
      <c r="FI123" t="e">
        <f>AND('Planilla_General_07-12-2012_8_3'!N1847,"AAAAACf7/6Q=")</f>
        <v>#VALUE!</v>
      </c>
      <c r="FJ123" t="e">
        <f>AND('Planilla_General_07-12-2012_8_3'!O1847,"AAAAACf7/6U=")</f>
        <v>#VALUE!</v>
      </c>
      <c r="FK123" t="e">
        <f>AND('Planilla_General_07-12-2012_8_3'!P1847,"AAAAACf7/6Y=")</f>
        <v>#VALUE!</v>
      </c>
      <c r="FL123">
        <f>IF('Planilla_General_07-12-2012_8_3'!1848:1848,"AAAAACf7/6c=",0)</f>
        <v>0</v>
      </c>
      <c r="FM123" t="e">
        <f>AND('Planilla_General_07-12-2012_8_3'!A1848,"AAAAACf7/6g=")</f>
        <v>#VALUE!</v>
      </c>
      <c r="FN123" t="e">
        <f>AND('Planilla_General_07-12-2012_8_3'!B1848,"AAAAACf7/6k=")</f>
        <v>#VALUE!</v>
      </c>
      <c r="FO123" t="e">
        <f>AND('Planilla_General_07-12-2012_8_3'!C1848,"AAAAACf7/6o=")</f>
        <v>#VALUE!</v>
      </c>
      <c r="FP123" t="e">
        <f>AND('Planilla_General_07-12-2012_8_3'!D1848,"AAAAACf7/6s=")</f>
        <v>#VALUE!</v>
      </c>
      <c r="FQ123" t="e">
        <f>AND('Planilla_General_07-12-2012_8_3'!E1848,"AAAAACf7/6w=")</f>
        <v>#VALUE!</v>
      </c>
      <c r="FR123" t="e">
        <f>AND('Planilla_General_07-12-2012_8_3'!F1848,"AAAAACf7/60=")</f>
        <v>#VALUE!</v>
      </c>
      <c r="FS123" t="e">
        <f>AND('Planilla_General_07-12-2012_8_3'!G1848,"AAAAACf7/64=")</f>
        <v>#VALUE!</v>
      </c>
      <c r="FT123" t="e">
        <f>AND('Planilla_General_07-12-2012_8_3'!H1848,"AAAAACf7/68=")</f>
        <v>#VALUE!</v>
      </c>
      <c r="FU123" t="e">
        <f>AND('Planilla_General_07-12-2012_8_3'!I1848,"AAAAACf7/7A=")</f>
        <v>#VALUE!</v>
      </c>
      <c r="FV123" t="e">
        <f>AND('Planilla_General_07-12-2012_8_3'!J1848,"AAAAACf7/7E=")</f>
        <v>#VALUE!</v>
      </c>
      <c r="FW123" t="e">
        <f>AND('Planilla_General_07-12-2012_8_3'!K1848,"AAAAACf7/7I=")</f>
        <v>#VALUE!</v>
      </c>
      <c r="FX123" t="e">
        <f>AND('Planilla_General_07-12-2012_8_3'!L1848,"AAAAACf7/7M=")</f>
        <v>#VALUE!</v>
      </c>
      <c r="FY123" t="e">
        <f>AND('Planilla_General_07-12-2012_8_3'!M1848,"AAAAACf7/7Q=")</f>
        <v>#VALUE!</v>
      </c>
      <c r="FZ123" t="e">
        <f>AND('Planilla_General_07-12-2012_8_3'!N1848,"AAAAACf7/7U=")</f>
        <v>#VALUE!</v>
      </c>
      <c r="GA123" t="e">
        <f>AND('Planilla_General_07-12-2012_8_3'!O1848,"AAAAACf7/7Y=")</f>
        <v>#VALUE!</v>
      </c>
      <c r="GB123" t="e">
        <f>AND('Planilla_General_07-12-2012_8_3'!P1848,"AAAAACf7/7c=")</f>
        <v>#VALUE!</v>
      </c>
      <c r="GC123">
        <f>IF('Planilla_General_07-12-2012_8_3'!1849:1849,"AAAAACf7/7g=",0)</f>
        <v>0</v>
      </c>
      <c r="GD123" t="e">
        <f>AND('Planilla_General_07-12-2012_8_3'!A1849,"AAAAACf7/7k=")</f>
        <v>#VALUE!</v>
      </c>
      <c r="GE123" t="e">
        <f>AND('Planilla_General_07-12-2012_8_3'!B1849,"AAAAACf7/7o=")</f>
        <v>#VALUE!</v>
      </c>
      <c r="GF123" t="e">
        <f>AND('Planilla_General_07-12-2012_8_3'!C1849,"AAAAACf7/7s=")</f>
        <v>#VALUE!</v>
      </c>
      <c r="GG123" t="e">
        <f>AND('Planilla_General_07-12-2012_8_3'!D1849,"AAAAACf7/7w=")</f>
        <v>#VALUE!</v>
      </c>
      <c r="GH123" t="e">
        <f>AND('Planilla_General_07-12-2012_8_3'!E1849,"AAAAACf7/70=")</f>
        <v>#VALUE!</v>
      </c>
      <c r="GI123" t="e">
        <f>AND('Planilla_General_07-12-2012_8_3'!F1849,"AAAAACf7/74=")</f>
        <v>#VALUE!</v>
      </c>
      <c r="GJ123" t="e">
        <f>AND('Planilla_General_07-12-2012_8_3'!G1849,"AAAAACf7/78=")</f>
        <v>#VALUE!</v>
      </c>
      <c r="GK123" t="e">
        <f>AND('Planilla_General_07-12-2012_8_3'!H1849,"AAAAACf7/8A=")</f>
        <v>#VALUE!</v>
      </c>
      <c r="GL123" t="e">
        <f>AND('Planilla_General_07-12-2012_8_3'!I1849,"AAAAACf7/8E=")</f>
        <v>#VALUE!</v>
      </c>
      <c r="GM123" t="e">
        <f>AND('Planilla_General_07-12-2012_8_3'!J1849,"AAAAACf7/8I=")</f>
        <v>#VALUE!</v>
      </c>
      <c r="GN123" t="e">
        <f>AND('Planilla_General_07-12-2012_8_3'!K1849,"AAAAACf7/8M=")</f>
        <v>#VALUE!</v>
      </c>
      <c r="GO123" t="e">
        <f>AND('Planilla_General_07-12-2012_8_3'!L1849,"AAAAACf7/8Q=")</f>
        <v>#VALUE!</v>
      </c>
      <c r="GP123" t="e">
        <f>AND('Planilla_General_07-12-2012_8_3'!M1849,"AAAAACf7/8U=")</f>
        <v>#VALUE!</v>
      </c>
      <c r="GQ123" t="e">
        <f>AND('Planilla_General_07-12-2012_8_3'!N1849,"AAAAACf7/8Y=")</f>
        <v>#VALUE!</v>
      </c>
      <c r="GR123" t="e">
        <f>AND('Planilla_General_07-12-2012_8_3'!O1849,"AAAAACf7/8c=")</f>
        <v>#VALUE!</v>
      </c>
      <c r="GS123" t="e">
        <f>AND('Planilla_General_07-12-2012_8_3'!P1849,"AAAAACf7/8g=")</f>
        <v>#VALUE!</v>
      </c>
      <c r="GT123">
        <f>IF('Planilla_General_07-12-2012_8_3'!1850:1850,"AAAAACf7/8k=",0)</f>
        <v>0</v>
      </c>
      <c r="GU123" t="e">
        <f>AND('Planilla_General_07-12-2012_8_3'!A1850,"AAAAACf7/8o=")</f>
        <v>#VALUE!</v>
      </c>
      <c r="GV123" t="e">
        <f>AND('Planilla_General_07-12-2012_8_3'!B1850,"AAAAACf7/8s=")</f>
        <v>#VALUE!</v>
      </c>
      <c r="GW123" t="e">
        <f>AND('Planilla_General_07-12-2012_8_3'!C1850,"AAAAACf7/8w=")</f>
        <v>#VALUE!</v>
      </c>
      <c r="GX123" t="e">
        <f>AND('Planilla_General_07-12-2012_8_3'!D1850,"AAAAACf7/80=")</f>
        <v>#VALUE!</v>
      </c>
      <c r="GY123" t="e">
        <f>AND('Planilla_General_07-12-2012_8_3'!E1850,"AAAAACf7/84=")</f>
        <v>#VALUE!</v>
      </c>
      <c r="GZ123" t="e">
        <f>AND('Planilla_General_07-12-2012_8_3'!F1850,"AAAAACf7/88=")</f>
        <v>#VALUE!</v>
      </c>
      <c r="HA123" t="e">
        <f>AND('Planilla_General_07-12-2012_8_3'!G1850,"AAAAACf7/9A=")</f>
        <v>#VALUE!</v>
      </c>
      <c r="HB123" t="e">
        <f>AND('Planilla_General_07-12-2012_8_3'!H1850,"AAAAACf7/9E=")</f>
        <v>#VALUE!</v>
      </c>
      <c r="HC123" t="e">
        <f>AND('Planilla_General_07-12-2012_8_3'!I1850,"AAAAACf7/9I=")</f>
        <v>#VALUE!</v>
      </c>
      <c r="HD123" t="e">
        <f>AND('Planilla_General_07-12-2012_8_3'!J1850,"AAAAACf7/9M=")</f>
        <v>#VALUE!</v>
      </c>
      <c r="HE123" t="e">
        <f>AND('Planilla_General_07-12-2012_8_3'!K1850,"AAAAACf7/9Q=")</f>
        <v>#VALUE!</v>
      </c>
      <c r="HF123" t="e">
        <f>AND('Planilla_General_07-12-2012_8_3'!L1850,"AAAAACf7/9U=")</f>
        <v>#VALUE!</v>
      </c>
      <c r="HG123" t="e">
        <f>AND('Planilla_General_07-12-2012_8_3'!M1850,"AAAAACf7/9Y=")</f>
        <v>#VALUE!</v>
      </c>
      <c r="HH123" t="e">
        <f>AND('Planilla_General_07-12-2012_8_3'!N1850,"AAAAACf7/9c=")</f>
        <v>#VALUE!</v>
      </c>
      <c r="HI123" t="e">
        <f>AND('Planilla_General_07-12-2012_8_3'!O1850,"AAAAACf7/9g=")</f>
        <v>#VALUE!</v>
      </c>
      <c r="HJ123" t="e">
        <f>AND('Planilla_General_07-12-2012_8_3'!P1850,"AAAAACf7/9k=")</f>
        <v>#VALUE!</v>
      </c>
      <c r="HK123">
        <f>IF('Planilla_General_07-12-2012_8_3'!1851:1851,"AAAAACf7/9o=",0)</f>
        <v>0</v>
      </c>
      <c r="HL123" t="e">
        <f>AND('Planilla_General_07-12-2012_8_3'!A1851,"AAAAACf7/9s=")</f>
        <v>#VALUE!</v>
      </c>
      <c r="HM123" t="e">
        <f>AND('Planilla_General_07-12-2012_8_3'!B1851,"AAAAACf7/9w=")</f>
        <v>#VALUE!</v>
      </c>
      <c r="HN123" t="e">
        <f>AND('Planilla_General_07-12-2012_8_3'!C1851,"AAAAACf7/90=")</f>
        <v>#VALUE!</v>
      </c>
      <c r="HO123" t="e">
        <f>AND('Planilla_General_07-12-2012_8_3'!D1851,"AAAAACf7/94=")</f>
        <v>#VALUE!</v>
      </c>
      <c r="HP123" t="e">
        <f>AND('Planilla_General_07-12-2012_8_3'!E1851,"AAAAACf7/98=")</f>
        <v>#VALUE!</v>
      </c>
      <c r="HQ123" t="e">
        <f>AND('Planilla_General_07-12-2012_8_3'!F1851,"AAAAACf7/+A=")</f>
        <v>#VALUE!</v>
      </c>
      <c r="HR123" t="e">
        <f>AND('Planilla_General_07-12-2012_8_3'!G1851,"AAAAACf7/+E=")</f>
        <v>#VALUE!</v>
      </c>
      <c r="HS123" t="e">
        <f>AND('Planilla_General_07-12-2012_8_3'!H1851,"AAAAACf7/+I=")</f>
        <v>#VALUE!</v>
      </c>
      <c r="HT123" t="e">
        <f>AND('Planilla_General_07-12-2012_8_3'!I1851,"AAAAACf7/+M=")</f>
        <v>#VALUE!</v>
      </c>
      <c r="HU123" t="e">
        <f>AND('Planilla_General_07-12-2012_8_3'!J1851,"AAAAACf7/+Q=")</f>
        <v>#VALUE!</v>
      </c>
      <c r="HV123" t="e">
        <f>AND('Planilla_General_07-12-2012_8_3'!K1851,"AAAAACf7/+U=")</f>
        <v>#VALUE!</v>
      </c>
      <c r="HW123" t="e">
        <f>AND('Planilla_General_07-12-2012_8_3'!L1851,"AAAAACf7/+Y=")</f>
        <v>#VALUE!</v>
      </c>
      <c r="HX123" t="e">
        <f>AND('Planilla_General_07-12-2012_8_3'!M1851,"AAAAACf7/+c=")</f>
        <v>#VALUE!</v>
      </c>
      <c r="HY123" t="e">
        <f>AND('Planilla_General_07-12-2012_8_3'!N1851,"AAAAACf7/+g=")</f>
        <v>#VALUE!</v>
      </c>
      <c r="HZ123" t="e">
        <f>AND('Planilla_General_07-12-2012_8_3'!O1851,"AAAAACf7/+k=")</f>
        <v>#VALUE!</v>
      </c>
      <c r="IA123" t="e">
        <f>AND('Planilla_General_07-12-2012_8_3'!P1851,"AAAAACf7/+o=")</f>
        <v>#VALUE!</v>
      </c>
      <c r="IB123">
        <f>IF('Planilla_General_07-12-2012_8_3'!1852:1852,"AAAAACf7/+s=",0)</f>
        <v>0</v>
      </c>
      <c r="IC123" t="e">
        <f>AND('Planilla_General_07-12-2012_8_3'!A1852,"AAAAACf7/+w=")</f>
        <v>#VALUE!</v>
      </c>
      <c r="ID123" t="e">
        <f>AND('Planilla_General_07-12-2012_8_3'!B1852,"AAAAACf7/+0=")</f>
        <v>#VALUE!</v>
      </c>
      <c r="IE123" t="e">
        <f>AND('Planilla_General_07-12-2012_8_3'!C1852,"AAAAACf7/+4=")</f>
        <v>#VALUE!</v>
      </c>
      <c r="IF123" t="e">
        <f>AND('Planilla_General_07-12-2012_8_3'!D1852,"AAAAACf7/+8=")</f>
        <v>#VALUE!</v>
      </c>
      <c r="IG123" t="e">
        <f>AND('Planilla_General_07-12-2012_8_3'!E1852,"AAAAACf7//A=")</f>
        <v>#VALUE!</v>
      </c>
      <c r="IH123" t="e">
        <f>AND('Planilla_General_07-12-2012_8_3'!F1852,"AAAAACf7//E=")</f>
        <v>#VALUE!</v>
      </c>
      <c r="II123" t="e">
        <f>AND('Planilla_General_07-12-2012_8_3'!G1852,"AAAAACf7//I=")</f>
        <v>#VALUE!</v>
      </c>
      <c r="IJ123" t="e">
        <f>AND('Planilla_General_07-12-2012_8_3'!H1852,"AAAAACf7//M=")</f>
        <v>#VALUE!</v>
      </c>
      <c r="IK123" t="e">
        <f>AND('Planilla_General_07-12-2012_8_3'!I1852,"AAAAACf7//Q=")</f>
        <v>#VALUE!</v>
      </c>
      <c r="IL123" t="e">
        <f>AND('Planilla_General_07-12-2012_8_3'!J1852,"AAAAACf7//U=")</f>
        <v>#VALUE!</v>
      </c>
      <c r="IM123" t="e">
        <f>AND('Planilla_General_07-12-2012_8_3'!K1852,"AAAAACf7//Y=")</f>
        <v>#VALUE!</v>
      </c>
      <c r="IN123" t="e">
        <f>AND('Planilla_General_07-12-2012_8_3'!L1852,"AAAAACf7//c=")</f>
        <v>#VALUE!</v>
      </c>
      <c r="IO123" t="e">
        <f>AND('Planilla_General_07-12-2012_8_3'!M1852,"AAAAACf7//g=")</f>
        <v>#VALUE!</v>
      </c>
      <c r="IP123" t="e">
        <f>AND('Planilla_General_07-12-2012_8_3'!N1852,"AAAAACf7//k=")</f>
        <v>#VALUE!</v>
      </c>
      <c r="IQ123" t="e">
        <f>AND('Planilla_General_07-12-2012_8_3'!O1852,"AAAAACf7//o=")</f>
        <v>#VALUE!</v>
      </c>
      <c r="IR123" t="e">
        <f>AND('Planilla_General_07-12-2012_8_3'!P1852,"AAAAACf7//s=")</f>
        <v>#VALUE!</v>
      </c>
      <c r="IS123">
        <f>IF('Planilla_General_07-12-2012_8_3'!1853:1853,"AAAAACf7//w=",0)</f>
        <v>0</v>
      </c>
      <c r="IT123" t="e">
        <f>AND('Planilla_General_07-12-2012_8_3'!A1853,"AAAAACf7//0=")</f>
        <v>#VALUE!</v>
      </c>
      <c r="IU123" t="e">
        <f>AND('Planilla_General_07-12-2012_8_3'!B1853,"AAAAACf7//4=")</f>
        <v>#VALUE!</v>
      </c>
      <c r="IV123" t="e">
        <f>AND('Planilla_General_07-12-2012_8_3'!C1853,"AAAAACf7//8=")</f>
        <v>#VALUE!</v>
      </c>
    </row>
    <row r="124" spans="1:256" x14ac:dyDescent="0.25">
      <c r="A124" t="e">
        <f>AND('Planilla_General_07-12-2012_8_3'!D1853,"AAAAAGvvzwA=")</f>
        <v>#VALUE!</v>
      </c>
      <c r="B124" t="e">
        <f>AND('Planilla_General_07-12-2012_8_3'!E1853,"AAAAAGvvzwE=")</f>
        <v>#VALUE!</v>
      </c>
      <c r="C124" t="e">
        <f>AND('Planilla_General_07-12-2012_8_3'!F1853,"AAAAAGvvzwI=")</f>
        <v>#VALUE!</v>
      </c>
      <c r="D124" t="e">
        <f>AND('Planilla_General_07-12-2012_8_3'!G1853,"AAAAAGvvzwM=")</f>
        <v>#VALUE!</v>
      </c>
      <c r="E124" t="e">
        <f>AND('Planilla_General_07-12-2012_8_3'!H1853,"AAAAAGvvzwQ=")</f>
        <v>#VALUE!</v>
      </c>
      <c r="F124" t="e">
        <f>AND('Planilla_General_07-12-2012_8_3'!I1853,"AAAAAGvvzwU=")</f>
        <v>#VALUE!</v>
      </c>
      <c r="G124" t="e">
        <f>AND('Planilla_General_07-12-2012_8_3'!J1853,"AAAAAGvvzwY=")</f>
        <v>#VALUE!</v>
      </c>
      <c r="H124" t="e">
        <f>AND('Planilla_General_07-12-2012_8_3'!K1853,"AAAAAGvvzwc=")</f>
        <v>#VALUE!</v>
      </c>
      <c r="I124" t="e">
        <f>AND('Planilla_General_07-12-2012_8_3'!L1853,"AAAAAGvvzwg=")</f>
        <v>#VALUE!</v>
      </c>
      <c r="J124" t="e">
        <f>AND('Planilla_General_07-12-2012_8_3'!M1853,"AAAAAGvvzwk=")</f>
        <v>#VALUE!</v>
      </c>
      <c r="K124" t="e">
        <f>AND('Planilla_General_07-12-2012_8_3'!N1853,"AAAAAGvvzwo=")</f>
        <v>#VALUE!</v>
      </c>
      <c r="L124" t="e">
        <f>AND('Planilla_General_07-12-2012_8_3'!O1853,"AAAAAGvvzws=")</f>
        <v>#VALUE!</v>
      </c>
      <c r="M124" t="e">
        <f>AND('Planilla_General_07-12-2012_8_3'!P1853,"AAAAAGvvzww=")</f>
        <v>#VALUE!</v>
      </c>
      <c r="N124" t="str">
        <f>IF('Planilla_General_07-12-2012_8_3'!1854:1854,"AAAAAGvvzw0=",0)</f>
        <v>AAAAAGvvzw0=</v>
      </c>
      <c r="O124" t="e">
        <f>AND('Planilla_General_07-12-2012_8_3'!A1854,"AAAAAGvvzw4=")</f>
        <v>#VALUE!</v>
      </c>
      <c r="P124" t="e">
        <f>AND('Planilla_General_07-12-2012_8_3'!B1854,"AAAAAGvvzw8=")</f>
        <v>#VALUE!</v>
      </c>
      <c r="Q124" t="e">
        <f>AND('Planilla_General_07-12-2012_8_3'!C1854,"AAAAAGvvzxA=")</f>
        <v>#VALUE!</v>
      </c>
      <c r="R124" t="e">
        <f>AND('Planilla_General_07-12-2012_8_3'!D1854,"AAAAAGvvzxE=")</f>
        <v>#VALUE!</v>
      </c>
      <c r="S124" t="e">
        <f>AND('Planilla_General_07-12-2012_8_3'!E1854,"AAAAAGvvzxI=")</f>
        <v>#VALUE!</v>
      </c>
      <c r="T124" t="e">
        <f>AND('Planilla_General_07-12-2012_8_3'!F1854,"AAAAAGvvzxM=")</f>
        <v>#VALUE!</v>
      </c>
      <c r="U124" t="e">
        <f>AND('Planilla_General_07-12-2012_8_3'!G1854,"AAAAAGvvzxQ=")</f>
        <v>#VALUE!</v>
      </c>
      <c r="V124" t="e">
        <f>AND('Planilla_General_07-12-2012_8_3'!H1854,"AAAAAGvvzxU=")</f>
        <v>#VALUE!</v>
      </c>
      <c r="W124" t="e">
        <f>AND('Planilla_General_07-12-2012_8_3'!I1854,"AAAAAGvvzxY=")</f>
        <v>#VALUE!</v>
      </c>
      <c r="X124" t="e">
        <f>AND('Planilla_General_07-12-2012_8_3'!J1854,"AAAAAGvvzxc=")</f>
        <v>#VALUE!</v>
      </c>
      <c r="Y124" t="e">
        <f>AND('Planilla_General_07-12-2012_8_3'!K1854,"AAAAAGvvzxg=")</f>
        <v>#VALUE!</v>
      </c>
      <c r="Z124" t="e">
        <f>AND('Planilla_General_07-12-2012_8_3'!L1854,"AAAAAGvvzxk=")</f>
        <v>#VALUE!</v>
      </c>
      <c r="AA124" t="e">
        <f>AND('Planilla_General_07-12-2012_8_3'!M1854,"AAAAAGvvzxo=")</f>
        <v>#VALUE!</v>
      </c>
      <c r="AB124" t="e">
        <f>AND('Planilla_General_07-12-2012_8_3'!N1854,"AAAAAGvvzxs=")</f>
        <v>#VALUE!</v>
      </c>
      <c r="AC124" t="e">
        <f>AND('Planilla_General_07-12-2012_8_3'!O1854,"AAAAAGvvzxw=")</f>
        <v>#VALUE!</v>
      </c>
      <c r="AD124" t="e">
        <f>AND('Planilla_General_07-12-2012_8_3'!P1854,"AAAAAGvvzx0=")</f>
        <v>#VALUE!</v>
      </c>
      <c r="AE124">
        <f>IF('Planilla_General_07-12-2012_8_3'!1855:1855,"AAAAAGvvzx4=",0)</f>
        <v>0</v>
      </c>
      <c r="AF124" t="e">
        <f>AND('Planilla_General_07-12-2012_8_3'!A1855,"AAAAAGvvzx8=")</f>
        <v>#VALUE!</v>
      </c>
      <c r="AG124" t="e">
        <f>AND('Planilla_General_07-12-2012_8_3'!B1855,"AAAAAGvvzyA=")</f>
        <v>#VALUE!</v>
      </c>
      <c r="AH124" t="e">
        <f>AND('Planilla_General_07-12-2012_8_3'!C1855,"AAAAAGvvzyE=")</f>
        <v>#VALUE!</v>
      </c>
      <c r="AI124" t="e">
        <f>AND('Planilla_General_07-12-2012_8_3'!D1855,"AAAAAGvvzyI=")</f>
        <v>#VALUE!</v>
      </c>
      <c r="AJ124" t="e">
        <f>AND('Planilla_General_07-12-2012_8_3'!E1855,"AAAAAGvvzyM=")</f>
        <v>#VALUE!</v>
      </c>
      <c r="AK124" t="e">
        <f>AND('Planilla_General_07-12-2012_8_3'!F1855,"AAAAAGvvzyQ=")</f>
        <v>#VALUE!</v>
      </c>
      <c r="AL124" t="e">
        <f>AND('Planilla_General_07-12-2012_8_3'!G1855,"AAAAAGvvzyU=")</f>
        <v>#VALUE!</v>
      </c>
      <c r="AM124" t="e">
        <f>AND('Planilla_General_07-12-2012_8_3'!H1855,"AAAAAGvvzyY=")</f>
        <v>#VALUE!</v>
      </c>
      <c r="AN124" t="e">
        <f>AND('Planilla_General_07-12-2012_8_3'!I1855,"AAAAAGvvzyc=")</f>
        <v>#VALUE!</v>
      </c>
      <c r="AO124" t="e">
        <f>AND('Planilla_General_07-12-2012_8_3'!J1855,"AAAAAGvvzyg=")</f>
        <v>#VALUE!</v>
      </c>
      <c r="AP124" t="e">
        <f>AND('Planilla_General_07-12-2012_8_3'!K1855,"AAAAAGvvzyk=")</f>
        <v>#VALUE!</v>
      </c>
      <c r="AQ124" t="e">
        <f>AND('Planilla_General_07-12-2012_8_3'!L1855,"AAAAAGvvzyo=")</f>
        <v>#VALUE!</v>
      </c>
      <c r="AR124" t="e">
        <f>AND('Planilla_General_07-12-2012_8_3'!M1855,"AAAAAGvvzys=")</f>
        <v>#VALUE!</v>
      </c>
      <c r="AS124" t="e">
        <f>AND('Planilla_General_07-12-2012_8_3'!N1855,"AAAAAGvvzyw=")</f>
        <v>#VALUE!</v>
      </c>
      <c r="AT124" t="e">
        <f>AND('Planilla_General_07-12-2012_8_3'!O1855,"AAAAAGvvzy0=")</f>
        <v>#VALUE!</v>
      </c>
      <c r="AU124" t="e">
        <f>AND('Planilla_General_07-12-2012_8_3'!P1855,"AAAAAGvvzy4=")</f>
        <v>#VALUE!</v>
      </c>
      <c r="AV124">
        <f>IF('Planilla_General_07-12-2012_8_3'!1856:1856,"AAAAAGvvzy8=",0)</f>
        <v>0</v>
      </c>
      <c r="AW124" t="e">
        <f>AND('Planilla_General_07-12-2012_8_3'!A1856,"AAAAAGvvzzA=")</f>
        <v>#VALUE!</v>
      </c>
      <c r="AX124" t="e">
        <f>AND('Planilla_General_07-12-2012_8_3'!B1856,"AAAAAGvvzzE=")</f>
        <v>#VALUE!</v>
      </c>
      <c r="AY124" t="e">
        <f>AND('Planilla_General_07-12-2012_8_3'!C1856,"AAAAAGvvzzI=")</f>
        <v>#VALUE!</v>
      </c>
      <c r="AZ124" t="e">
        <f>AND('Planilla_General_07-12-2012_8_3'!D1856,"AAAAAGvvzzM=")</f>
        <v>#VALUE!</v>
      </c>
      <c r="BA124" t="e">
        <f>AND('Planilla_General_07-12-2012_8_3'!E1856,"AAAAAGvvzzQ=")</f>
        <v>#VALUE!</v>
      </c>
      <c r="BB124" t="e">
        <f>AND('Planilla_General_07-12-2012_8_3'!F1856,"AAAAAGvvzzU=")</f>
        <v>#VALUE!</v>
      </c>
      <c r="BC124" t="e">
        <f>AND('Planilla_General_07-12-2012_8_3'!G1856,"AAAAAGvvzzY=")</f>
        <v>#VALUE!</v>
      </c>
      <c r="BD124" t="e">
        <f>AND('Planilla_General_07-12-2012_8_3'!H1856,"AAAAAGvvzzc=")</f>
        <v>#VALUE!</v>
      </c>
      <c r="BE124" t="e">
        <f>AND('Planilla_General_07-12-2012_8_3'!I1856,"AAAAAGvvzzg=")</f>
        <v>#VALUE!</v>
      </c>
      <c r="BF124" t="e">
        <f>AND('Planilla_General_07-12-2012_8_3'!J1856,"AAAAAGvvzzk=")</f>
        <v>#VALUE!</v>
      </c>
      <c r="BG124" t="e">
        <f>AND('Planilla_General_07-12-2012_8_3'!K1856,"AAAAAGvvzzo=")</f>
        <v>#VALUE!</v>
      </c>
      <c r="BH124" t="e">
        <f>AND('Planilla_General_07-12-2012_8_3'!L1856,"AAAAAGvvzzs=")</f>
        <v>#VALUE!</v>
      </c>
      <c r="BI124" t="e">
        <f>AND('Planilla_General_07-12-2012_8_3'!M1856,"AAAAAGvvzzw=")</f>
        <v>#VALUE!</v>
      </c>
      <c r="BJ124" t="e">
        <f>AND('Planilla_General_07-12-2012_8_3'!N1856,"AAAAAGvvzz0=")</f>
        <v>#VALUE!</v>
      </c>
      <c r="BK124" t="e">
        <f>AND('Planilla_General_07-12-2012_8_3'!O1856,"AAAAAGvvzz4=")</f>
        <v>#VALUE!</v>
      </c>
      <c r="BL124" t="e">
        <f>AND('Planilla_General_07-12-2012_8_3'!P1856,"AAAAAGvvzz8=")</f>
        <v>#VALUE!</v>
      </c>
      <c r="BM124">
        <f>IF('Planilla_General_07-12-2012_8_3'!1857:1857,"AAAAAGvvz0A=",0)</f>
        <v>0</v>
      </c>
      <c r="BN124" t="e">
        <f>AND('Planilla_General_07-12-2012_8_3'!A1857,"AAAAAGvvz0E=")</f>
        <v>#VALUE!</v>
      </c>
      <c r="BO124" t="e">
        <f>AND('Planilla_General_07-12-2012_8_3'!B1857,"AAAAAGvvz0I=")</f>
        <v>#VALUE!</v>
      </c>
      <c r="BP124" t="e">
        <f>AND('Planilla_General_07-12-2012_8_3'!C1857,"AAAAAGvvz0M=")</f>
        <v>#VALUE!</v>
      </c>
      <c r="BQ124" t="e">
        <f>AND('Planilla_General_07-12-2012_8_3'!D1857,"AAAAAGvvz0Q=")</f>
        <v>#VALUE!</v>
      </c>
      <c r="BR124" t="e">
        <f>AND('Planilla_General_07-12-2012_8_3'!E1857,"AAAAAGvvz0U=")</f>
        <v>#VALUE!</v>
      </c>
      <c r="BS124" t="e">
        <f>AND('Planilla_General_07-12-2012_8_3'!F1857,"AAAAAGvvz0Y=")</f>
        <v>#VALUE!</v>
      </c>
      <c r="BT124" t="e">
        <f>AND('Planilla_General_07-12-2012_8_3'!G1857,"AAAAAGvvz0c=")</f>
        <v>#VALUE!</v>
      </c>
      <c r="BU124" t="e">
        <f>AND('Planilla_General_07-12-2012_8_3'!H1857,"AAAAAGvvz0g=")</f>
        <v>#VALUE!</v>
      </c>
      <c r="BV124" t="e">
        <f>AND('Planilla_General_07-12-2012_8_3'!I1857,"AAAAAGvvz0k=")</f>
        <v>#VALUE!</v>
      </c>
      <c r="BW124" t="e">
        <f>AND('Planilla_General_07-12-2012_8_3'!J1857,"AAAAAGvvz0o=")</f>
        <v>#VALUE!</v>
      </c>
      <c r="BX124" t="e">
        <f>AND('Planilla_General_07-12-2012_8_3'!K1857,"AAAAAGvvz0s=")</f>
        <v>#VALUE!</v>
      </c>
      <c r="BY124" t="e">
        <f>AND('Planilla_General_07-12-2012_8_3'!L1857,"AAAAAGvvz0w=")</f>
        <v>#VALUE!</v>
      </c>
      <c r="BZ124" t="e">
        <f>AND('Planilla_General_07-12-2012_8_3'!M1857,"AAAAAGvvz00=")</f>
        <v>#VALUE!</v>
      </c>
      <c r="CA124" t="e">
        <f>AND('Planilla_General_07-12-2012_8_3'!N1857,"AAAAAGvvz04=")</f>
        <v>#VALUE!</v>
      </c>
      <c r="CB124" t="e">
        <f>AND('Planilla_General_07-12-2012_8_3'!O1857,"AAAAAGvvz08=")</f>
        <v>#VALUE!</v>
      </c>
      <c r="CC124" t="e">
        <f>AND('Planilla_General_07-12-2012_8_3'!P1857,"AAAAAGvvz1A=")</f>
        <v>#VALUE!</v>
      </c>
      <c r="CD124">
        <f>IF('Planilla_General_07-12-2012_8_3'!1858:1858,"AAAAAGvvz1E=",0)</f>
        <v>0</v>
      </c>
      <c r="CE124" t="e">
        <f>AND('Planilla_General_07-12-2012_8_3'!A1858,"AAAAAGvvz1I=")</f>
        <v>#VALUE!</v>
      </c>
      <c r="CF124" t="e">
        <f>AND('Planilla_General_07-12-2012_8_3'!B1858,"AAAAAGvvz1M=")</f>
        <v>#VALUE!</v>
      </c>
      <c r="CG124" t="e">
        <f>AND('Planilla_General_07-12-2012_8_3'!C1858,"AAAAAGvvz1Q=")</f>
        <v>#VALUE!</v>
      </c>
      <c r="CH124" t="e">
        <f>AND('Planilla_General_07-12-2012_8_3'!D1858,"AAAAAGvvz1U=")</f>
        <v>#VALUE!</v>
      </c>
      <c r="CI124" t="e">
        <f>AND('Planilla_General_07-12-2012_8_3'!E1858,"AAAAAGvvz1Y=")</f>
        <v>#VALUE!</v>
      </c>
      <c r="CJ124" t="e">
        <f>AND('Planilla_General_07-12-2012_8_3'!F1858,"AAAAAGvvz1c=")</f>
        <v>#VALUE!</v>
      </c>
      <c r="CK124" t="e">
        <f>AND('Planilla_General_07-12-2012_8_3'!G1858,"AAAAAGvvz1g=")</f>
        <v>#VALUE!</v>
      </c>
      <c r="CL124" t="e">
        <f>AND('Planilla_General_07-12-2012_8_3'!H1858,"AAAAAGvvz1k=")</f>
        <v>#VALUE!</v>
      </c>
      <c r="CM124" t="e">
        <f>AND('Planilla_General_07-12-2012_8_3'!I1858,"AAAAAGvvz1o=")</f>
        <v>#VALUE!</v>
      </c>
      <c r="CN124" t="e">
        <f>AND('Planilla_General_07-12-2012_8_3'!J1858,"AAAAAGvvz1s=")</f>
        <v>#VALUE!</v>
      </c>
      <c r="CO124" t="e">
        <f>AND('Planilla_General_07-12-2012_8_3'!K1858,"AAAAAGvvz1w=")</f>
        <v>#VALUE!</v>
      </c>
      <c r="CP124" t="e">
        <f>AND('Planilla_General_07-12-2012_8_3'!L1858,"AAAAAGvvz10=")</f>
        <v>#VALUE!</v>
      </c>
      <c r="CQ124" t="e">
        <f>AND('Planilla_General_07-12-2012_8_3'!M1858,"AAAAAGvvz14=")</f>
        <v>#VALUE!</v>
      </c>
      <c r="CR124" t="e">
        <f>AND('Planilla_General_07-12-2012_8_3'!N1858,"AAAAAGvvz18=")</f>
        <v>#VALUE!</v>
      </c>
      <c r="CS124" t="e">
        <f>AND('Planilla_General_07-12-2012_8_3'!O1858,"AAAAAGvvz2A=")</f>
        <v>#VALUE!</v>
      </c>
      <c r="CT124" t="e">
        <f>AND('Planilla_General_07-12-2012_8_3'!P1858,"AAAAAGvvz2E=")</f>
        <v>#VALUE!</v>
      </c>
      <c r="CU124">
        <f>IF('Planilla_General_07-12-2012_8_3'!1859:1859,"AAAAAGvvz2I=",0)</f>
        <v>0</v>
      </c>
      <c r="CV124" t="e">
        <f>AND('Planilla_General_07-12-2012_8_3'!A1859,"AAAAAGvvz2M=")</f>
        <v>#VALUE!</v>
      </c>
      <c r="CW124" t="e">
        <f>AND('Planilla_General_07-12-2012_8_3'!B1859,"AAAAAGvvz2Q=")</f>
        <v>#VALUE!</v>
      </c>
      <c r="CX124" t="e">
        <f>AND('Planilla_General_07-12-2012_8_3'!C1859,"AAAAAGvvz2U=")</f>
        <v>#VALUE!</v>
      </c>
      <c r="CY124" t="e">
        <f>AND('Planilla_General_07-12-2012_8_3'!D1859,"AAAAAGvvz2Y=")</f>
        <v>#VALUE!</v>
      </c>
      <c r="CZ124" t="e">
        <f>AND('Planilla_General_07-12-2012_8_3'!E1859,"AAAAAGvvz2c=")</f>
        <v>#VALUE!</v>
      </c>
      <c r="DA124" t="e">
        <f>AND('Planilla_General_07-12-2012_8_3'!F1859,"AAAAAGvvz2g=")</f>
        <v>#VALUE!</v>
      </c>
      <c r="DB124" t="e">
        <f>AND('Planilla_General_07-12-2012_8_3'!G1859,"AAAAAGvvz2k=")</f>
        <v>#VALUE!</v>
      </c>
      <c r="DC124" t="e">
        <f>AND('Planilla_General_07-12-2012_8_3'!H1859,"AAAAAGvvz2o=")</f>
        <v>#VALUE!</v>
      </c>
      <c r="DD124" t="e">
        <f>AND('Planilla_General_07-12-2012_8_3'!I1859,"AAAAAGvvz2s=")</f>
        <v>#VALUE!</v>
      </c>
      <c r="DE124" t="e">
        <f>AND('Planilla_General_07-12-2012_8_3'!J1859,"AAAAAGvvz2w=")</f>
        <v>#VALUE!</v>
      </c>
      <c r="DF124" t="e">
        <f>AND('Planilla_General_07-12-2012_8_3'!K1859,"AAAAAGvvz20=")</f>
        <v>#VALUE!</v>
      </c>
      <c r="DG124" t="e">
        <f>AND('Planilla_General_07-12-2012_8_3'!L1859,"AAAAAGvvz24=")</f>
        <v>#VALUE!</v>
      </c>
      <c r="DH124" t="e">
        <f>AND('Planilla_General_07-12-2012_8_3'!M1859,"AAAAAGvvz28=")</f>
        <v>#VALUE!</v>
      </c>
      <c r="DI124" t="e">
        <f>AND('Planilla_General_07-12-2012_8_3'!N1859,"AAAAAGvvz3A=")</f>
        <v>#VALUE!</v>
      </c>
      <c r="DJ124" t="e">
        <f>AND('Planilla_General_07-12-2012_8_3'!O1859,"AAAAAGvvz3E=")</f>
        <v>#VALUE!</v>
      </c>
      <c r="DK124" t="e">
        <f>AND('Planilla_General_07-12-2012_8_3'!P1859,"AAAAAGvvz3I=")</f>
        <v>#VALUE!</v>
      </c>
      <c r="DL124">
        <f>IF('Planilla_General_07-12-2012_8_3'!1860:1860,"AAAAAGvvz3M=",0)</f>
        <v>0</v>
      </c>
      <c r="DM124" t="e">
        <f>AND('Planilla_General_07-12-2012_8_3'!A1860,"AAAAAGvvz3Q=")</f>
        <v>#VALUE!</v>
      </c>
      <c r="DN124" t="e">
        <f>AND('Planilla_General_07-12-2012_8_3'!B1860,"AAAAAGvvz3U=")</f>
        <v>#VALUE!</v>
      </c>
      <c r="DO124" t="e">
        <f>AND('Planilla_General_07-12-2012_8_3'!C1860,"AAAAAGvvz3Y=")</f>
        <v>#VALUE!</v>
      </c>
      <c r="DP124" t="e">
        <f>AND('Planilla_General_07-12-2012_8_3'!D1860,"AAAAAGvvz3c=")</f>
        <v>#VALUE!</v>
      </c>
      <c r="DQ124" t="e">
        <f>AND('Planilla_General_07-12-2012_8_3'!E1860,"AAAAAGvvz3g=")</f>
        <v>#VALUE!</v>
      </c>
      <c r="DR124" t="e">
        <f>AND('Planilla_General_07-12-2012_8_3'!F1860,"AAAAAGvvz3k=")</f>
        <v>#VALUE!</v>
      </c>
      <c r="DS124" t="e">
        <f>AND('Planilla_General_07-12-2012_8_3'!G1860,"AAAAAGvvz3o=")</f>
        <v>#VALUE!</v>
      </c>
      <c r="DT124" t="e">
        <f>AND('Planilla_General_07-12-2012_8_3'!H1860,"AAAAAGvvz3s=")</f>
        <v>#VALUE!</v>
      </c>
      <c r="DU124" t="e">
        <f>AND('Planilla_General_07-12-2012_8_3'!I1860,"AAAAAGvvz3w=")</f>
        <v>#VALUE!</v>
      </c>
      <c r="DV124" t="e">
        <f>AND('Planilla_General_07-12-2012_8_3'!J1860,"AAAAAGvvz30=")</f>
        <v>#VALUE!</v>
      </c>
      <c r="DW124" t="e">
        <f>AND('Planilla_General_07-12-2012_8_3'!K1860,"AAAAAGvvz34=")</f>
        <v>#VALUE!</v>
      </c>
      <c r="DX124" t="e">
        <f>AND('Planilla_General_07-12-2012_8_3'!L1860,"AAAAAGvvz38=")</f>
        <v>#VALUE!</v>
      </c>
      <c r="DY124" t="e">
        <f>AND('Planilla_General_07-12-2012_8_3'!M1860,"AAAAAGvvz4A=")</f>
        <v>#VALUE!</v>
      </c>
      <c r="DZ124" t="e">
        <f>AND('Planilla_General_07-12-2012_8_3'!N1860,"AAAAAGvvz4E=")</f>
        <v>#VALUE!</v>
      </c>
      <c r="EA124" t="e">
        <f>AND('Planilla_General_07-12-2012_8_3'!O1860,"AAAAAGvvz4I=")</f>
        <v>#VALUE!</v>
      </c>
      <c r="EB124" t="e">
        <f>AND('Planilla_General_07-12-2012_8_3'!P1860,"AAAAAGvvz4M=")</f>
        <v>#VALUE!</v>
      </c>
      <c r="EC124">
        <f>IF('Planilla_General_07-12-2012_8_3'!1861:1861,"AAAAAGvvz4Q=",0)</f>
        <v>0</v>
      </c>
      <c r="ED124" t="e">
        <f>AND('Planilla_General_07-12-2012_8_3'!A1861,"AAAAAGvvz4U=")</f>
        <v>#VALUE!</v>
      </c>
      <c r="EE124" t="e">
        <f>AND('Planilla_General_07-12-2012_8_3'!B1861,"AAAAAGvvz4Y=")</f>
        <v>#VALUE!</v>
      </c>
      <c r="EF124" t="e">
        <f>AND('Planilla_General_07-12-2012_8_3'!C1861,"AAAAAGvvz4c=")</f>
        <v>#VALUE!</v>
      </c>
      <c r="EG124" t="e">
        <f>AND('Planilla_General_07-12-2012_8_3'!D1861,"AAAAAGvvz4g=")</f>
        <v>#VALUE!</v>
      </c>
      <c r="EH124" t="e">
        <f>AND('Planilla_General_07-12-2012_8_3'!E1861,"AAAAAGvvz4k=")</f>
        <v>#VALUE!</v>
      </c>
      <c r="EI124" t="e">
        <f>AND('Planilla_General_07-12-2012_8_3'!F1861,"AAAAAGvvz4o=")</f>
        <v>#VALUE!</v>
      </c>
      <c r="EJ124" t="e">
        <f>AND('Planilla_General_07-12-2012_8_3'!G1861,"AAAAAGvvz4s=")</f>
        <v>#VALUE!</v>
      </c>
      <c r="EK124" t="e">
        <f>AND('Planilla_General_07-12-2012_8_3'!H1861,"AAAAAGvvz4w=")</f>
        <v>#VALUE!</v>
      </c>
      <c r="EL124" t="e">
        <f>AND('Planilla_General_07-12-2012_8_3'!I1861,"AAAAAGvvz40=")</f>
        <v>#VALUE!</v>
      </c>
      <c r="EM124" t="e">
        <f>AND('Planilla_General_07-12-2012_8_3'!J1861,"AAAAAGvvz44=")</f>
        <v>#VALUE!</v>
      </c>
      <c r="EN124" t="e">
        <f>AND('Planilla_General_07-12-2012_8_3'!K1861,"AAAAAGvvz48=")</f>
        <v>#VALUE!</v>
      </c>
      <c r="EO124" t="e">
        <f>AND('Planilla_General_07-12-2012_8_3'!L1861,"AAAAAGvvz5A=")</f>
        <v>#VALUE!</v>
      </c>
      <c r="EP124" t="e">
        <f>AND('Planilla_General_07-12-2012_8_3'!M1861,"AAAAAGvvz5E=")</f>
        <v>#VALUE!</v>
      </c>
      <c r="EQ124" t="e">
        <f>AND('Planilla_General_07-12-2012_8_3'!N1861,"AAAAAGvvz5I=")</f>
        <v>#VALUE!</v>
      </c>
      <c r="ER124" t="e">
        <f>AND('Planilla_General_07-12-2012_8_3'!O1861,"AAAAAGvvz5M=")</f>
        <v>#VALUE!</v>
      </c>
      <c r="ES124" t="e">
        <f>AND('Planilla_General_07-12-2012_8_3'!P1861,"AAAAAGvvz5Q=")</f>
        <v>#VALUE!</v>
      </c>
      <c r="ET124">
        <f>IF('Planilla_General_07-12-2012_8_3'!1862:1862,"AAAAAGvvz5U=",0)</f>
        <v>0</v>
      </c>
      <c r="EU124" t="e">
        <f>AND('Planilla_General_07-12-2012_8_3'!A1862,"AAAAAGvvz5Y=")</f>
        <v>#VALUE!</v>
      </c>
      <c r="EV124" t="e">
        <f>AND('Planilla_General_07-12-2012_8_3'!B1862,"AAAAAGvvz5c=")</f>
        <v>#VALUE!</v>
      </c>
      <c r="EW124" t="e">
        <f>AND('Planilla_General_07-12-2012_8_3'!C1862,"AAAAAGvvz5g=")</f>
        <v>#VALUE!</v>
      </c>
      <c r="EX124" t="e">
        <f>AND('Planilla_General_07-12-2012_8_3'!D1862,"AAAAAGvvz5k=")</f>
        <v>#VALUE!</v>
      </c>
      <c r="EY124" t="e">
        <f>AND('Planilla_General_07-12-2012_8_3'!E1862,"AAAAAGvvz5o=")</f>
        <v>#VALUE!</v>
      </c>
      <c r="EZ124" t="e">
        <f>AND('Planilla_General_07-12-2012_8_3'!F1862,"AAAAAGvvz5s=")</f>
        <v>#VALUE!</v>
      </c>
      <c r="FA124" t="e">
        <f>AND('Planilla_General_07-12-2012_8_3'!G1862,"AAAAAGvvz5w=")</f>
        <v>#VALUE!</v>
      </c>
      <c r="FB124" t="e">
        <f>AND('Planilla_General_07-12-2012_8_3'!H1862,"AAAAAGvvz50=")</f>
        <v>#VALUE!</v>
      </c>
      <c r="FC124" t="e">
        <f>AND('Planilla_General_07-12-2012_8_3'!I1862,"AAAAAGvvz54=")</f>
        <v>#VALUE!</v>
      </c>
      <c r="FD124" t="e">
        <f>AND('Planilla_General_07-12-2012_8_3'!J1862,"AAAAAGvvz58=")</f>
        <v>#VALUE!</v>
      </c>
      <c r="FE124" t="e">
        <f>AND('Planilla_General_07-12-2012_8_3'!K1862,"AAAAAGvvz6A=")</f>
        <v>#VALUE!</v>
      </c>
      <c r="FF124" t="e">
        <f>AND('Planilla_General_07-12-2012_8_3'!L1862,"AAAAAGvvz6E=")</f>
        <v>#VALUE!</v>
      </c>
      <c r="FG124" t="e">
        <f>AND('Planilla_General_07-12-2012_8_3'!M1862,"AAAAAGvvz6I=")</f>
        <v>#VALUE!</v>
      </c>
      <c r="FH124" t="e">
        <f>AND('Planilla_General_07-12-2012_8_3'!N1862,"AAAAAGvvz6M=")</f>
        <v>#VALUE!</v>
      </c>
      <c r="FI124" t="e">
        <f>AND('Planilla_General_07-12-2012_8_3'!O1862,"AAAAAGvvz6Q=")</f>
        <v>#VALUE!</v>
      </c>
      <c r="FJ124" t="e">
        <f>AND('Planilla_General_07-12-2012_8_3'!P1862,"AAAAAGvvz6U=")</f>
        <v>#VALUE!</v>
      </c>
      <c r="FK124">
        <f>IF('Planilla_General_07-12-2012_8_3'!1863:1863,"AAAAAGvvz6Y=",0)</f>
        <v>0</v>
      </c>
      <c r="FL124" t="e">
        <f>AND('Planilla_General_07-12-2012_8_3'!A1863,"AAAAAGvvz6c=")</f>
        <v>#VALUE!</v>
      </c>
      <c r="FM124" t="e">
        <f>AND('Planilla_General_07-12-2012_8_3'!B1863,"AAAAAGvvz6g=")</f>
        <v>#VALUE!</v>
      </c>
      <c r="FN124" t="e">
        <f>AND('Planilla_General_07-12-2012_8_3'!C1863,"AAAAAGvvz6k=")</f>
        <v>#VALUE!</v>
      </c>
      <c r="FO124" t="e">
        <f>AND('Planilla_General_07-12-2012_8_3'!D1863,"AAAAAGvvz6o=")</f>
        <v>#VALUE!</v>
      </c>
      <c r="FP124" t="e">
        <f>AND('Planilla_General_07-12-2012_8_3'!E1863,"AAAAAGvvz6s=")</f>
        <v>#VALUE!</v>
      </c>
      <c r="FQ124" t="e">
        <f>AND('Planilla_General_07-12-2012_8_3'!F1863,"AAAAAGvvz6w=")</f>
        <v>#VALUE!</v>
      </c>
      <c r="FR124" t="e">
        <f>AND('Planilla_General_07-12-2012_8_3'!G1863,"AAAAAGvvz60=")</f>
        <v>#VALUE!</v>
      </c>
      <c r="FS124" t="e">
        <f>AND('Planilla_General_07-12-2012_8_3'!H1863,"AAAAAGvvz64=")</f>
        <v>#VALUE!</v>
      </c>
      <c r="FT124" t="e">
        <f>AND('Planilla_General_07-12-2012_8_3'!I1863,"AAAAAGvvz68=")</f>
        <v>#VALUE!</v>
      </c>
      <c r="FU124" t="e">
        <f>AND('Planilla_General_07-12-2012_8_3'!J1863,"AAAAAGvvz7A=")</f>
        <v>#VALUE!</v>
      </c>
      <c r="FV124" t="e">
        <f>AND('Planilla_General_07-12-2012_8_3'!K1863,"AAAAAGvvz7E=")</f>
        <v>#VALUE!</v>
      </c>
      <c r="FW124" t="e">
        <f>AND('Planilla_General_07-12-2012_8_3'!L1863,"AAAAAGvvz7I=")</f>
        <v>#VALUE!</v>
      </c>
      <c r="FX124" t="e">
        <f>AND('Planilla_General_07-12-2012_8_3'!M1863,"AAAAAGvvz7M=")</f>
        <v>#VALUE!</v>
      </c>
      <c r="FY124" t="e">
        <f>AND('Planilla_General_07-12-2012_8_3'!N1863,"AAAAAGvvz7Q=")</f>
        <v>#VALUE!</v>
      </c>
      <c r="FZ124" t="e">
        <f>AND('Planilla_General_07-12-2012_8_3'!O1863,"AAAAAGvvz7U=")</f>
        <v>#VALUE!</v>
      </c>
      <c r="GA124" t="e">
        <f>AND('Planilla_General_07-12-2012_8_3'!P1863,"AAAAAGvvz7Y=")</f>
        <v>#VALUE!</v>
      </c>
      <c r="GB124">
        <f>IF('Planilla_General_07-12-2012_8_3'!1864:1864,"AAAAAGvvz7c=",0)</f>
        <v>0</v>
      </c>
      <c r="GC124" t="e">
        <f>AND('Planilla_General_07-12-2012_8_3'!A1864,"AAAAAGvvz7g=")</f>
        <v>#VALUE!</v>
      </c>
      <c r="GD124" t="e">
        <f>AND('Planilla_General_07-12-2012_8_3'!B1864,"AAAAAGvvz7k=")</f>
        <v>#VALUE!</v>
      </c>
      <c r="GE124" t="e">
        <f>AND('Planilla_General_07-12-2012_8_3'!C1864,"AAAAAGvvz7o=")</f>
        <v>#VALUE!</v>
      </c>
      <c r="GF124" t="e">
        <f>AND('Planilla_General_07-12-2012_8_3'!D1864,"AAAAAGvvz7s=")</f>
        <v>#VALUE!</v>
      </c>
      <c r="GG124" t="e">
        <f>AND('Planilla_General_07-12-2012_8_3'!E1864,"AAAAAGvvz7w=")</f>
        <v>#VALUE!</v>
      </c>
      <c r="GH124" t="e">
        <f>AND('Planilla_General_07-12-2012_8_3'!F1864,"AAAAAGvvz70=")</f>
        <v>#VALUE!</v>
      </c>
      <c r="GI124" t="e">
        <f>AND('Planilla_General_07-12-2012_8_3'!G1864,"AAAAAGvvz74=")</f>
        <v>#VALUE!</v>
      </c>
      <c r="GJ124" t="e">
        <f>AND('Planilla_General_07-12-2012_8_3'!H1864,"AAAAAGvvz78=")</f>
        <v>#VALUE!</v>
      </c>
      <c r="GK124" t="e">
        <f>AND('Planilla_General_07-12-2012_8_3'!I1864,"AAAAAGvvz8A=")</f>
        <v>#VALUE!</v>
      </c>
      <c r="GL124" t="e">
        <f>AND('Planilla_General_07-12-2012_8_3'!J1864,"AAAAAGvvz8E=")</f>
        <v>#VALUE!</v>
      </c>
      <c r="GM124" t="e">
        <f>AND('Planilla_General_07-12-2012_8_3'!K1864,"AAAAAGvvz8I=")</f>
        <v>#VALUE!</v>
      </c>
      <c r="GN124" t="e">
        <f>AND('Planilla_General_07-12-2012_8_3'!L1864,"AAAAAGvvz8M=")</f>
        <v>#VALUE!</v>
      </c>
      <c r="GO124" t="e">
        <f>AND('Planilla_General_07-12-2012_8_3'!M1864,"AAAAAGvvz8Q=")</f>
        <v>#VALUE!</v>
      </c>
      <c r="GP124" t="e">
        <f>AND('Planilla_General_07-12-2012_8_3'!N1864,"AAAAAGvvz8U=")</f>
        <v>#VALUE!</v>
      </c>
      <c r="GQ124" t="e">
        <f>AND('Planilla_General_07-12-2012_8_3'!O1864,"AAAAAGvvz8Y=")</f>
        <v>#VALUE!</v>
      </c>
      <c r="GR124" t="e">
        <f>AND('Planilla_General_07-12-2012_8_3'!P1864,"AAAAAGvvz8c=")</f>
        <v>#VALUE!</v>
      </c>
      <c r="GS124">
        <f>IF('Planilla_General_07-12-2012_8_3'!1865:1865,"AAAAAGvvz8g=",0)</f>
        <v>0</v>
      </c>
      <c r="GT124" t="e">
        <f>AND('Planilla_General_07-12-2012_8_3'!A1865,"AAAAAGvvz8k=")</f>
        <v>#VALUE!</v>
      </c>
      <c r="GU124" t="e">
        <f>AND('Planilla_General_07-12-2012_8_3'!B1865,"AAAAAGvvz8o=")</f>
        <v>#VALUE!</v>
      </c>
      <c r="GV124" t="e">
        <f>AND('Planilla_General_07-12-2012_8_3'!C1865,"AAAAAGvvz8s=")</f>
        <v>#VALUE!</v>
      </c>
      <c r="GW124" t="e">
        <f>AND('Planilla_General_07-12-2012_8_3'!D1865,"AAAAAGvvz8w=")</f>
        <v>#VALUE!</v>
      </c>
      <c r="GX124" t="e">
        <f>AND('Planilla_General_07-12-2012_8_3'!E1865,"AAAAAGvvz80=")</f>
        <v>#VALUE!</v>
      </c>
      <c r="GY124" t="e">
        <f>AND('Planilla_General_07-12-2012_8_3'!F1865,"AAAAAGvvz84=")</f>
        <v>#VALUE!</v>
      </c>
      <c r="GZ124" t="e">
        <f>AND('Planilla_General_07-12-2012_8_3'!G1865,"AAAAAGvvz88=")</f>
        <v>#VALUE!</v>
      </c>
      <c r="HA124" t="e">
        <f>AND('Planilla_General_07-12-2012_8_3'!H1865,"AAAAAGvvz9A=")</f>
        <v>#VALUE!</v>
      </c>
      <c r="HB124" t="e">
        <f>AND('Planilla_General_07-12-2012_8_3'!I1865,"AAAAAGvvz9E=")</f>
        <v>#VALUE!</v>
      </c>
      <c r="HC124" t="e">
        <f>AND('Planilla_General_07-12-2012_8_3'!J1865,"AAAAAGvvz9I=")</f>
        <v>#VALUE!</v>
      </c>
      <c r="HD124" t="e">
        <f>AND('Planilla_General_07-12-2012_8_3'!K1865,"AAAAAGvvz9M=")</f>
        <v>#VALUE!</v>
      </c>
      <c r="HE124" t="e">
        <f>AND('Planilla_General_07-12-2012_8_3'!L1865,"AAAAAGvvz9Q=")</f>
        <v>#VALUE!</v>
      </c>
      <c r="HF124" t="e">
        <f>AND('Planilla_General_07-12-2012_8_3'!M1865,"AAAAAGvvz9U=")</f>
        <v>#VALUE!</v>
      </c>
      <c r="HG124" t="e">
        <f>AND('Planilla_General_07-12-2012_8_3'!N1865,"AAAAAGvvz9Y=")</f>
        <v>#VALUE!</v>
      </c>
      <c r="HH124" t="e">
        <f>AND('Planilla_General_07-12-2012_8_3'!O1865,"AAAAAGvvz9c=")</f>
        <v>#VALUE!</v>
      </c>
      <c r="HI124" t="e">
        <f>AND('Planilla_General_07-12-2012_8_3'!P1865,"AAAAAGvvz9g=")</f>
        <v>#VALUE!</v>
      </c>
      <c r="HJ124">
        <f>IF('Planilla_General_07-12-2012_8_3'!1866:1866,"AAAAAGvvz9k=",0)</f>
        <v>0</v>
      </c>
      <c r="HK124" t="e">
        <f>AND('Planilla_General_07-12-2012_8_3'!A1866,"AAAAAGvvz9o=")</f>
        <v>#VALUE!</v>
      </c>
      <c r="HL124" t="e">
        <f>AND('Planilla_General_07-12-2012_8_3'!B1866,"AAAAAGvvz9s=")</f>
        <v>#VALUE!</v>
      </c>
      <c r="HM124" t="e">
        <f>AND('Planilla_General_07-12-2012_8_3'!C1866,"AAAAAGvvz9w=")</f>
        <v>#VALUE!</v>
      </c>
      <c r="HN124" t="e">
        <f>AND('Planilla_General_07-12-2012_8_3'!D1866,"AAAAAGvvz90=")</f>
        <v>#VALUE!</v>
      </c>
      <c r="HO124" t="e">
        <f>AND('Planilla_General_07-12-2012_8_3'!E1866,"AAAAAGvvz94=")</f>
        <v>#VALUE!</v>
      </c>
      <c r="HP124" t="e">
        <f>AND('Planilla_General_07-12-2012_8_3'!F1866,"AAAAAGvvz98=")</f>
        <v>#VALUE!</v>
      </c>
      <c r="HQ124" t="e">
        <f>AND('Planilla_General_07-12-2012_8_3'!G1866,"AAAAAGvvz+A=")</f>
        <v>#VALUE!</v>
      </c>
      <c r="HR124" t="e">
        <f>AND('Planilla_General_07-12-2012_8_3'!H1866,"AAAAAGvvz+E=")</f>
        <v>#VALUE!</v>
      </c>
      <c r="HS124" t="e">
        <f>AND('Planilla_General_07-12-2012_8_3'!I1866,"AAAAAGvvz+I=")</f>
        <v>#VALUE!</v>
      </c>
      <c r="HT124" t="e">
        <f>AND('Planilla_General_07-12-2012_8_3'!J1866,"AAAAAGvvz+M=")</f>
        <v>#VALUE!</v>
      </c>
      <c r="HU124" t="e">
        <f>AND('Planilla_General_07-12-2012_8_3'!K1866,"AAAAAGvvz+Q=")</f>
        <v>#VALUE!</v>
      </c>
      <c r="HV124" t="e">
        <f>AND('Planilla_General_07-12-2012_8_3'!L1866,"AAAAAGvvz+U=")</f>
        <v>#VALUE!</v>
      </c>
      <c r="HW124" t="e">
        <f>AND('Planilla_General_07-12-2012_8_3'!M1866,"AAAAAGvvz+Y=")</f>
        <v>#VALUE!</v>
      </c>
      <c r="HX124" t="e">
        <f>AND('Planilla_General_07-12-2012_8_3'!N1866,"AAAAAGvvz+c=")</f>
        <v>#VALUE!</v>
      </c>
      <c r="HY124" t="e">
        <f>AND('Planilla_General_07-12-2012_8_3'!O1866,"AAAAAGvvz+g=")</f>
        <v>#VALUE!</v>
      </c>
      <c r="HZ124" t="e">
        <f>AND('Planilla_General_07-12-2012_8_3'!P1866,"AAAAAGvvz+k=")</f>
        <v>#VALUE!</v>
      </c>
      <c r="IA124">
        <f>IF('Planilla_General_07-12-2012_8_3'!1867:1867,"AAAAAGvvz+o=",0)</f>
        <v>0</v>
      </c>
      <c r="IB124" t="e">
        <f>AND('Planilla_General_07-12-2012_8_3'!A1867,"AAAAAGvvz+s=")</f>
        <v>#VALUE!</v>
      </c>
      <c r="IC124" t="e">
        <f>AND('Planilla_General_07-12-2012_8_3'!B1867,"AAAAAGvvz+w=")</f>
        <v>#VALUE!</v>
      </c>
      <c r="ID124" t="e">
        <f>AND('Planilla_General_07-12-2012_8_3'!C1867,"AAAAAGvvz+0=")</f>
        <v>#VALUE!</v>
      </c>
      <c r="IE124" t="e">
        <f>AND('Planilla_General_07-12-2012_8_3'!D1867,"AAAAAGvvz+4=")</f>
        <v>#VALUE!</v>
      </c>
      <c r="IF124" t="e">
        <f>AND('Planilla_General_07-12-2012_8_3'!E1867,"AAAAAGvvz+8=")</f>
        <v>#VALUE!</v>
      </c>
      <c r="IG124" t="e">
        <f>AND('Planilla_General_07-12-2012_8_3'!F1867,"AAAAAGvvz/A=")</f>
        <v>#VALUE!</v>
      </c>
      <c r="IH124" t="e">
        <f>AND('Planilla_General_07-12-2012_8_3'!G1867,"AAAAAGvvz/E=")</f>
        <v>#VALUE!</v>
      </c>
      <c r="II124" t="e">
        <f>AND('Planilla_General_07-12-2012_8_3'!H1867,"AAAAAGvvz/I=")</f>
        <v>#VALUE!</v>
      </c>
      <c r="IJ124" t="e">
        <f>AND('Planilla_General_07-12-2012_8_3'!I1867,"AAAAAGvvz/M=")</f>
        <v>#VALUE!</v>
      </c>
      <c r="IK124" t="e">
        <f>AND('Planilla_General_07-12-2012_8_3'!J1867,"AAAAAGvvz/Q=")</f>
        <v>#VALUE!</v>
      </c>
      <c r="IL124" t="e">
        <f>AND('Planilla_General_07-12-2012_8_3'!K1867,"AAAAAGvvz/U=")</f>
        <v>#VALUE!</v>
      </c>
      <c r="IM124" t="e">
        <f>AND('Planilla_General_07-12-2012_8_3'!L1867,"AAAAAGvvz/Y=")</f>
        <v>#VALUE!</v>
      </c>
      <c r="IN124" t="e">
        <f>AND('Planilla_General_07-12-2012_8_3'!M1867,"AAAAAGvvz/c=")</f>
        <v>#VALUE!</v>
      </c>
      <c r="IO124" t="e">
        <f>AND('Planilla_General_07-12-2012_8_3'!N1867,"AAAAAGvvz/g=")</f>
        <v>#VALUE!</v>
      </c>
      <c r="IP124" t="e">
        <f>AND('Planilla_General_07-12-2012_8_3'!O1867,"AAAAAGvvz/k=")</f>
        <v>#VALUE!</v>
      </c>
      <c r="IQ124" t="e">
        <f>AND('Planilla_General_07-12-2012_8_3'!P1867,"AAAAAGvvz/o=")</f>
        <v>#VALUE!</v>
      </c>
      <c r="IR124">
        <f>IF('Planilla_General_07-12-2012_8_3'!1868:1868,"AAAAAGvvz/s=",0)</f>
        <v>0</v>
      </c>
      <c r="IS124" t="e">
        <f>AND('Planilla_General_07-12-2012_8_3'!A1868,"AAAAAGvvz/w=")</f>
        <v>#VALUE!</v>
      </c>
      <c r="IT124" t="e">
        <f>AND('Planilla_General_07-12-2012_8_3'!B1868,"AAAAAGvvz/0=")</f>
        <v>#VALUE!</v>
      </c>
      <c r="IU124" t="e">
        <f>AND('Planilla_General_07-12-2012_8_3'!C1868,"AAAAAGvvz/4=")</f>
        <v>#VALUE!</v>
      </c>
      <c r="IV124" t="e">
        <f>AND('Planilla_General_07-12-2012_8_3'!D1868,"AAAAAGvvz/8=")</f>
        <v>#VALUE!</v>
      </c>
    </row>
    <row r="125" spans="1:256" x14ac:dyDescent="0.25">
      <c r="A125" t="e">
        <f>AND('Planilla_General_07-12-2012_8_3'!E1868,"AAAAAHwVXAA=")</f>
        <v>#VALUE!</v>
      </c>
      <c r="B125" t="e">
        <f>AND('Planilla_General_07-12-2012_8_3'!F1868,"AAAAAHwVXAE=")</f>
        <v>#VALUE!</v>
      </c>
      <c r="C125" t="e">
        <f>AND('Planilla_General_07-12-2012_8_3'!G1868,"AAAAAHwVXAI=")</f>
        <v>#VALUE!</v>
      </c>
      <c r="D125" t="e">
        <f>AND('Planilla_General_07-12-2012_8_3'!H1868,"AAAAAHwVXAM=")</f>
        <v>#VALUE!</v>
      </c>
      <c r="E125" t="e">
        <f>AND('Planilla_General_07-12-2012_8_3'!I1868,"AAAAAHwVXAQ=")</f>
        <v>#VALUE!</v>
      </c>
      <c r="F125" t="e">
        <f>AND('Planilla_General_07-12-2012_8_3'!J1868,"AAAAAHwVXAU=")</f>
        <v>#VALUE!</v>
      </c>
      <c r="G125" t="e">
        <f>AND('Planilla_General_07-12-2012_8_3'!K1868,"AAAAAHwVXAY=")</f>
        <v>#VALUE!</v>
      </c>
      <c r="H125" t="e">
        <f>AND('Planilla_General_07-12-2012_8_3'!L1868,"AAAAAHwVXAc=")</f>
        <v>#VALUE!</v>
      </c>
      <c r="I125" t="e">
        <f>AND('Planilla_General_07-12-2012_8_3'!M1868,"AAAAAHwVXAg=")</f>
        <v>#VALUE!</v>
      </c>
      <c r="J125" t="e">
        <f>AND('Planilla_General_07-12-2012_8_3'!N1868,"AAAAAHwVXAk=")</f>
        <v>#VALUE!</v>
      </c>
      <c r="K125" t="e">
        <f>AND('Planilla_General_07-12-2012_8_3'!O1868,"AAAAAHwVXAo=")</f>
        <v>#VALUE!</v>
      </c>
      <c r="L125" t="e">
        <f>AND('Planilla_General_07-12-2012_8_3'!P1868,"AAAAAHwVXAs=")</f>
        <v>#VALUE!</v>
      </c>
      <c r="M125" t="str">
        <f>IF('Planilla_General_07-12-2012_8_3'!1869:1869,"AAAAAHwVXAw=",0)</f>
        <v>AAAAAHwVXAw=</v>
      </c>
      <c r="N125" t="e">
        <f>AND('Planilla_General_07-12-2012_8_3'!A1869,"AAAAAHwVXA0=")</f>
        <v>#VALUE!</v>
      </c>
      <c r="O125" t="e">
        <f>AND('Planilla_General_07-12-2012_8_3'!B1869,"AAAAAHwVXA4=")</f>
        <v>#VALUE!</v>
      </c>
      <c r="P125" t="e">
        <f>AND('Planilla_General_07-12-2012_8_3'!C1869,"AAAAAHwVXA8=")</f>
        <v>#VALUE!</v>
      </c>
      <c r="Q125" t="e">
        <f>AND('Planilla_General_07-12-2012_8_3'!D1869,"AAAAAHwVXBA=")</f>
        <v>#VALUE!</v>
      </c>
      <c r="R125" t="e">
        <f>AND('Planilla_General_07-12-2012_8_3'!E1869,"AAAAAHwVXBE=")</f>
        <v>#VALUE!</v>
      </c>
      <c r="S125" t="e">
        <f>AND('Planilla_General_07-12-2012_8_3'!F1869,"AAAAAHwVXBI=")</f>
        <v>#VALUE!</v>
      </c>
      <c r="T125" t="e">
        <f>AND('Planilla_General_07-12-2012_8_3'!G1869,"AAAAAHwVXBM=")</f>
        <v>#VALUE!</v>
      </c>
      <c r="U125" t="e">
        <f>AND('Planilla_General_07-12-2012_8_3'!H1869,"AAAAAHwVXBQ=")</f>
        <v>#VALUE!</v>
      </c>
      <c r="V125" t="e">
        <f>AND('Planilla_General_07-12-2012_8_3'!I1869,"AAAAAHwVXBU=")</f>
        <v>#VALUE!</v>
      </c>
      <c r="W125" t="e">
        <f>AND('Planilla_General_07-12-2012_8_3'!J1869,"AAAAAHwVXBY=")</f>
        <v>#VALUE!</v>
      </c>
      <c r="X125" t="e">
        <f>AND('Planilla_General_07-12-2012_8_3'!K1869,"AAAAAHwVXBc=")</f>
        <v>#VALUE!</v>
      </c>
      <c r="Y125" t="e">
        <f>AND('Planilla_General_07-12-2012_8_3'!L1869,"AAAAAHwVXBg=")</f>
        <v>#VALUE!</v>
      </c>
      <c r="Z125" t="e">
        <f>AND('Planilla_General_07-12-2012_8_3'!M1869,"AAAAAHwVXBk=")</f>
        <v>#VALUE!</v>
      </c>
      <c r="AA125" t="e">
        <f>AND('Planilla_General_07-12-2012_8_3'!N1869,"AAAAAHwVXBo=")</f>
        <v>#VALUE!</v>
      </c>
      <c r="AB125" t="e">
        <f>AND('Planilla_General_07-12-2012_8_3'!O1869,"AAAAAHwVXBs=")</f>
        <v>#VALUE!</v>
      </c>
      <c r="AC125" t="e">
        <f>AND('Planilla_General_07-12-2012_8_3'!P1869,"AAAAAHwVXBw=")</f>
        <v>#VALUE!</v>
      </c>
      <c r="AD125">
        <f>IF('Planilla_General_07-12-2012_8_3'!1870:1870,"AAAAAHwVXB0=",0)</f>
        <v>0</v>
      </c>
      <c r="AE125" t="e">
        <f>AND('Planilla_General_07-12-2012_8_3'!A1870,"AAAAAHwVXB4=")</f>
        <v>#VALUE!</v>
      </c>
      <c r="AF125" t="e">
        <f>AND('Planilla_General_07-12-2012_8_3'!B1870,"AAAAAHwVXB8=")</f>
        <v>#VALUE!</v>
      </c>
      <c r="AG125" t="e">
        <f>AND('Planilla_General_07-12-2012_8_3'!C1870,"AAAAAHwVXCA=")</f>
        <v>#VALUE!</v>
      </c>
      <c r="AH125" t="e">
        <f>AND('Planilla_General_07-12-2012_8_3'!D1870,"AAAAAHwVXCE=")</f>
        <v>#VALUE!</v>
      </c>
      <c r="AI125" t="e">
        <f>AND('Planilla_General_07-12-2012_8_3'!E1870,"AAAAAHwVXCI=")</f>
        <v>#VALUE!</v>
      </c>
      <c r="AJ125" t="e">
        <f>AND('Planilla_General_07-12-2012_8_3'!F1870,"AAAAAHwVXCM=")</f>
        <v>#VALUE!</v>
      </c>
      <c r="AK125" t="e">
        <f>AND('Planilla_General_07-12-2012_8_3'!G1870,"AAAAAHwVXCQ=")</f>
        <v>#VALUE!</v>
      </c>
      <c r="AL125" t="e">
        <f>AND('Planilla_General_07-12-2012_8_3'!H1870,"AAAAAHwVXCU=")</f>
        <v>#VALUE!</v>
      </c>
      <c r="AM125" t="e">
        <f>AND('Planilla_General_07-12-2012_8_3'!I1870,"AAAAAHwVXCY=")</f>
        <v>#VALUE!</v>
      </c>
      <c r="AN125" t="e">
        <f>AND('Planilla_General_07-12-2012_8_3'!J1870,"AAAAAHwVXCc=")</f>
        <v>#VALUE!</v>
      </c>
      <c r="AO125" t="e">
        <f>AND('Planilla_General_07-12-2012_8_3'!K1870,"AAAAAHwVXCg=")</f>
        <v>#VALUE!</v>
      </c>
      <c r="AP125" t="e">
        <f>AND('Planilla_General_07-12-2012_8_3'!L1870,"AAAAAHwVXCk=")</f>
        <v>#VALUE!</v>
      </c>
      <c r="AQ125" t="e">
        <f>AND('Planilla_General_07-12-2012_8_3'!M1870,"AAAAAHwVXCo=")</f>
        <v>#VALUE!</v>
      </c>
      <c r="AR125" t="e">
        <f>AND('Planilla_General_07-12-2012_8_3'!N1870,"AAAAAHwVXCs=")</f>
        <v>#VALUE!</v>
      </c>
      <c r="AS125" t="e">
        <f>AND('Planilla_General_07-12-2012_8_3'!O1870,"AAAAAHwVXCw=")</f>
        <v>#VALUE!</v>
      </c>
      <c r="AT125" t="e">
        <f>AND('Planilla_General_07-12-2012_8_3'!P1870,"AAAAAHwVXC0=")</f>
        <v>#VALUE!</v>
      </c>
      <c r="AU125">
        <f>IF('Planilla_General_07-12-2012_8_3'!1871:1871,"AAAAAHwVXC4=",0)</f>
        <v>0</v>
      </c>
      <c r="AV125" t="e">
        <f>AND('Planilla_General_07-12-2012_8_3'!A1871,"AAAAAHwVXC8=")</f>
        <v>#VALUE!</v>
      </c>
      <c r="AW125" t="e">
        <f>AND('Planilla_General_07-12-2012_8_3'!B1871,"AAAAAHwVXDA=")</f>
        <v>#VALUE!</v>
      </c>
      <c r="AX125" t="e">
        <f>AND('Planilla_General_07-12-2012_8_3'!C1871,"AAAAAHwVXDE=")</f>
        <v>#VALUE!</v>
      </c>
      <c r="AY125" t="e">
        <f>AND('Planilla_General_07-12-2012_8_3'!D1871,"AAAAAHwVXDI=")</f>
        <v>#VALUE!</v>
      </c>
      <c r="AZ125" t="e">
        <f>AND('Planilla_General_07-12-2012_8_3'!E1871,"AAAAAHwVXDM=")</f>
        <v>#VALUE!</v>
      </c>
      <c r="BA125" t="e">
        <f>AND('Planilla_General_07-12-2012_8_3'!F1871,"AAAAAHwVXDQ=")</f>
        <v>#VALUE!</v>
      </c>
      <c r="BB125" t="e">
        <f>AND('Planilla_General_07-12-2012_8_3'!G1871,"AAAAAHwVXDU=")</f>
        <v>#VALUE!</v>
      </c>
      <c r="BC125" t="e">
        <f>AND('Planilla_General_07-12-2012_8_3'!H1871,"AAAAAHwVXDY=")</f>
        <v>#VALUE!</v>
      </c>
      <c r="BD125" t="e">
        <f>AND('Planilla_General_07-12-2012_8_3'!I1871,"AAAAAHwVXDc=")</f>
        <v>#VALUE!</v>
      </c>
      <c r="BE125" t="e">
        <f>AND('Planilla_General_07-12-2012_8_3'!J1871,"AAAAAHwVXDg=")</f>
        <v>#VALUE!</v>
      </c>
      <c r="BF125" t="e">
        <f>AND('Planilla_General_07-12-2012_8_3'!K1871,"AAAAAHwVXDk=")</f>
        <v>#VALUE!</v>
      </c>
      <c r="BG125" t="e">
        <f>AND('Planilla_General_07-12-2012_8_3'!L1871,"AAAAAHwVXDo=")</f>
        <v>#VALUE!</v>
      </c>
      <c r="BH125" t="e">
        <f>AND('Planilla_General_07-12-2012_8_3'!M1871,"AAAAAHwVXDs=")</f>
        <v>#VALUE!</v>
      </c>
      <c r="BI125" t="e">
        <f>AND('Planilla_General_07-12-2012_8_3'!N1871,"AAAAAHwVXDw=")</f>
        <v>#VALUE!</v>
      </c>
      <c r="BJ125" t="e">
        <f>AND('Planilla_General_07-12-2012_8_3'!O1871,"AAAAAHwVXD0=")</f>
        <v>#VALUE!</v>
      </c>
      <c r="BK125" t="e">
        <f>AND('Planilla_General_07-12-2012_8_3'!P1871,"AAAAAHwVXD4=")</f>
        <v>#VALUE!</v>
      </c>
      <c r="BL125">
        <f>IF('Planilla_General_07-12-2012_8_3'!1872:1872,"AAAAAHwVXD8=",0)</f>
        <v>0</v>
      </c>
      <c r="BM125" t="e">
        <f>AND('Planilla_General_07-12-2012_8_3'!A1872,"AAAAAHwVXEA=")</f>
        <v>#VALUE!</v>
      </c>
      <c r="BN125" t="e">
        <f>AND('Planilla_General_07-12-2012_8_3'!B1872,"AAAAAHwVXEE=")</f>
        <v>#VALUE!</v>
      </c>
      <c r="BO125" t="e">
        <f>AND('Planilla_General_07-12-2012_8_3'!C1872,"AAAAAHwVXEI=")</f>
        <v>#VALUE!</v>
      </c>
      <c r="BP125" t="e">
        <f>AND('Planilla_General_07-12-2012_8_3'!D1872,"AAAAAHwVXEM=")</f>
        <v>#VALUE!</v>
      </c>
      <c r="BQ125" t="e">
        <f>AND('Planilla_General_07-12-2012_8_3'!E1872,"AAAAAHwVXEQ=")</f>
        <v>#VALUE!</v>
      </c>
      <c r="BR125" t="e">
        <f>AND('Planilla_General_07-12-2012_8_3'!F1872,"AAAAAHwVXEU=")</f>
        <v>#VALUE!</v>
      </c>
      <c r="BS125" t="e">
        <f>AND('Planilla_General_07-12-2012_8_3'!G1872,"AAAAAHwVXEY=")</f>
        <v>#VALUE!</v>
      </c>
      <c r="BT125" t="e">
        <f>AND('Planilla_General_07-12-2012_8_3'!H1872,"AAAAAHwVXEc=")</f>
        <v>#VALUE!</v>
      </c>
      <c r="BU125" t="e">
        <f>AND('Planilla_General_07-12-2012_8_3'!I1872,"AAAAAHwVXEg=")</f>
        <v>#VALUE!</v>
      </c>
      <c r="BV125" t="e">
        <f>AND('Planilla_General_07-12-2012_8_3'!J1872,"AAAAAHwVXEk=")</f>
        <v>#VALUE!</v>
      </c>
      <c r="BW125" t="e">
        <f>AND('Planilla_General_07-12-2012_8_3'!K1872,"AAAAAHwVXEo=")</f>
        <v>#VALUE!</v>
      </c>
      <c r="BX125" t="e">
        <f>AND('Planilla_General_07-12-2012_8_3'!L1872,"AAAAAHwVXEs=")</f>
        <v>#VALUE!</v>
      </c>
      <c r="BY125" t="e">
        <f>AND('Planilla_General_07-12-2012_8_3'!M1872,"AAAAAHwVXEw=")</f>
        <v>#VALUE!</v>
      </c>
      <c r="BZ125" t="e">
        <f>AND('Planilla_General_07-12-2012_8_3'!N1872,"AAAAAHwVXE0=")</f>
        <v>#VALUE!</v>
      </c>
      <c r="CA125" t="e">
        <f>AND('Planilla_General_07-12-2012_8_3'!O1872,"AAAAAHwVXE4=")</f>
        <v>#VALUE!</v>
      </c>
      <c r="CB125" t="e">
        <f>AND('Planilla_General_07-12-2012_8_3'!P1872,"AAAAAHwVXE8=")</f>
        <v>#VALUE!</v>
      </c>
      <c r="CC125">
        <f>IF('Planilla_General_07-12-2012_8_3'!1873:1873,"AAAAAHwVXFA=",0)</f>
        <v>0</v>
      </c>
      <c r="CD125" t="e">
        <f>AND('Planilla_General_07-12-2012_8_3'!A1873,"AAAAAHwVXFE=")</f>
        <v>#VALUE!</v>
      </c>
      <c r="CE125" t="e">
        <f>AND('Planilla_General_07-12-2012_8_3'!B1873,"AAAAAHwVXFI=")</f>
        <v>#VALUE!</v>
      </c>
      <c r="CF125" t="e">
        <f>AND('Planilla_General_07-12-2012_8_3'!C1873,"AAAAAHwVXFM=")</f>
        <v>#VALUE!</v>
      </c>
      <c r="CG125" t="e">
        <f>AND('Planilla_General_07-12-2012_8_3'!D1873,"AAAAAHwVXFQ=")</f>
        <v>#VALUE!</v>
      </c>
      <c r="CH125" t="e">
        <f>AND('Planilla_General_07-12-2012_8_3'!E1873,"AAAAAHwVXFU=")</f>
        <v>#VALUE!</v>
      </c>
      <c r="CI125" t="e">
        <f>AND('Planilla_General_07-12-2012_8_3'!F1873,"AAAAAHwVXFY=")</f>
        <v>#VALUE!</v>
      </c>
      <c r="CJ125" t="e">
        <f>AND('Planilla_General_07-12-2012_8_3'!G1873,"AAAAAHwVXFc=")</f>
        <v>#VALUE!</v>
      </c>
      <c r="CK125" t="e">
        <f>AND('Planilla_General_07-12-2012_8_3'!H1873,"AAAAAHwVXFg=")</f>
        <v>#VALUE!</v>
      </c>
      <c r="CL125" t="e">
        <f>AND('Planilla_General_07-12-2012_8_3'!I1873,"AAAAAHwVXFk=")</f>
        <v>#VALUE!</v>
      </c>
      <c r="CM125" t="e">
        <f>AND('Planilla_General_07-12-2012_8_3'!J1873,"AAAAAHwVXFo=")</f>
        <v>#VALUE!</v>
      </c>
      <c r="CN125" t="e">
        <f>AND('Planilla_General_07-12-2012_8_3'!K1873,"AAAAAHwVXFs=")</f>
        <v>#VALUE!</v>
      </c>
      <c r="CO125" t="e">
        <f>AND('Planilla_General_07-12-2012_8_3'!L1873,"AAAAAHwVXFw=")</f>
        <v>#VALUE!</v>
      </c>
      <c r="CP125" t="e">
        <f>AND('Planilla_General_07-12-2012_8_3'!M1873,"AAAAAHwVXF0=")</f>
        <v>#VALUE!</v>
      </c>
      <c r="CQ125" t="e">
        <f>AND('Planilla_General_07-12-2012_8_3'!N1873,"AAAAAHwVXF4=")</f>
        <v>#VALUE!</v>
      </c>
      <c r="CR125" t="e">
        <f>AND('Planilla_General_07-12-2012_8_3'!O1873,"AAAAAHwVXF8=")</f>
        <v>#VALUE!</v>
      </c>
      <c r="CS125" t="e">
        <f>AND('Planilla_General_07-12-2012_8_3'!P1873,"AAAAAHwVXGA=")</f>
        <v>#VALUE!</v>
      </c>
      <c r="CT125">
        <f>IF('Planilla_General_07-12-2012_8_3'!1874:1874,"AAAAAHwVXGE=",0)</f>
        <v>0</v>
      </c>
      <c r="CU125" t="e">
        <f>AND('Planilla_General_07-12-2012_8_3'!A1874,"AAAAAHwVXGI=")</f>
        <v>#VALUE!</v>
      </c>
      <c r="CV125" t="e">
        <f>AND('Planilla_General_07-12-2012_8_3'!B1874,"AAAAAHwVXGM=")</f>
        <v>#VALUE!</v>
      </c>
      <c r="CW125" t="e">
        <f>AND('Planilla_General_07-12-2012_8_3'!C1874,"AAAAAHwVXGQ=")</f>
        <v>#VALUE!</v>
      </c>
      <c r="CX125" t="e">
        <f>AND('Planilla_General_07-12-2012_8_3'!D1874,"AAAAAHwVXGU=")</f>
        <v>#VALUE!</v>
      </c>
      <c r="CY125" t="e">
        <f>AND('Planilla_General_07-12-2012_8_3'!E1874,"AAAAAHwVXGY=")</f>
        <v>#VALUE!</v>
      </c>
      <c r="CZ125" t="e">
        <f>AND('Planilla_General_07-12-2012_8_3'!F1874,"AAAAAHwVXGc=")</f>
        <v>#VALUE!</v>
      </c>
      <c r="DA125" t="e">
        <f>AND('Planilla_General_07-12-2012_8_3'!G1874,"AAAAAHwVXGg=")</f>
        <v>#VALUE!</v>
      </c>
      <c r="DB125" t="e">
        <f>AND('Planilla_General_07-12-2012_8_3'!H1874,"AAAAAHwVXGk=")</f>
        <v>#VALUE!</v>
      </c>
      <c r="DC125" t="e">
        <f>AND('Planilla_General_07-12-2012_8_3'!I1874,"AAAAAHwVXGo=")</f>
        <v>#VALUE!</v>
      </c>
      <c r="DD125" t="e">
        <f>AND('Planilla_General_07-12-2012_8_3'!J1874,"AAAAAHwVXGs=")</f>
        <v>#VALUE!</v>
      </c>
      <c r="DE125" t="e">
        <f>AND('Planilla_General_07-12-2012_8_3'!K1874,"AAAAAHwVXGw=")</f>
        <v>#VALUE!</v>
      </c>
      <c r="DF125" t="e">
        <f>AND('Planilla_General_07-12-2012_8_3'!L1874,"AAAAAHwVXG0=")</f>
        <v>#VALUE!</v>
      </c>
      <c r="DG125" t="e">
        <f>AND('Planilla_General_07-12-2012_8_3'!M1874,"AAAAAHwVXG4=")</f>
        <v>#VALUE!</v>
      </c>
      <c r="DH125" t="e">
        <f>AND('Planilla_General_07-12-2012_8_3'!N1874,"AAAAAHwVXG8=")</f>
        <v>#VALUE!</v>
      </c>
      <c r="DI125" t="e">
        <f>AND('Planilla_General_07-12-2012_8_3'!O1874,"AAAAAHwVXHA=")</f>
        <v>#VALUE!</v>
      </c>
      <c r="DJ125" t="e">
        <f>AND('Planilla_General_07-12-2012_8_3'!P1874,"AAAAAHwVXHE=")</f>
        <v>#VALUE!</v>
      </c>
      <c r="DK125">
        <f>IF('Planilla_General_07-12-2012_8_3'!1875:1875,"AAAAAHwVXHI=",0)</f>
        <v>0</v>
      </c>
      <c r="DL125" t="e">
        <f>AND('Planilla_General_07-12-2012_8_3'!A1875,"AAAAAHwVXHM=")</f>
        <v>#VALUE!</v>
      </c>
      <c r="DM125" t="e">
        <f>AND('Planilla_General_07-12-2012_8_3'!B1875,"AAAAAHwVXHQ=")</f>
        <v>#VALUE!</v>
      </c>
      <c r="DN125" t="e">
        <f>AND('Planilla_General_07-12-2012_8_3'!C1875,"AAAAAHwVXHU=")</f>
        <v>#VALUE!</v>
      </c>
      <c r="DO125" t="e">
        <f>AND('Planilla_General_07-12-2012_8_3'!D1875,"AAAAAHwVXHY=")</f>
        <v>#VALUE!</v>
      </c>
      <c r="DP125" t="e">
        <f>AND('Planilla_General_07-12-2012_8_3'!E1875,"AAAAAHwVXHc=")</f>
        <v>#VALUE!</v>
      </c>
      <c r="DQ125" t="e">
        <f>AND('Planilla_General_07-12-2012_8_3'!F1875,"AAAAAHwVXHg=")</f>
        <v>#VALUE!</v>
      </c>
      <c r="DR125" t="e">
        <f>AND('Planilla_General_07-12-2012_8_3'!G1875,"AAAAAHwVXHk=")</f>
        <v>#VALUE!</v>
      </c>
      <c r="DS125" t="e">
        <f>AND('Planilla_General_07-12-2012_8_3'!H1875,"AAAAAHwVXHo=")</f>
        <v>#VALUE!</v>
      </c>
      <c r="DT125" t="e">
        <f>AND('Planilla_General_07-12-2012_8_3'!I1875,"AAAAAHwVXHs=")</f>
        <v>#VALUE!</v>
      </c>
      <c r="DU125" t="e">
        <f>AND('Planilla_General_07-12-2012_8_3'!J1875,"AAAAAHwVXHw=")</f>
        <v>#VALUE!</v>
      </c>
      <c r="DV125" t="e">
        <f>AND('Planilla_General_07-12-2012_8_3'!K1875,"AAAAAHwVXH0=")</f>
        <v>#VALUE!</v>
      </c>
      <c r="DW125" t="e">
        <f>AND('Planilla_General_07-12-2012_8_3'!L1875,"AAAAAHwVXH4=")</f>
        <v>#VALUE!</v>
      </c>
      <c r="DX125" t="e">
        <f>AND('Planilla_General_07-12-2012_8_3'!M1875,"AAAAAHwVXH8=")</f>
        <v>#VALUE!</v>
      </c>
      <c r="DY125" t="e">
        <f>AND('Planilla_General_07-12-2012_8_3'!N1875,"AAAAAHwVXIA=")</f>
        <v>#VALUE!</v>
      </c>
      <c r="DZ125" t="e">
        <f>AND('Planilla_General_07-12-2012_8_3'!O1875,"AAAAAHwVXIE=")</f>
        <v>#VALUE!</v>
      </c>
      <c r="EA125" t="e">
        <f>AND('Planilla_General_07-12-2012_8_3'!P1875,"AAAAAHwVXII=")</f>
        <v>#VALUE!</v>
      </c>
      <c r="EB125">
        <f>IF('Planilla_General_07-12-2012_8_3'!1876:1876,"AAAAAHwVXIM=",0)</f>
        <v>0</v>
      </c>
      <c r="EC125" t="e">
        <f>AND('Planilla_General_07-12-2012_8_3'!A1876,"AAAAAHwVXIQ=")</f>
        <v>#VALUE!</v>
      </c>
      <c r="ED125" t="e">
        <f>AND('Planilla_General_07-12-2012_8_3'!B1876,"AAAAAHwVXIU=")</f>
        <v>#VALUE!</v>
      </c>
      <c r="EE125" t="e">
        <f>AND('Planilla_General_07-12-2012_8_3'!C1876,"AAAAAHwVXIY=")</f>
        <v>#VALUE!</v>
      </c>
      <c r="EF125" t="e">
        <f>AND('Planilla_General_07-12-2012_8_3'!D1876,"AAAAAHwVXIc=")</f>
        <v>#VALUE!</v>
      </c>
      <c r="EG125" t="e">
        <f>AND('Planilla_General_07-12-2012_8_3'!E1876,"AAAAAHwVXIg=")</f>
        <v>#VALUE!</v>
      </c>
      <c r="EH125" t="e">
        <f>AND('Planilla_General_07-12-2012_8_3'!F1876,"AAAAAHwVXIk=")</f>
        <v>#VALUE!</v>
      </c>
      <c r="EI125" t="e">
        <f>AND('Planilla_General_07-12-2012_8_3'!G1876,"AAAAAHwVXIo=")</f>
        <v>#VALUE!</v>
      </c>
      <c r="EJ125" t="e">
        <f>AND('Planilla_General_07-12-2012_8_3'!H1876,"AAAAAHwVXIs=")</f>
        <v>#VALUE!</v>
      </c>
      <c r="EK125" t="e">
        <f>AND('Planilla_General_07-12-2012_8_3'!I1876,"AAAAAHwVXIw=")</f>
        <v>#VALUE!</v>
      </c>
      <c r="EL125" t="e">
        <f>AND('Planilla_General_07-12-2012_8_3'!J1876,"AAAAAHwVXI0=")</f>
        <v>#VALUE!</v>
      </c>
      <c r="EM125" t="e">
        <f>AND('Planilla_General_07-12-2012_8_3'!K1876,"AAAAAHwVXI4=")</f>
        <v>#VALUE!</v>
      </c>
      <c r="EN125" t="e">
        <f>AND('Planilla_General_07-12-2012_8_3'!L1876,"AAAAAHwVXI8=")</f>
        <v>#VALUE!</v>
      </c>
      <c r="EO125" t="e">
        <f>AND('Planilla_General_07-12-2012_8_3'!M1876,"AAAAAHwVXJA=")</f>
        <v>#VALUE!</v>
      </c>
      <c r="EP125" t="e">
        <f>AND('Planilla_General_07-12-2012_8_3'!N1876,"AAAAAHwVXJE=")</f>
        <v>#VALUE!</v>
      </c>
      <c r="EQ125" t="e">
        <f>AND('Planilla_General_07-12-2012_8_3'!O1876,"AAAAAHwVXJI=")</f>
        <v>#VALUE!</v>
      </c>
      <c r="ER125" t="e">
        <f>AND('Planilla_General_07-12-2012_8_3'!P1876,"AAAAAHwVXJM=")</f>
        <v>#VALUE!</v>
      </c>
      <c r="ES125">
        <f>IF('Planilla_General_07-12-2012_8_3'!1877:1877,"AAAAAHwVXJQ=",0)</f>
        <v>0</v>
      </c>
      <c r="ET125" t="e">
        <f>AND('Planilla_General_07-12-2012_8_3'!A1877,"AAAAAHwVXJU=")</f>
        <v>#VALUE!</v>
      </c>
      <c r="EU125" t="e">
        <f>AND('Planilla_General_07-12-2012_8_3'!B1877,"AAAAAHwVXJY=")</f>
        <v>#VALUE!</v>
      </c>
      <c r="EV125" t="e">
        <f>AND('Planilla_General_07-12-2012_8_3'!C1877,"AAAAAHwVXJc=")</f>
        <v>#VALUE!</v>
      </c>
      <c r="EW125" t="e">
        <f>AND('Planilla_General_07-12-2012_8_3'!D1877,"AAAAAHwVXJg=")</f>
        <v>#VALUE!</v>
      </c>
      <c r="EX125" t="e">
        <f>AND('Planilla_General_07-12-2012_8_3'!E1877,"AAAAAHwVXJk=")</f>
        <v>#VALUE!</v>
      </c>
      <c r="EY125" t="e">
        <f>AND('Planilla_General_07-12-2012_8_3'!F1877,"AAAAAHwVXJo=")</f>
        <v>#VALUE!</v>
      </c>
      <c r="EZ125" t="e">
        <f>AND('Planilla_General_07-12-2012_8_3'!G1877,"AAAAAHwVXJs=")</f>
        <v>#VALUE!</v>
      </c>
      <c r="FA125" t="e">
        <f>AND('Planilla_General_07-12-2012_8_3'!H1877,"AAAAAHwVXJw=")</f>
        <v>#VALUE!</v>
      </c>
      <c r="FB125" t="e">
        <f>AND('Planilla_General_07-12-2012_8_3'!I1877,"AAAAAHwVXJ0=")</f>
        <v>#VALUE!</v>
      </c>
      <c r="FC125" t="e">
        <f>AND('Planilla_General_07-12-2012_8_3'!J1877,"AAAAAHwVXJ4=")</f>
        <v>#VALUE!</v>
      </c>
      <c r="FD125" t="e">
        <f>AND('Planilla_General_07-12-2012_8_3'!K1877,"AAAAAHwVXJ8=")</f>
        <v>#VALUE!</v>
      </c>
      <c r="FE125" t="e">
        <f>AND('Planilla_General_07-12-2012_8_3'!L1877,"AAAAAHwVXKA=")</f>
        <v>#VALUE!</v>
      </c>
      <c r="FF125" t="e">
        <f>AND('Planilla_General_07-12-2012_8_3'!M1877,"AAAAAHwVXKE=")</f>
        <v>#VALUE!</v>
      </c>
      <c r="FG125" t="e">
        <f>AND('Planilla_General_07-12-2012_8_3'!N1877,"AAAAAHwVXKI=")</f>
        <v>#VALUE!</v>
      </c>
      <c r="FH125" t="e">
        <f>AND('Planilla_General_07-12-2012_8_3'!O1877,"AAAAAHwVXKM=")</f>
        <v>#VALUE!</v>
      </c>
      <c r="FI125" t="e">
        <f>AND('Planilla_General_07-12-2012_8_3'!P1877,"AAAAAHwVXKQ=")</f>
        <v>#VALUE!</v>
      </c>
      <c r="FJ125">
        <f>IF('Planilla_General_07-12-2012_8_3'!1878:1878,"AAAAAHwVXKU=",0)</f>
        <v>0</v>
      </c>
      <c r="FK125" t="e">
        <f>AND('Planilla_General_07-12-2012_8_3'!A1878,"AAAAAHwVXKY=")</f>
        <v>#VALUE!</v>
      </c>
      <c r="FL125" t="e">
        <f>AND('Planilla_General_07-12-2012_8_3'!B1878,"AAAAAHwVXKc=")</f>
        <v>#VALUE!</v>
      </c>
      <c r="FM125" t="e">
        <f>AND('Planilla_General_07-12-2012_8_3'!C1878,"AAAAAHwVXKg=")</f>
        <v>#VALUE!</v>
      </c>
      <c r="FN125" t="e">
        <f>AND('Planilla_General_07-12-2012_8_3'!D1878,"AAAAAHwVXKk=")</f>
        <v>#VALUE!</v>
      </c>
      <c r="FO125" t="e">
        <f>AND('Planilla_General_07-12-2012_8_3'!E1878,"AAAAAHwVXKo=")</f>
        <v>#VALUE!</v>
      </c>
      <c r="FP125" t="e">
        <f>AND('Planilla_General_07-12-2012_8_3'!F1878,"AAAAAHwVXKs=")</f>
        <v>#VALUE!</v>
      </c>
      <c r="FQ125" t="e">
        <f>AND('Planilla_General_07-12-2012_8_3'!G1878,"AAAAAHwVXKw=")</f>
        <v>#VALUE!</v>
      </c>
      <c r="FR125" t="e">
        <f>AND('Planilla_General_07-12-2012_8_3'!H1878,"AAAAAHwVXK0=")</f>
        <v>#VALUE!</v>
      </c>
      <c r="FS125" t="e">
        <f>AND('Planilla_General_07-12-2012_8_3'!I1878,"AAAAAHwVXK4=")</f>
        <v>#VALUE!</v>
      </c>
      <c r="FT125" t="e">
        <f>AND('Planilla_General_07-12-2012_8_3'!J1878,"AAAAAHwVXK8=")</f>
        <v>#VALUE!</v>
      </c>
      <c r="FU125" t="e">
        <f>AND('Planilla_General_07-12-2012_8_3'!K1878,"AAAAAHwVXLA=")</f>
        <v>#VALUE!</v>
      </c>
      <c r="FV125" t="e">
        <f>AND('Planilla_General_07-12-2012_8_3'!L1878,"AAAAAHwVXLE=")</f>
        <v>#VALUE!</v>
      </c>
      <c r="FW125" t="e">
        <f>AND('Planilla_General_07-12-2012_8_3'!M1878,"AAAAAHwVXLI=")</f>
        <v>#VALUE!</v>
      </c>
      <c r="FX125" t="e">
        <f>AND('Planilla_General_07-12-2012_8_3'!N1878,"AAAAAHwVXLM=")</f>
        <v>#VALUE!</v>
      </c>
      <c r="FY125" t="e">
        <f>AND('Planilla_General_07-12-2012_8_3'!O1878,"AAAAAHwVXLQ=")</f>
        <v>#VALUE!</v>
      </c>
      <c r="FZ125" t="e">
        <f>AND('Planilla_General_07-12-2012_8_3'!P1878,"AAAAAHwVXLU=")</f>
        <v>#VALUE!</v>
      </c>
      <c r="GA125">
        <f>IF('Planilla_General_07-12-2012_8_3'!1879:1879,"AAAAAHwVXLY=",0)</f>
        <v>0</v>
      </c>
      <c r="GB125" t="e">
        <f>AND('Planilla_General_07-12-2012_8_3'!A1879,"AAAAAHwVXLc=")</f>
        <v>#VALUE!</v>
      </c>
      <c r="GC125" t="e">
        <f>AND('Planilla_General_07-12-2012_8_3'!B1879,"AAAAAHwVXLg=")</f>
        <v>#VALUE!</v>
      </c>
      <c r="GD125" t="e">
        <f>AND('Planilla_General_07-12-2012_8_3'!C1879,"AAAAAHwVXLk=")</f>
        <v>#VALUE!</v>
      </c>
      <c r="GE125" t="e">
        <f>AND('Planilla_General_07-12-2012_8_3'!D1879,"AAAAAHwVXLo=")</f>
        <v>#VALUE!</v>
      </c>
      <c r="GF125" t="e">
        <f>AND('Planilla_General_07-12-2012_8_3'!E1879,"AAAAAHwVXLs=")</f>
        <v>#VALUE!</v>
      </c>
      <c r="GG125" t="e">
        <f>AND('Planilla_General_07-12-2012_8_3'!F1879,"AAAAAHwVXLw=")</f>
        <v>#VALUE!</v>
      </c>
      <c r="GH125" t="e">
        <f>AND('Planilla_General_07-12-2012_8_3'!G1879,"AAAAAHwVXL0=")</f>
        <v>#VALUE!</v>
      </c>
      <c r="GI125" t="e">
        <f>AND('Planilla_General_07-12-2012_8_3'!H1879,"AAAAAHwVXL4=")</f>
        <v>#VALUE!</v>
      </c>
      <c r="GJ125" t="e">
        <f>AND('Planilla_General_07-12-2012_8_3'!I1879,"AAAAAHwVXL8=")</f>
        <v>#VALUE!</v>
      </c>
      <c r="GK125" t="e">
        <f>AND('Planilla_General_07-12-2012_8_3'!J1879,"AAAAAHwVXMA=")</f>
        <v>#VALUE!</v>
      </c>
      <c r="GL125" t="e">
        <f>AND('Planilla_General_07-12-2012_8_3'!K1879,"AAAAAHwVXME=")</f>
        <v>#VALUE!</v>
      </c>
      <c r="GM125" t="e">
        <f>AND('Planilla_General_07-12-2012_8_3'!L1879,"AAAAAHwVXMI=")</f>
        <v>#VALUE!</v>
      </c>
      <c r="GN125" t="e">
        <f>AND('Planilla_General_07-12-2012_8_3'!M1879,"AAAAAHwVXMM=")</f>
        <v>#VALUE!</v>
      </c>
      <c r="GO125" t="e">
        <f>AND('Planilla_General_07-12-2012_8_3'!N1879,"AAAAAHwVXMQ=")</f>
        <v>#VALUE!</v>
      </c>
      <c r="GP125" t="e">
        <f>AND('Planilla_General_07-12-2012_8_3'!O1879,"AAAAAHwVXMU=")</f>
        <v>#VALUE!</v>
      </c>
      <c r="GQ125" t="e">
        <f>AND('Planilla_General_07-12-2012_8_3'!P1879,"AAAAAHwVXMY=")</f>
        <v>#VALUE!</v>
      </c>
      <c r="GR125">
        <f>IF('Planilla_General_07-12-2012_8_3'!1880:1880,"AAAAAHwVXMc=",0)</f>
        <v>0</v>
      </c>
      <c r="GS125" t="e">
        <f>AND('Planilla_General_07-12-2012_8_3'!A1880,"AAAAAHwVXMg=")</f>
        <v>#VALUE!</v>
      </c>
      <c r="GT125" t="e">
        <f>AND('Planilla_General_07-12-2012_8_3'!B1880,"AAAAAHwVXMk=")</f>
        <v>#VALUE!</v>
      </c>
      <c r="GU125" t="e">
        <f>AND('Planilla_General_07-12-2012_8_3'!C1880,"AAAAAHwVXMo=")</f>
        <v>#VALUE!</v>
      </c>
      <c r="GV125" t="e">
        <f>AND('Planilla_General_07-12-2012_8_3'!D1880,"AAAAAHwVXMs=")</f>
        <v>#VALUE!</v>
      </c>
      <c r="GW125" t="e">
        <f>AND('Planilla_General_07-12-2012_8_3'!E1880,"AAAAAHwVXMw=")</f>
        <v>#VALUE!</v>
      </c>
      <c r="GX125" t="e">
        <f>AND('Planilla_General_07-12-2012_8_3'!F1880,"AAAAAHwVXM0=")</f>
        <v>#VALUE!</v>
      </c>
      <c r="GY125" t="e">
        <f>AND('Planilla_General_07-12-2012_8_3'!G1880,"AAAAAHwVXM4=")</f>
        <v>#VALUE!</v>
      </c>
      <c r="GZ125" t="e">
        <f>AND('Planilla_General_07-12-2012_8_3'!H1880,"AAAAAHwVXM8=")</f>
        <v>#VALUE!</v>
      </c>
      <c r="HA125" t="e">
        <f>AND('Planilla_General_07-12-2012_8_3'!I1880,"AAAAAHwVXNA=")</f>
        <v>#VALUE!</v>
      </c>
      <c r="HB125" t="e">
        <f>AND('Planilla_General_07-12-2012_8_3'!J1880,"AAAAAHwVXNE=")</f>
        <v>#VALUE!</v>
      </c>
      <c r="HC125" t="e">
        <f>AND('Planilla_General_07-12-2012_8_3'!K1880,"AAAAAHwVXNI=")</f>
        <v>#VALUE!</v>
      </c>
      <c r="HD125" t="e">
        <f>AND('Planilla_General_07-12-2012_8_3'!L1880,"AAAAAHwVXNM=")</f>
        <v>#VALUE!</v>
      </c>
      <c r="HE125" t="e">
        <f>AND('Planilla_General_07-12-2012_8_3'!M1880,"AAAAAHwVXNQ=")</f>
        <v>#VALUE!</v>
      </c>
      <c r="HF125" t="e">
        <f>AND('Planilla_General_07-12-2012_8_3'!N1880,"AAAAAHwVXNU=")</f>
        <v>#VALUE!</v>
      </c>
      <c r="HG125" t="e">
        <f>AND('Planilla_General_07-12-2012_8_3'!O1880,"AAAAAHwVXNY=")</f>
        <v>#VALUE!</v>
      </c>
      <c r="HH125" t="e">
        <f>AND('Planilla_General_07-12-2012_8_3'!P1880,"AAAAAHwVXNc=")</f>
        <v>#VALUE!</v>
      </c>
      <c r="HI125">
        <f>IF('Planilla_General_07-12-2012_8_3'!1881:1881,"AAAAAHwVXNg=",0)</f>
        <v>0</v>
      </c>
      <c r="HJ125" t="e">
        <f>AND('Planilla_General_07-12-2012_8_3'!A1881,"AAAAAHwVXNk=")</f>
        <v>#VALUE!</v>
      </c>
      <c r="HK125" t="e">
        <f>AND('Planilla_General_07-12-2012_8_3'!B1881,"AAAAAHwVXNo=")</f>
        <v>#VALUE!</v>
      </c>
      <c r="HL125" t="e">
        <f>AND('Planilla_General_07-12-2012_8_3'!C1881,"AAAAAHwVXNs=")</f>
        <v>#VALUE!</v>
      </c>
      <c r="HM125" t="e">
        <f>AND('Planilla_General_07-12-2012_8_3'!D1881,"AAAAAHwVXNw=")</f>
        <v>#VALUE!</v>
      </c>
      <c r="HN125" t="e">
        <f>AND('Planilla_General_07-12-2012_8_3'!E1881,"AAAAAHwVXN0=")</f>
        <v>#VALUE!</v>
      </c>
      <c r="HO125" t="e">
        <f>AND('Planilla_General_07-12-2012_8_3'!F1881,"AAAAAHwVXN4=")</f>
        <v>#VALUE!</v>
      </c>
      <c r="HP125" t="e">
        <f>AND('Planilla_General_07-12-2012_8_3'!G1881,"AAAAAHwVXN8=")</f>
        <v>#VALUE!</v>
      </c>
      <c r="HQ125" t="e">
        <f>AND('Planilla_General_07-12-2012_8_3'!H1881,"AAAAAHwVXOA=")</f>
        <v>#VALUE!</v>
      </c>
      <c r="HR125" t="e">
        <f>AND('Planilla_General_07-12-2012_8_3'!I1881,"AAAAAHwVXOE=")</f>
        <v>#VALUE!</v>
      </c>
      <c r="HS125" t="e">
        <f>AND('Planilla_General_07-12-2012_8_3'!J1881,"AAAAAHwVXOI=")</f>
        <v>#VALUE!</v>
      </c>
      <c r="HT125" t="e">
        <f>AND('Planilla_General_07-12-2012_8_3'!K1881,"AAAAAHwVXOM=")</f>
        <v>#VALUE!</v>
      </c>
      <c r="HU125" t="e">
        <f>AND('Planilla_General_07-12-2012_8_3'!L1881,"AAAAAHwVXOQ=")</f>
        <v>#VALUE!</v>
      </c>
      <c r="HV125" t="e">
        <f>AND('Planilla_General_07-12-2012_8_3'!M1881,"AAAAAHwVXOU=")</f>
        <v>#VALUE!</v>
      </c>
      <c r="HW125" t="e">
        <f>AND('Planilla_General_07-12-2012_8_3'!N1881,"AAAAAHwVXOY=")</f>
        <v>#VALUE!</v>
      </c>
      <c r="HX125" t="e">
        <f>AND('Planilla_General_07-12-2012_8_3'!O1881,"AAAAAHwVXOc=")</f>
        <v>#VALUE!</v>
      </c>
      <c r="HY125" t="e">
        <f>AND('Planilla_General_07-12-2012_8_3'!P1881,"AAAAAHwVXOg=")</f>
        <v>#VALUE!</v>
      </c>
      <c r="HZ125">
        <f>IF('Planilla_General_07-12-2012_8_3'!1882:1882,"AAAAAHwVXOk=",0)</f>
        <v>0</v>
      </c>
      <c r="IA125" t="e">
        <f>AND('Planilla_General_07-12-2012_8_3'!A1882,"AAAAAHwVXOo=")</f>
        <v>#VALUE!</v>
      </c>
      <c r="IB125" t="e">
        <f>AND('Planilla_General_07-12-2012_8_3'!B1882,"AAAAAHwVXOs=")</f>
        <v>#VALUE!</v>
      </c>
      <c r="IC125" t="e">
        <f>AND('Planilla_General_07-12-2012_8_3'!C1882,"AAAAAHwVXOw=")</f>
        <v>#VALUE!</v>
      </c>
      <c r="ID125" t="e">
        <f>AND('Planilla_General_07-12-2012_8_3'!D1882,"AAAAAHwVXO0=")</f>
        <v>#VALUE!</v>
      </c>
      <c r="IE125" t="e">
        <f>AND('Planilla_General_07-12-2012_8_3'!E1882,"AAAAAHwVXO4=")</f>
        <v>#VALUE!</v>
      </c>
      <c r="IF125" t="e">
        <f>AND('Planilla_General_07-12-2012_8_3'!F1882,"AAAAAHwVXO8=")</f>
        <v>#VALUE!</v>
      </c>
      <c r="IG125" t="e">
        <f>AND('Planilla_General_07-12-2012_8_3'!G1882,"AAAAAHwVXPA=")</f>
        <v>#VALUE!</v>
      </c>
      <c r="IH125" t="e">
        <f>AND('Planilla_General_07-12-2012_8_3'!H1882,"AAAAAHwVXPE=")</f>
        <v>#VALUE!</v>
      </c>
      <c r="II125" t="e">
        <f>AND('Planilla_General_07-12-2012_8_3'!I1882,"AAAAAHwVXPI=")</f>
        <v>#VALUE!</v>
      </c>
      <c r="IJ125" t="e">
        <f>AND('Planilla_General_07-12-2012_8_3'!J1882,"AAAAAHwVXPM=")</f>
        <v>#VALUE!</v>
      </c>
      <c r="IK125" t="e">
        <f>AND('Planilla_General_07-12-2012_8_3'!K1882,"AAAAAHwVXPQ=")</f>
        <v>#VALUE!</v>
      </c>
      <c r="IL125" t="e">
        <f>AND('Planilla_General_07-12-2012_8_3'!L1882,"AAAAAHwVXPU=")</f>
        <v>#VALUE!</v>
      </c>
      <c r="IM125" t="e">
        <f>AND('Planilla_General_07-12-2012_8_3'!M1882,"AAAAAHwVXPY=")</f>
        <v>#VALUE!</v>
      </c>
      <c r="IN125" t="e">
        <f>AND('Planilla_General_07-12-2012_8_3'!N1882,"AAAAAHwVXPc=")</f>
        <v>#VALUE!</v>
      </c>
      <c r="IO125" t="e">
        <f>AND('Planilla_General_07-12-2012_8_3'!O1882,"AAAAAHwVXPg=")</f>
        <v>#VALUE!</v>
      </c>
      <c r="IP125" t="e">
        <f>AND('Planilla_General_07-12-2012_8_3'!P1882,"AAAAAHwVXPk=")</f>
        <v>#VALUE!</v>
      </c>
      <c r="IQ125">
        <f>IF('Planilla_General_07-12-2012_8_3'!1883:1883,"AAAAAHwVXPo=",0)</f>
        <v>0</v>
      </c>
      <c r="IR125" t="e">
        <f>AND('Planilla_General_07-12-2012_8_3'!A1883,"AAAAAHwVXPs=")</f>
        <v>#VALUE!</v>
      </c>
      <c r="IS125" t="e">
        <f>AND('Planilla_General_07-12-2012_8_3'!B1883,"AAAAAHwVXPw=")</f>
        <v>#VALUE!</v>
      </c>
      <c r="IT125" t="e">
        <f>AND('Planilla_General_07-12-2012_8_3'!C1883,"AAAAAHwVXP0=")</f>
        <v>#VALUE!</v>
      </c>
      <c r="IU125" t="e">
        <f>AND('Planilla_General_07-12-2012_8_3'!D1883,"AAAAAHwVXP4=")</f>
        <v>#VALUE!</v>
      </c>
      <c r="IV125" t="e">
        <f>AND('Planilla_General_07-12-2012_8_3'!E1883,"AAAAAHwVXP8=")</f>
        <v>#VALUE!</v>
      </c>
    </row>
    <row r="126" spans="1:256" x14ac:dyDescent="0.25">
      <c r="A126" t="e">
        <f>AND('Planilla_General_07-12-2012_8_3'!F1883,"AAAAAHQvxAA=")</f>
        <v>#VALUE!</v>
      </c>
      <c r="B126" t="e">
        <f>AND('Planilla_General_07-12-2012_8_3'!G1883,"AAAAAHQvxAE=")</f>
        <v>#VALUE!</v>
      </c>
      <c r="C126" t="e">
        <f>AND('Planilla_General_07-12-2012_8_3'!H1883,"AAAAAHQvxAI=")</f>
        <v>#VALUE!</v>
      </c>
      <c r="D126" t="e">
        <f>AND('Planilla_General_07-12-2012_8_3'!I1883,"AAAAAHQvxAM=")</f>
        <v>#VALUE!</v>
      </c>
      <c r="E126" t="e">
        <f>AND('Planilla_General_07-12-2012_8_3'!J1883,"AAAAAHQvxAQ=")</f>
        <v>#VALUE!</v>
      </c>
      <c r="F126" t="e">
        <f>AND('Planilla_General_07-12-2012_8_3'!K1883,"AAAAAHQvxAU=")</f>
        <v>#VALUE!</v>
      </c>
      <c r="G126" t="e">
        <f>AND('Planilla_General_07-12-2012_8_3'!L1883,"AAAAAHQvxAY=")</f>
        <v>#VALUE!</v>
      </c>
      <c r="H126" t="e">
        <f>AND('Planilla_General_07-12-2012_8_3'!M1883,"AAAAAHQvxAc=")</f>
        <v>#VALUE!</v>
      </c>
      <c r="I126" t="e">
        <f>AND('Planilla_General_07-12-2012_8_3'!N1883,"AAAAAHQvxAg=")</f>
        <v>#VALUE!</v>
      </c>
      <c r="J126" t="e">
        <f>AND('Planilla_General_07-12-2012_8_3'!O1883,"AAAAAHQvxAk=")</f>
        <v>#VALUE!</v>
      </c>
      <c r="K126" t="e">
        <f>AND('Planilla_General_07-12-2012_8_3'!P1883,"AAAAAHQvxAo=")</f>
        <v>#VALUE!</v>
      </c>
      <c r="L126" t="str">
        <f>IF('Planilla_General_07-12-2012_8_3'!1884:1884,"AAAAAHQvxAs=",0)</f>
        <v>AAAAAHQvxAs=</v>
      </c>
      <c r="M126" t="e">
        <f>AND('Planilla_General_07-12-2012_8_3'!A1884,"AAAAAHQvxAw=")</f>
        <v>#VALUE!</v>
      </c>
      <c r="N126" t="e">
        <f>AND('Planilla_General_07-12-2012_8_3'!B1884,"AAAAAHQvxA0=")</f>
        <v>#VALUE!</v>
      </c>
      <c r="O126" t="e">
        <f>AND('Planilla_General_07-12-2012_8_3'!C1884,"AAAAAHQvxA4=")</f>
        <v>#VALUE!</v>
      </c>
      <c r="P126" t="e">
        <f>AND('Planilla_General_07-12-2012_8_3'!D1884,"AAAAAHQvxA8=")</f>
        <v>#VALUE!</v>
      </c>
      <c r="Q126" t="e">
        <f>AND('Planilla_General_07-12-2012_8_3'!E1884,"AAAAAHQvxBA=")</f>
        <v>#VALUE!</v>
      </c>
      <c r="R126" t="e">
        <f>AND('Planilla_General_07-12-2012_8_3'!F1884,"AAAAAHQvxBE=")</f>
        <v>#VALUE!</v>
      </c>
      <c r="S126" t="e">
        <f>AND('Planilla_General_07-12-2012_8_3'!G1884,"AAAAAHQvxBI=")</f>
        <v>#VALUE!</v>
      </c>
      <c r="T126" t="e">
        <f>AND('Planilla_General_07-12-2012_8_3'!H1884,"AAAAAHQvxBM=")</f>
        <v>#VALUE!</v>
      </c>
      <c r="U126" t="e">
        <f>AND('Planilla_General_07-12-2012_8_3'!I1884,"AAAAAHQvxBQ=")</f>
        <v>#VALUE!</v>
      </c>
      <c r="V126" t="e">
        <f>AND('Planilla_General_07-12-2012_8_3'!J1884,"AAAAAHQvxBU=")</f>
        <v>#VALUE!</v>
      </c>
      <c r="W126" t="e">
        <f>AND('Planilla_General_07-12-2012_8_3'!K1884,"AAAAAHQvxBY=")</f>
        <v>#VALUE!</v>
      </c>
      <c r="X126" t="e">
        <f>AND('Planilla_General_07-12-2012_8_3'!L1884,"AAAAAHQvxBc=")</f>
        <v>#VALUE!</v>
      </c>
      <c r="Y126" t="e">
        <f>AND('Planilla_General_07-12-2012_8_3'!M1884,"AAAAAHQvxBg=")</f>
        <v>#VALUE!</v>
      </c>
      <c r="Z126" t="e">
        <f>AND('Planilla_General_07-12-2012_8_3'!N1884,"AAAAAHQvxBk=")</f>
        <v>#VALUE!</v>
      </c>
      <c r="AA126" t="e">
        <f>AND('Planilla_General_07-12-2012_8_3'!O1884,"AAAAAHQvxBo=")</f>
        <v>#VALUE!</v>
      </c>
      <c r="AB126" t="e">
        <f>AND('Planilla_General_07-12-2012_8_3'!P1884,"AAAAAHQvxBs=")</f>
        <v>#VALUE!</v>
      </c>
      <c r="AC126">
        <f>IF('Planilla_General_07-12-2012_8_3'!1885:1885,"AAAAAHQvxBw=",0)</f>
        <v>0</v>
      </c>
      <c r="AD126" t="e">
        <f>AND('Planilla_General_07-12-2012_8_3'!A1885,"AAAAAHQvxB0=")</f>
        <v>#VALUE!</v>
      </c>
      <c r="AE126" t="e">
        <f>AND('Planilla_General_07-12-2012_8_3'!B1885,"AAAAAHQvxB4=")</f>
        <v>#VALUE!</v>
      </c>
      <c r="AF126" t="e">
        <f>AND('Planilla_General_07-12-2012_8_3'!C1885,"AAAAAHQvxB8=")</f>
        <v>#VALUE!</v>
      </c>
      <c r="AG126" t="e">
        <f>AND('Planilla_General_07-12-2012_8_3'!D1885,"AAAAAHQvxCA=")</f>
        <v>#VALUE!</v>
      </c>
      <c r="AH126" t="e">
        <f>AND('Planilla_General_07-12-2012_8_3'!E1885,"AAAAAHQvxCE=")</f>
        <v>#VALUE!</v>
      </c>
      <c r="AI126" t="e">
        <f>AND('Planilla_General_07-12-2012_8_3'!F1885,"AAAAAHQvxCI=")</f>
        <v>#VALUE!</v>
      </c>
      <c r="AJ126" t="e">
        <f>AND('Planilla_General_07-12-2012_8_3'!G1885,"AAAAAHQvxCM=")</f>
        <v>#VALUE!</v>
      </c>
      <c r="AK126" t="e">
        <f>AND('Planilla_General_07-12-2012_8_3'!H1885,"AAAAAHQvxCQ=")</f>
        <v>#VALUE!</v>
      </c>
      <c r="AL126" t="e">
        <f>AND('Planilla_General_07-12-2012_8_3'!I1885,"AAAAAHQvxCU=")</f>
        <v>#VALUE!</v>
      </c>
      <c r="AM126" t="e">
        <f>AND('Planilla_General_07-12-2012_8_3'!J1885,"AAAAAHQvxCY=")</f>
        <v>#VALUE!</v>
      </c>
      <c r="AN126" t="e">
        <f>AND('Planilla_General_07-12-2012_8_3'!K1885,"AAAAAHQvxCc=")</f>
        <v>#VALUE!</v>
      </c>
      <c r="AO126" t="e">
        <f>AND('Planilla_General_07-12-2012_8_3'!L1885,"AAAAAHQvxCg=")</f>
        <v>#VALUE!</v>
      </c>
      <c r="AP126" t="e">
        <f>AND('Planilla_General_07-12-2012_8_3'!M1885,"AAAAAHQvxCk=")</f>
        <v>#VALUE!</v>
      </c>
      <c r="AQ126" t="e">
        <f>AND('Planilla_General_07-12-2012_8_3'!N1885,"AAAAAHQvxCo=")</f>
        <v>#VALUE!</v>
      </c>
      <c r="AR126" t="e">
        <f>AND('Planilla_General_07-12-2012_8_3'!O1885,"AAAAAHQvxCs=")</f>
        <v>#VALUE!</v>
      </c>
      <c r="AS126" t="e">
        <f>AND('Planilla_General_07-12-2012_8_3'!P1885,"AAAAAHQvxCw=")</f>
        <v>#VALUE!</v>
      </c>
      <c r="AT126">
        <f>IF('Planilla_General_07-12-2012_8_3'!1886:1886,"AAAAAHQvxC0=",0)</f>
        <v>0</v>
      </c>
      <c r="AU126" t="e">
        <f>AND('Planilla_General_07-12-2012_8_3'!A1886,"AAAAAHQvxC4=")</f>
        <v>#VALUE!</v>
      </c>
      <c r="AV126" t="e">
        <f>AND('Planilla_General_07-12-2012_8_3'!B1886,"AAAAAHQvxC8=")</f>
        <v>#VALUE!</v>
      </c>
      <c r="AW126" t="e">
        <f>AND('Planilla_General_07-12-2012_8_3'!C1886,"AAAAAHQvxDA=")</f>
        <v>#VALUE!</v>
      </c>
      <c r="AX126" t="e">
        <f>AND('Planilla_General_07-12-2012_8_3'!D1886,"AAAAAHQvxDE=")</f>
        <v>#VALUE!</v>
      </c>
      <c r="AY126" t="e">
        <f>AND('Planilla_General_07-12-2012_8_3'!E1886,"AAAAAHQvxDI=")</f>
        <v>#VALUE!</v>
      </c>
      <c r="AZ126" t="e">
        <f>AND('Planilla_General_07-12-2012_8_3'!F1886,"AAAAAHQvxDM=")</f>
        <v>#VALUE!</v>
      </c>
      <c r="BA126" t="e">
        <f>AND('Planilla_General_07-12-2012_8_3'!G1886,"AAAAAHQvxDQ=")</f>
        <v>#VALUE!</v>
      </c>
      <c r="BB126" t="e">
        <f>AND('Planilla_General_07-12-2012_8_3'!H1886,"AAAAAHQvxDU=")</f>
        <v>#VALUE!</v>
      </c>
      <c r="BC126" t="e">
        <f>AND('Planilla_General_07-12-2012_8_3'!I1886,"AAAAAHQvxDY=")</f>
        <v>#VALUE!</v>
      </c>
      <c r="BD126" t="e">
        <f>AND('Planilla_General_07-12-2012_8_3'!J1886,"AAAAAHQvxDc=")</f>
        <v>#VALUE!</v>
      </c>
      <c r="BE126" t="e">
        <f>AND('Planilla_General_07-12-2012_8_3'!K1886,"AAAAAHQvxDg=")</f>
        <v>#VALUE!</v>
      </c>
      <c r="BF126" t="e">
        <f>AND('Planilla_General_07-12-2012_8_3'!L1886,"AAAAAHQvxDk=")</f>
        <v>#VALUE!</v>
      </c>
      <c r="BG126" t="e">
        <f>AND('Planilla_General_07-12-2012_8_3'!M1886,"AAAAAHQvxDo=")</f>
        <v>#VALUE!</v>
      </c>
      <c r="BH126" t="e">
        <f>AND('Planilla_General_07-12-2012_8_3'!N1886,"AAAAAHQvxDs=")</f>
        <v>#VALUE!</v>
      </c>
      <c r="BI126" t="e">
        <f>AND('Planilla_General_07-12-2012_8_3'!O1886,"AAAAAHQvxDw=")</f>
        <v>#VALUE!</v>
      </c>
      <c r="BJ126" t="e">
        <f>AND('Planilla_General_07-12-2012_8_3'!P1886,"AAAAAHQvxD0=")</f>
        <v>#VALUE!</v>
      </c>
      <c r="BK126">
        <f>IF('Planilla_General_07-12-2012_8_3'!1887:1887,"AAAAAHQvxD4=",0)</f>
        <v>0</v>
      </c>
      <c r="BL126" t="e">
        <f>AND('Planilla_General_07-12-2012_8_3'!A1887,"AAAAAHQvxD8=")</f>
        <v>#VALUE!</v>
      </c>
      <c r="BM126" t="e">
        <f>AND('Planilla_General_07-12-2012_8_3'!B1887,"AAAAAHQvxEA=")</f>
        <v>#VALUE!</v>
      </c>
      <c r="BN126" t="e">
        <f>AND('Planilla_General_07-12-2012_8_3'!C1887,"AAAAAHQvxEE=")</f>
        <v>#VALUE!</v>
      </c>
      <c r="BO126" t="e">
        <f>AND('Planilla_General_07-12-2012_8_3'!D1887,"AAAAAHQvxEI=")</f>
        <v>#VALUE!</v>
      </c>
      <c r="BP126" t="e">
        <f>AND('Planilla_General_07-12-2012_8_3'!E1887,"AAAAAHQvxEM=")</f>
        <v>#VALUE!</v>
      </c>
      <c r="BQ126" t="e">
        <f>AND('Planilla_General_07-12-2012_8_3'!F1887,"AAAAAHQvxEQ=")</f>
        <v>#VALUE!</v>
      </c>
      <c r="BR126" t="e">
        <f>AND('Planilla_General_07-12-2012_8_3'!G1887,"AAAAAHQvxEU=")</f>
        <v>#VALUE!</v>
      </c>
      <c r="BS126" t="e">
        <f>AND('Planilla_General_07-12-2012_8_3'!H1887,"AAAAAHQvxEY=")</f>
        <v>#VALUE!</v>
      </c>
      <c r="BT126" t="e">
        <f>AND('Planilla_General_07-12-2012_8_3'!I1887,"AAAAAHQvxEc=")</f>
        <v>#VALUE!</v>
      </c>
      <c r="BU126" t="e">
        <f>AND('Planilla_General_07-12-2012_8_3'!J1887,"AAAAAHQvxEg=")</f>
        <v>#VALUE!</v>
      </c>
      <c r="BV126" t="e">
        <f>AND('Planilla_General_07-12-2012_8_3'!K1887,"AAAAAHQvxEk=")</f>
        <v>#VALUE!</v>
      </c>
      <c r="BW126" t="e">
        <f>AND('Planilla_General_07-12-2012_8_3'!L1887,"AAAAAHQvxEo=")</f>
        <v>#VALUE!</v>
      </c>
      <c r="BX126" t="e">
        <f>AND('Planilla_General_07-12-2012_8_3'!M1887,"AAAAAHQvxEs=")</f>
        <v>#VALUE!</v>
      </c>
      <c r="BY126" t="e">
        <f>AND('Planilla_General_07-12-2012_8_3'!N1887,"AAAAAHQvxEw=")</f>
        <v>#VALUE!</v>
      </c>
      <c r="BZ126" t="e">
        <f>AND('Planilla_General_07-12-2012_8_3'!O1887,"AAAAAHQvxE0=")</f>
        <v>#VALUE!</v>
      </c>
      <c r="CA126" t="e">
        <f>AND('Planilla_General_07-12-2012_8_3'!P1887,"AAAAAHQvxE4=")</f>
        <v>#VALUE!</v>
      </c>
      <c r="CB126">
        <f>IF('Planilla_General_07-12-2012_8_3'!1888:1888,"AAAAAHQvxE8=",0)</f>
        <v>0</v>
      </c>
      <c r="CC126" t="e">
        <f>AND('Planilla_General_07-12-2012_8_3'!A1888,"AAAAAHQvxFA=")</f>
        <v>#VALUE!</v>
      </c>
      <c r="CD126" t="e">
        <f>AND('Planilla_General_07-12-2012_8_3'!B1888,"AAAAAHQvxFE=")</f>
        <v>#VALUE!</v>
      </c>
      <c r="CE126" t="e">
        <f>AND('Planilla_General_07-12-2012_8_3'!C1888,"AAAAAHQvxFI=")</f>
        <v>#VALUE!</v>
      </c>
      <c r="CF126" t="e">
        <f>AND('Planilla_General_07-12-2012_8_3'!D1888,"AAAAAHQvxFM=")</f>
        <v>#VALUE!</v>
      </c>
      <c r="CG126" t="e">
        <f>AND('Planilla_General_07-12-2012_8_3'!E1888,"AAAAAHQvxFQ=")</f>
        <v>#VALUE!</v>
      </c>
      <c r="CH126" t="e">
        <f>AND('Planilla_General_07-12-2012_8_3'!F1888,"AAAAAHQvxFU=")</f>
        <v>#VALUE!</v>
      </c>
      <c r="CI126" t="e">
        <f>AND('Planilla_General_07-12-2012_8_3'!G1888,"AAAAAHQvxFY=")</f>
        <v>#VALUE!</v>
      </c>
      <c r="CJ126" t="e">
        <f>AND('Planilla_General_07-12-2012_8_3'!H1888,"AAAAAHQvxFc=")</f>
        <v>#VALUE!</v>
      </c>
      <c r="CK126" t="e">
        <f>AND('Planilla_General_07-12-2012_8_3'!I1888,"AAAAAHQvxFg=")</f>
        <v>#VALUE!</v>
      </c>
      <c r="CL126" t="e">
        <f>AND('Planilla_General_07-12-2012_8_3'!J1888,"AAAAAHQvxFk=")</f>
        <v>#VALUE!</v>
      </c>
      <c r="CM126" t="e">
        <f>AND('Planilla_General_07-12-2012_8_3'!K1888,"AAAAAHQvxFo=")</f>
        <v>#VALUE!</v>
      </c>
      <c r="CN126" t="e">
        <f>AND('Planilla_General_07-12-2012_8_3'!L1888,"AAAAAHQvxFs=")</f>
        <v>#VALUE!</v>
      </c>
      <c r="CO126" t="e">
        <f>AND('Planilla_General_07-12-2012_8_3'!M1888,"AAAAAHQvxFw=")</f>
        <v>#VALUE!</v>
      </c>
      <c r="CP126" t="e">
        <f>AND('Planilla_General_07-12-2012_8_3'!N1888,"AAAAAHQvxF0=")</f>
        <v>#VALUE!</v>
      </c>
      <c r="CQ126" t="e">
        <f>AND('Planilla_General_07-12-2012_8_3'!O1888,"AAAAAHQvxF4=")</f>
        <v>#VALUE!</v>
      </c>
      <c r="CR126" t="e">
        <f>AND('Planilla_General_07-12-2012_8_3'!P1888,"AAAAAHQvxF8=")</f>
        <v>#VALUE!</v>
      </c>
      <c r="CS126">
        <f>IF('Planilla_General_07-12-2012_8_3'!1889:1889,"AAAAAHQvxGA=",0)</f>
        <v>0</v>
      </c>
      <c r="CT126" t="e">
        <f>AND('Planilla_General_07-12-2012_8_3'!A1889,"AAAAAHQvxGE=")</f>
        <v>#VALUE!</v>
      </c>
      <c r="CU126" t="e">
        <f>AND('Planilla_General_07-12-2012_8_3'!B1889,"AAAAAHQvxGI=")</f>
        <v>#VALUE!</v>
      </c>
      <c r="CV126" t="e">
        <f>AND('Planilla_General_07-12-2012_8_3'!C1889,"AAAAAHQvxGM=")</f>
        <v>#VALUE!</v>
      </c>
      <c r="CW126" t="e">
        <f>AND('Planilla_General_07-12-2012_8_3'!D1889,"AAAAAHQvxGQ=")</f>
        <v>#VALUE!</v>
      </c>
      <c r="CX126" t="e">
        <f>AND('Planilla_General_07-12-2012_8_3'!E1889,"AAAAAHQvxGU=")</f>
        <v>#VALUE!</v>
      </c>
      <c r="CY126" t="e">
        <f>AND('Planilla_General_07-12-2012_8_3'!F1889,"AAAAAHQvxGY=")</f>
        <v>#VALUE!</v>
      </c>
      <c r="CZ126" t="e">
        <f>AND('Planilla_General_07-12-2012_8_3'!G1889,"AAAAAHQvxGc=")</f>
        <v>#VALUE!</v>
      </c>
      <c r="DA126" t="e">
        <f>AND('Planilla_General_07-12-2012_8_3'!H1889,"AAAAAHQvxGg=")</f>
        <v>#VALUE!</v>
      </c>
      <c r="DB126" t="e">
        <f>AND('Planilla_General_07-12-2012_8_3'!I1889,"AAAAAHQvxGk=")</f>
        <v>#VALUE!</v>
      </c>
      <c r="DC126" t="e">
        <f>AND('Planilla_General_07-12-2012_8_3'!J1889,"AAAAAHQvxGo=")</f>
        <v>#VALUE!</v>
      </c>
      <c r="DD126" t="e">
        <f>AND('Planilla_General_07-12-2012_8_3'!K1889,"AAAAAHQvxGs=")</f>
        <v>#VALUE!</v>
      </c>
      <c r="DE126" t="e">
        <f>AND('Planilla_General_07-12-2012_8_3'!L1889,"AAAAAHQvxGw=")</f>
        <v>#VALUE!</v>
      </c>
      <c r="DF126" t="e">
        <f>AND('Planilla_General_07-12-2012_8_3'!M1889,"AAAAAHQvxG0=")</f>
        <v>#VALUE!</v>
      </c>
      <c r="DG126" t="e">
        <f>AND('Planilla_General_07-12-2012_8_3'!N1889,"AAAAAHQvxG4=")</f>
        <v>#VALUE!</v>
      </c>
      <c r="DH126" t="e">
        <f>AND('Planilla_General_07-12-2012_8_3'!O1889,"AAAAAHQvxG8=")</f>
        <v>#VALUE!</v>
      </c>
      <c r="DI126" t="e">
        <f>AND('Planilla_General_07-12-2012_8_3'!P1889,"AAAAAHQvxHA=")</f>
        <v>#VALUE!</v>
      </c>
      <c r="DJ126">
        <f>IF('Planilla_General_07-12-2012_8_3'!1890:1890,"AAAAAHQvxHE=",0)</f>
        <v>0</v>
      </c>
      <c r="DK126" t="e">
        <f>AND('Planilla_General_07-12-2012_8_3'!A1890,"AAAAAHQvxHI=")</f>
        <v>#VALUE!</v>
      </c>
      <c r="DL126" t="e">
        <f>AND('Planilla_General_07-12-2012_8_3'!B1890,"AAAAAHQvxHM=")</f>
        <v>#VALUE!</v>
      </c>
      <c r="DM126" t="e">
        <f>AND('Planilla_General_07-12-2012_8_3'!C1890,"AAAAAHQvxHQ=")</f>
        <v>#VALUE!</v>
      </c>
      <c r="DN126" t="e">
        <f>AND('Planilla_General_07-12-2012_8_3'!D1890,"AAAAAHQvxHU=")</f>
        <v>#VALUE!</v>
      </c>
      <c r="DO126" t="e">
        <f>AND('Planilla_General_07-12-2012_8_3'!E1890,"AAAAAHQvxHY=")</f>
        <v>#VALUE!</v>
      </c>
      <c r="DP126" t="e">
        <f>AND('Planilla_General_07-12-2012_8_3'!F1890,"AAAAAHQvxHc=")</f>
        <v>#VALUE!</v>
      </c>
      <c r="DQ126" t="e">
        <f>AND('Planilla_General_07-12-2012_8_3'!G1890,"AAAAAHQvxHg=")</f>
        <v>#VALUE!</v>
      </c>
      <c r="DR126" t="e">
        <f>AND('Planilla_General_07-12-2012_8_3'!H1890,"AAAAAHQvxHk=")</f>
        <v>#VALUE!</v>
      </c>
      <c r="DS126" t="e">
        <f>AND('Planilla_General_07-12-2012_8_3'!I1890,"AAAAAHQvxHo=")</f>
        <v>#VALUE!</v>
      </c>
      <c r="DT126" t="e">
        <f>AND('Planilla_General_07-12-2012_8_3'!J1890,"AAAAAHQvxHs=")</f>
        <v>#VALUE!</v>
      </c>
      <c r="DU126" t="e">
        <f>AND('Planilla_General_07-12-2012_8_3'!K1890,"AAAAAHQvxHw=")</f>
        <v>#VALUE!</v>
      </c>
      <c r="DV126" t="e">
        <f>AND('Planilla_General_07-12-2012_8_3'!L1890,"AAAAAHQvxH0=")</f>
        <v>#VALUE!</v>
      </c>
      <c r="DW126" t="e">
        <f>AND('Planilla_General_07-12-2012_8_3'!M1890,"AAAAAHQvxH4=")</f>
        <v>#VALUE!</v>
      </c>
      <c r="DX126" t="e">
        <f>AND('Planilla_General_07-12-2012_8_3'!N1890,"AAAAAHQvxH8=")</f>
        <v>#VALUE!</v>
      </c>
      <c r="DY126" t="e">
        <f>AND('Planilla_General_07-12-2012_8_3'!O1890,"AAAAAHQvxIA=")</f>
        <v>#VALUE!</v>
      </c>
      <c r="DZ126" t="e">
        <f>AND('Planilla_General_07-12-2012_8_3'!P1890,"AAAAAHQvxIE=")</f>
        <v>#VALUE!</v>
      </c>
      <c r="EA126">
        <f>IF('Planilla_General_07-12-2012_8_3'!1891:1891,"AAAAAHQvxII=",0)</f>
        <v>0</v>
      </c>
      <c r="EB126" t="e">
        <f>AND('Planilla_General_07-12-2012_8_3'!A1891,"AAAAAHQvxIM=")</f>
        <v>#VALUE!</v>
      </c>
      <c r="EC126" t="e">
        <f>AND('Planilla_General_07-12-2012_8_3'!B1891,"AAAAAHQvxIQ=")</f>
        <v>#VALUE!</v>
      </c>
      <c r="ED126" t="e">
        <f>AND('Planilla_General_07-12-2012_8_3'!C1891,"AAAAAHQvxIU=")</f>
        <v>#VALUE!</v>
      </c>
      <c r="EE126" t="e">
        <f>AND('Planilla_General_07-12-2012_8_3'!D1891,"AAAAAHQvxIY=")</f>
        <v>#VALUE!</v>
      </c>
      <c r="EF126" t="e">
        <f>AND('Planilla_General_07-12-2012_8_3'!E1891,"AAAAAHQvxIc=")</f>
        <v>#VALUE!</v>
      </c>
      <c r="EG126" t="e">
        <f>AND('Planilla_General_07-12-2012_8_3'!F1891,"AAAAAHQvxIg=")</f>
        <v>#VALUE!</v>
      </c>
      <c r="EH126" t="e">
        <f>AND('Planilla_General_07-12-2012_8_3'!G1891,"AAAAAHQvxIk=")</f>
        <v>#VALUE!</v>
      </c>
      <c r="EI126" t="e">
        <f>AND('Planilla_General_07-12-2012_8_3'!H1891,"AAAAAHQvxIo=")</f>
        <v>#VALUE!</v>
      </c>
      <c r="EJ126" t="e">
        <f>AND('Planilla_General_07-12-2012_8_3'!I1891,"AAAAAHQvxIs=")</f>
        <v>#VALUE!</v>
      </c>
      <c r="EK126" t="e">
        <f>AND('Planilla_General_07-12-2012_8_3'!J1891,"AAAAAHQvxIw=")</f>
        <v>#VALUE!</v>
      </c>
      <c r="EL126" t="e">
        <f>AND('Planilla_General_07-12-2012_8_3'!K1891,"AAAAAHQvxI0=")</f>
        <v>#VALUE!</v>
      </c>
      <c r="EM126" t="e">
        <f>AND('Planilla_General_07-12-2012_8_3'!L1891,"AAAAAHQvxI4=")</f>
        <v>#VALUE!</v>
      </c>
      <c r="EN126" t="e">
        <f>AND('Planilla_General_07-12-2012_8_3'!M1891,"AAAAAHQvxI8=")</f>
        <v>#VALUE!</v>
      </c>
      <c r="EO126" t="e">
        <f>AND('Planilla_General_07-12-2012_8_3'!N1891,"AAAAAHQvxJA=")</f>
        <v>#VALUE!</v>
      </c>
      <c r="EP126" t="e">
        <f>AND('Planilla_General_07-12-2012_8_3'!O1891,"AAAAAHQvxJE=")</f>
        <v>#VALUE!</v>
      </c>
      <c r="EQ126" t="e">
        <f>AND('Planilla_General_07-12-2012_8_3'!P1891,"AAAAAHQvxJI=")</f>
        <v>#VALUE!</v>
      </c>
      <c r="ER126">
        <f>IF('Planilla_General_07-12-2012_8_3'!1892:1892,"AAAAAHQvxJM=",0)</f>
        <v>0</v>
      </c>
      <c r="ES126" t="e">
        <f>AND('Planilla_General_07-12-2012_8_3'!A1892,"AAAAAHQvxJQ=")</f>
        <v>#VALUE!</v>
      </c>
      <c r="ET126" t="e">
        <f>AND('Planilla_General_07-12-2012_8_3'!B1892,"AAAAAHQvxJU=")</f>
        <v>#VALUE!</v>
      </c>
      <c r="EU126" t="e">
        <f>AND('Planilla_General_07-12-2012_8_3'!C1892,"AAAAAHQvxJY=")</f>
        <v>#VALUE!</v>
      </c>
      <c r="EV126" t="e">
        <f>AND('Planilla_General_07-12-2012_8_3'!D1892,"AAAAAHQvxJc=")</f>
        <v>#VALUE!</v>
      </c>
      <c r="EW126" t="e">
        <f>AND('Planilla_General_07-12-2012_8_3'!E1892,"AAAAAHQvxJg=")</f>
        <v>#VALUE!</v>
      </c>
      <c r="EX126" t="e">
        <f>AND('Planilla_General_07-12-2012_8_3'!F1892,"AAAAAHQvxJk=")</f>
        <v>#VALUE!</v>
      </c>
      <c r="EY126" t="e">
        <f>AND('Planilla_General_07-12-2012_8_3'!G1892,"AAAAAHQvxJo=")</f>
        <v>#VALUE!</v>
      </c>
      <c r="EZ126" t="e">
        <f>AND('Planilla_General_07-12-2012_8_3'!H1892,"AAAAAHQvxJs=")</f>
        <v>#VALUE!</v>
      </c>
      <c r="FA126" t="e">
        <f>AND('Planilla_General_07-12-2012_8_3'!I1892,"AAAAAHQvxJw=")</f>
        <v>#VALUE!</v>
      </c>
      <c r="FB126" t="e">
        <f>AND('Planilla_General_07-12-2012_8_3'!J1892,"AAAAAHQvxJ0=")</f>
        <v>#VALUE!</v>
      </c>
      <c r="FC126" t="e">
        <f>AND('Planilla_General_07-12-2012_8_3'!K1892,"AAAAAHQvxJ4=")</f>
        <v>#VALUE!</v>
      </c>
      <c r="FD126" t="e">
        <f>AND('Planilla_General_07-12-2012_8_3'!L1892,"AAAAAHQvxJ8=")</f>
        <v>#VALUE!</v>
      </c>
      <c r="FE126" t="e">
        <f>AND('Planilla_General_07-12-2012_8_3'!M1892,"AAAAAHQvxKA=")</f>
        <v>#VALUE!</v>
      </c>
      <c r="FF126" t="e">
        <f>AND('Planilla_General_07-12-2012_8_3'!N1892,"AAAAAHQvxKE=")</f>
        <v>#VALUE!</v>
      </c>
      <c r="FG126" t="e">
        <f>AND('Planilla_General_07-12-2012_8_3'!O1892,"AAAAAHQvxKI=")</f>
        <v>#VALUE!</v>
      </c>
      <c r="FH126" t="e">
        <f>AND('Planilla_General_07-12-2012_8_3'!P1892,"AAAAAHQvxKM=")</f>
        <v>#VALUE!</v>
      </c>
      <c r="FI126">
        <f>IF('Planilla_General_07-12-2012_8_3'!1893:1893,"AAAAAHQvxKQ=",0)</f>
        <v>0</v>
      </c>
      <c r="FJ126" t="e">
        <f>AND('Planilla_General_07-12-2012_8_3'!A1893,"AAAAAHQvxKU=")</f>
        <v>#VALUE!</v>
      </c>
      <c r="FK126" t="e">
        <f>AND('Planilla_General_07-12-2012_8_3'!B1893,"AAAAAHQvxKY=")</f>
        <v>#VALUE!</v>
      </c>
      <c r="FL126" t="e">
        <f>AND('Planilla_General_07-12-2012_8_3'!C1893,"AAAAAHQvxKc=")</f>
        <v>#VALUE!</v>
      </c>
      <c r="FM126" t="e">
        <f>AND('Planilla_General_07-12-2012_8_3'!D1893,"AAAAAHQvxKg=")</f>
        <v>#VALUE!</v>
      </c>
      <c r="FN126" t="e">
        <f>AND('Planilla_General_07-12-2012_8_3'!E1893,"AAAAAHQvxKk=")</f>
        <v>#VALUE!</v>
      </c>
      <c r="FO126" t="e">
        <f>AND('Planilla_General_07-12-2012_8_3'!F1893,"AAAAAHQvxKo=")</f>
        <v>#VALUE!</v>
      </c>
      <c r="FP126" t="e">
        <f>AND('Planilla_General_07-12-2012_8_3'!G1893,"AAAAAHQvxKs=")</f>
        <v>#VALUE!</v>
      </c>
      <c r="FQ126" t="e">
        <f>AND('Planilla_General_07-12-2012_8_3'!H1893,"AAAAAHQvxKw=")</f>
        <v>#VALUE!</v>
      </c>
      <c r="FR126" t="e">
        <f>AND('Planilla_General_07-12-2012_8_3'!I1893,"AAAAAHQvxK0=")</f>
        <v>#VALUE!</v>
      </c>
      <c r="FS126" t="e">
        <f>AND('Planilla_General_07-12-2012_8_3'!J1893,"AAAAAHQvxK4=")</f>
        <v>#VALUE!</v>
      </c>
      <c r="FT126" t="e">
        <f>AND('Planilla_General_07-12-2012_8_3'!K1893,"AAAAAHQvxK8=")</f>
        <v>#VALUE!</v>
      </c>
      <c r="FU126" t="e">
        <f>AND('Planilla_General_07-12-2012_8_3'!L1893,"AAAAAHQvxLA=")</f>
        <v>#VALUE!</v>
      </c>
      <c r="FV126" t="e">
        <f>AND('Planilla_General_07-12-2012_8_3'!M1893,"AAAAAHQvxLE=")</f>
        <v>#VALUE!</v>
      </c>
      <c r="FW126" t="e">
        <f>AND('Planilla_General_07-12-2012_8_3'!N1893,"AAAAAHQvxLI=")</f>
        <v>#VALUE!</v>
      </c>
      <c r="FX126" t="e">
        <f>AND('Planilla_General_07-12-2012_8_3'!O1893,"AAAAAHQvxLM=")</f>
        <v>#VALUE!</v>
      </c>
      <c r="FY126" t="e">
        <f>AND('Planilla_General_07-12-2012_8_3'!P1893,"AAAAAHQvxLQ=")</f>
        <v>#VALUE!</v>
      </c>
      <c r="FZ126">
        <f>IF('Planilla_General_07-12-2012_8_3'!1894:1894,"AAAAAHQvxLU=",0)</f>
        <v>0</v>
      </c>
      <c r="GA126" t="e">
        <f>AND('Planilla_General_07-12-2012_8_3'!A1894,"AAAAAHQvxLY=")</f>
        <v>#VALUE!</v>
      </c>
      <c r="GB126" t="e">
        <f>AND('Planilla_General_07-12-2012_8_3'!B1894,"AAAAAHQvxLc=")</f>
        <v>#VALUE!</v>
      </c>
      <c r="GC126" t="e">
        <f>AND('Planilla_General_07-12-2012_8_3'!C1894,"AAAAAHQvxLg=")</f>
        <v>#VALUE!</v>
      </c>
      <c r="GD126" t="e">
        <f>AND('Planilla_General_07-12-2012_8_3'!D1894,"AAAAAHQvxLk=")</f>
        <v>#VALUE!</v>
      </c>
      <c r="GE126" t="e">
        <f>AND('Planilla_General_07-12-2012_8_3'!E1894,"AAAAAHQvxLo=")</f>
        <v>#VALUE!</v>
      </c>
      <c r="GF126" t="e">
        <f>AND('Planilla_General_07-12-2012_8_3'!F1894,"AAAAAHQvxLs=")</f>
        <v>#VALUE!</v>
      </c>
      <c r="GG126" t="e">
        <f>AND('Planilla_General_07-12-2012_8_3'!G1894,"AAAAAHQvxLw=")</f>
        <v>#VALUE!</v>
      </c>
      <c r="GH126" t="e">
        <f>AND('Planilla_General_07-12-2012_8_3'!H1894,"AAAAAHQvxL0=")</f>
        <v>#VALUE!</v>
      </c>
      <c r="GI126" t="e">
        <f>AND('Planilla_General_07-12-2012_8_3'!I1894,"AAAAAHQvxL4=")</f>
        <v>#VALUE!</v>
      </c>
      <c r="GJ126" t="e">
        <f>AND('Planilla_General_07-12-2012_8_3'!J1894,"AAAAAHQvxL8=")</f>
        <v>#VALUE!</v>
      </c>
      <c r="GK126" t="e">
        <f>AND('Planilla_General_07-12-2012_8_3'!K1894,"AAAAAHQvxMA=")</f>
        <v>#VALUE!</v>
      </c>
      <c r="GL126" t="e">
        <f>AND('Planilla_General_07-12-2012_8_3'!L1894,"AAAAAHQvxME=")</f>
        <v>#VALUE!</v>
      </c>
      <c r="GM126" t="e">
        <f>AND('Planilla_General_07-12-2012_8_3'!M1894,"AAAAAHQvxMI=")</f>
        <v>#VALUE!</v>
      </c>
      <c r="GN126" t="e">
        <f>AND('Planilla_General_07-12-2012_8_3'!N1894,"AAAAAHQvxMM=")</f>
        <v>#VALUE!</v>
      </c>
      <c r="GO126" t="e">
        <f>AND('Planilla_General_07-12-2012_8_3'!O1894,"AAAAAHQvxMQ=")</f>
        <v>#VALUE!</v>
      </c>
      <c r="GP126" t="e">
        <f>AND('Planilla_General_07-12-2012_8_3'!P1894,"AAAAAHQvxMU=")</f>
        <v>#VALUE!</v>
      </c>
      <c r="GQ126">
        <f>IF('Planilla_General_07-12-2012_8_3'!1895:1895,"AAAAAHQvxMY=",0)</f>
        <v>0</v>
      </c>
      <c r="GR126" t="e">
        <f>AND('Planilla_General_07-12-2012_8_3'!A1895,"AAAAAHQvxMc=")</f>
        <v>#VALUE!</v>
      </c>
      <c r="GS126" t="e">
        <f>AND('Planilla_General_07-12-2012_8_3'!B1895,"AAAAAHQvxMg=")</f>
        <v>#VALUE!</v>
      </c>
      <c r="GT126" t="e">
        <f>AND('Planilla_General_07-12-2012_8_3'!C1895,"AAAAAHQvxMk=")</f>
        <v>#VALUE!</v>
      </c>
      <c r="GU126" t="e">
        <f>AND('Planilla_General_07-12-2012_8_3'!D1895,"AAAAAHQvxMo=")</f>
        <v>#VALUE!</v>
      </c>
      <c r="GV126" t="e">
        <f>AND('Planilla_General_07-12-2012_8_3'!E1895,"AAAAAHQvxMs=")</f>
        <v>#VALUE!</v>
      </c>
      <c r="GW126" t="e">
        <f>AND('Planilla_General_07-12-2012_8_3'!F1895,"AAAAAHQvxMw=")</f>
        <v>#VALUE!</v>
      </c>
      <c r="GX126" t="e">
        <f>AND('Planilla_General_07-12-2012_8_3'!G1895,"AAAAAHQvxM0=")</f>
        <v>#VALUE!</v>
      </c>
      <c r="GY126" t="e">
        <f>AND('Planilla_General_07-12-2012_8_3'!H1895,"AAAAAHQvxM4=")</f>
        <v>#VALUE!</v>
      </c>
      <c r="GZ126" t="e">
        <f>AND('Planilla_General_07-12-2012_8_3'!I1895,"AAAAAHQvxM8=")</f>
        <v>#VALUE!</v>
      </c>
      <c r="HA126" t="e">
        <f>AND('Planilla_General_07-12-2012_8_3'!J1895,"AAAAAHQvxNA=")</f>
        <v>#VALUE!</v>
      </c>
      <c r="HB126" t="e">
        <f>AND('Planilla_General_07-12-2012_8_3'!K1895,"AAAAAHQvxNE=")</f>
        <v>#VALUE!</v>
      </c>
      <c r="HC126" t="e">
        <f>AND('Planilla_General_07-12-2012_8_3'!L1895,"AAAAAHQvxNI=")</f>
        <v>#VALUE!</v>
      </c>
      <c r="HD126" t="e">
        <f>AND('Planilla_General_07-12-2012_8_3'!M1895,"AAAAAHQvxNM=")</f>
        <v>#VALUE!</v>
      </c>
      <c r="HE126" t="e">
        <f>AND('Planilla_General_07-12-2012_8_3'!N1895,"AAAAAHQvxNQ=")</f>
        <v>#VALUE!</v>
      </c>
      <c r="HF126" t="e">
        <f>AND('Planilla_General_07-12-2012_8_3'!O1895,"AAAAAHQvxNU=")</f>
        <v>#VALUE!</v>
      </c>
      <c r="HG126" t="e">
        <f>AND('Planilla_General_07-12-2012_8_3'!P1895,"AAAAAHQvxNY=")</f>
        <v>#VALUE!</v>
      </c>
      <c r="HH126">
        <f>IF('Planilla_General_07-12-2012_8_3'!1896:1896,"AAAAAHQvxNc=",0)</f>
        <v>0</v>
      </c>
      <c r="HI126" t="e">
        <f>AND('Planilla_General_07-12-2012_8_3'!A1896,"AAAAAHQvxNg=")</f>
        <v>#VALUE!</v>
      </c>
      <c r="HJ126" t="e">
        <f>AND('Planilla_General_07-12-2012_8_3'!B1896,"AAAAAHQvxNk=")</f>
        <v>#VALUE!</v>
      </c>
      <c r="HK126" t="e">
        <f>AND('Planilla_General_07-12-2012_8_3'!C1896,"AAAAAHQvxNo=")</f>
        <v>#VALUE!</v>
      </c>
      <c r="HL126" t="e">
        <f>AND('Planilla_General_07-12-2012_8_3'!D1896,"AAAAAHQvxNs=")</f>
        <v>#VALUE!</v>
      </c>
      <c r="HM126" t="e">
        <f>AND('Planilla_General_07-12-2012_8_3'!E1896,"AAAAAHQvxNw=")</f>
        <v>#VALUE!</v>
      </c>
      <c r="HN126" t="e">
        <f>AND('Planilla_General_07-12-2012_8_3'!F1896,"AAAAAHQvxN0=")</f>
        <v>#VALUE!</v>
      </c>
      <c r="HO126" t="e">
        <f>AND('Planilla_General_07-12-2012_8_3'!G1896,"AAAAAHQvxN4=")</f>
        <v>#VALUE!</v>
      </c>
      <c r="HP126" t="e">
        <f>AND('Planilla_General_07-12-2012_8_3'!H1896,"AAAAAHQvxN8=")</f>
        <v>#VALUE!</v>
      </c>
      <c r="HQ126" t="e">
        <f>AND('Planilla_General_07-12-2012_8_3'!I1896,"AAAAAHQvxOA=")</f>
        <v>#VALUE!</v>
      </c>
      <c r="HR126" t="e">
        <f>AND('Planilla_General_07-12-2012_8_3'!J1896,"AAAAAHQvxOE=")</f>
        <v>#VALUE!</v>
      </c>
      <c r="HS126" t="e">
        <f>AND('Planilla_General_07-12-2012_8_3'!K1896,"AAAAAHQvxOI=")</f>
        <v>#VALUE!</v>
      </c>
      <c r="HT126" t="e">
        <f>AND('Planilla_General_07-12-2012_8_3'!L1896,"AAAAAHQvxOM=")</f>
        <v>#VALUE!</v>
      </c>
      <c r="HU126" t="e">
        <f>AND('Planilla_General_07-12-2012_8_3'!M1896,"AAAAAHQvxOQ=")</f>
        <v>#VALUE!</v>
      </c>
      <c r="HV126" t="e">
        <f>AND('Planilla_General_07-12-2012_8_3'!N1896,"AAAAAHQvxOU=")</f>
        <v>#VALUE!</v>
      </c>
      <c r="HW126" t="e">
        <f>AND('Planilla_General_07-12-2012_8_3'!O1896,"AAAAAHQvxOY=")</f>
        <v>#VALUE!</v>
      </c>
      <c r="HX126" t="e">
        <f>AND('Planilla_General_07-12-2012_8_3'!P1896,"AAAAAHQvxOc=")</f>
        <v>#VALUE!</v>
      </c>
      <c r="HY126">
        <f>IF('Planilla_General_07-12-2012_8_3'!1897:1897,"AAAAAHQvxOg=",0)</f>
        <v>0</v>
      </c>
      <c r="HZ126" t="e">
        <f>AND('Planilla_General_07-12-2012_8_3'!A1897,"AAAAAHQvxOk=")</f>
        <v>#VALUE!</v>
      </c>
      <c r="IA126" t="e">
        <f>AND('Planilla_General_07-12-2012_8_3'!B1897,"AAAAAHQvxOo=")</f>
        <v>#VALUE!</v>
      </c>
      <c r="IB126" t="e">
        <f>AND('Planilla_General_07-12-2012_8_3'!C1897,"AAAAAHQvxOs=")</f>
        <v>#VALUE!</v>
      </c>
      <c r="IC126" t="e">
        <f>AND('Planilla_General_07-12-2012_8_3'!D1897,"AAAAAHQvxOw=")</f>
        <v>#VALUE!</v>
      </c>
      <c r="ID126" t="e">
        <f>AND('Planilla_General_07-12-2012_8_3'!E1897,"AAAAAHQvxO0=")</f>
        <v>#VALUE!</v>
      </c>
      <c r="IE126" t="e">
        <f>AND('Planilla_General_07-12-2012_8_3'!F1897,"AAAAAHQvxO4=")</f>
        <v>#VALUE!</v>
      </c>
      <c r="IF126" t="e">
        <f>AND('Planilla_General_07-12-2012_8_3'!G1897,"AAAAAHQvxO8=")</f>
        <v>#VALUE!</v>
      </c>
      <c r="IG126" t="e">
        <f>AND('Planilla_General_07-12-2012_8_3'!H1897,"AAAAAHQvxPA=")</f>
        <v>#VALUE!</v>
      </c>
      <c r="IH126" t="e">
        <f>AND('Planilla_General_07-12-2012_8_3'!I1897,"AAAAAHQvxPE=")</f>
        <v>#VALUE!</v>
      </c>
      <c r="II126" t="e">
        <f>AND('Planilla_General_07-12-2012_8_3'!J1897,"AAAAAHQvxPI=")</f>
        <v>#VALUE!</v>
      </c>
      <c r="IJ126" t="e">
        <f>AND('Planilla_General_07-12-2012_8_3'!K1897,"AAAAAHQvxPM=")</f>
        <v>#VALUE!</v>
      </c>
      <c r="IK126" t="e">
        <f>AND('Planilla_General_07-12-2012_8_3'!L1897,"AAAAAHQvxPQ=")</f>
        <v>#VALUE!</v>
      </c>
      <c r="IL126" t="e">
        <f>AND('Planilla_General_07-12-2012_8_3'!M1897,"AAAAAHQvxPU=")</f>
        <v>#VALUE!</v>
      </c>
      <c r="IM126" t="e">
        <f>AND('Planilla_General_07-12-2012_8_3'!N1897,"AAAAAHQvxPY=")</f>
        <v>#VALUE!</v>
      </c>
      <c r="IN126" t="e">
        <f>AND('Planilla_General_07-12-2012_8_3'!O1897,"AAAAAHQvxPc=")</f>
        <v>#VALUE!</v>
      </c>
      <c r="IO126" t="e">
        <f>AND('Planilla_General_07-12-2012_8_3'!P1897,"AAAAAHQvxPg=")</f>
        <v>#VALUE!</v>
      </c>
      <c r="IP126">
        <f>IF('Planilla_General_07-12-2012_8_3'!1898:1898,"AAAAAHQvxPk=",0)</f>
        <v>0</v>
      </c>
      <c r="IQ126" t="e">
        <f>AND('Planilla_General_07-12-2012_8_3'!A1898,"AAAAAHQvxPo=")</f>
        <v>#VALUE!</v>
      </c>
      <c r="IR126" t="e">
        <f>AND('Planilla_General_07-12-2012_8_3'!B1898,"AAAAAHQvxPs=")</f>
        <v>#VALUE!</v>
      </c>
      <c r="IS126" t="e">
        <f>AND('Planilla_General_07-12-2012_8_3'!C1898,"AAAAAHQvxPw=")</f>
        <v>#VALUE!</v>
      </c>
      <c r="IT126" t="e">
        <f>AND('Planilla_General_07-12-2012_8_3'!D1898,"AAAAAHQvxP0=")</f>
        <v>#VALUE!</v>
      </c>
      <c r="IU126" t="e">
        <f>AND('Planilla_General_07-12-2012_8_3'!E1898,"AAAAAHQvxP4=")</f>
        <v>#VALUE!</v>
      </c>
      <c r="IV126" t="e">
        <f>AND('Planilla_General_07-12-2012_8_3'!F1898,"AAAAAHQvxP8=")</f>
        <v>#VALUE!</v>
      </c>
    </row>
    <row r="127" spans="1:256" x14ac:dyDescent="0.25">
      <c r="A127" t="e">
        <f>AND('Planilla_General_07-12-2012_8_3'!G1898,"AAAAAH//NwA=")</f>
        <v>#VALUE!</v>
      </c>
      <c r="B127" t="e">
        <f>AND('Planilla_General_07-12-2012_8_3'!H1898,"AAAAAH//NwE=")</f>
        <v>#VALUE!</v>
      </c>
      <c r="C127" t="e">
        <f>AND('Planilla_General_07-12-2012_8_3'!I1898,"AAAAAH//NwI=")</f>
        <v>#VALUE!</v>
      </c>
      <c r="D127" t="e">
        <f>AND('Planilla_General_07-12-2012_8_3'!J1898,"AAAAAH//NwM=")</f>
        <v>#VALUE!</v>
      </c>
      <c r="E127" t="e">
        <f>AND('Planilla_General_07-12-2012_8_3'!K1898,"AAAAAH//NwQ=")</f>
        <v>#VALUE!</v>
      </c>
      <c r="F127" t="e">
        <f>AND('Planilla_General_07-12-2012_8_3'!L1898,"AAAAAH//NwU=")</f>
        <v>#VALUE!</v>
      </c>
      <c r="G127" t="e">
        <f>AND('Planilla_General_07-12-2012_8_3'!M1898,"AAAAAH//NwY=")</f>
        <v>#VALUE!</v>
      </c>
      <c r="H127" t="e">
        <f>AND('Planilla_General_07-12-2012_8_3'!N1898,"AAAAAH//Nwc=")</f>
        <v>#VALUE!</v>
      </c>
      <c r="I127" t="e">
        <f>AND('Planilla_General_07-12-2012_8_3'!O1898,"AAAAAH//Nwg=")</f>
        <v>#VALUE!</v>
      </c>
      <c r="J127" t="e">
        <f>AND('Planilla_General_07-12-2012_8_3'!P1898,"AAAAAH//Nwk=")</f>
        <v>#VALUE!</v>
      </c>
      <c r="K127" t="str">
        <f>IF('Planilla_General_07-12-2012_8_3'!1899:1899,"AAAAAH//Nwo=",0)</f>
        <v>AAAAAH//Nwo=</v>
      </c>
      <c r="L127" t="e">
        <f>AND('Planilla_General_07-12-2012_8_3'!A1899,"AAAAAH//Nws=")</f>
        <v>#VALUE!</v>
      </c>
      <c r="M127" t="e">
        <f>AND('Planilla_General_07-12-2012_8_3'!B1899,"AAAAAH//Nww=")</f>
        <v>#VALUE!</v>
      </c>
      <c r="N127" t="e">
        <f>AND('Planilla_General_07-12-2012_8_3'!C1899,"AAAAAH//Nw0=")</f>
        <v>#VALUE!</v>
      </c>
      <c r="O127" t="e">
        <f>AND('Planilla_General_07-12-2012_8_3'!D1899,"AAAAAH//Nw4=")</f>
        <v>#VALUE!</v>
      </c>
      <c r="P127" t="e">
        <f>AND('Planilla_General_07-12-2012_8_3'!E1899,"AAAAAH//Nw8=")</f>
        <v>#VALUE!</v>
      </c>
      <c r="Q127" t="e">
        <f>AND('Planilla_General_07-12-2012_8_3'!F1899,"AAAAAH//NxA=")</f>
        <v>#VALUE!</v>
      </c>
      <c r="R127" t="e">
        <f>AND('Planilla_General_07-12-2012_8_3'!G1899,"AAAAAH//NxE=")</f>
        <v>#VALUE!</v>
      </c>
      <c r="S127" t="e">
        <f>AND('Planilla_General_07-12-2012_8_3'!H1899,"AAAAAH//NxI=")</f>
        <v>#VALUE!</v>
      </c>
      <c r="T127" t="e">
        <f>AND('Planilla_General_07-12-2012_8_3'!I1899,"AAAAAH//NxM=")</f>
        <v>#VALUE!</v>
      </c>
      <c r="U127" t="e">
        <f>AND('Planilla_General_07-12-2012_8_3'!J1899,"AAAAAH//NxQ=")</f>
        <v>#VALUE!</v>
      </c>
      <c r="V127" t="e">
        <f>AND('Planilla_General_07-12-2012_8_3'!K1899,"AAAAAH//NxU=")</f>
        <v>#VALUE!</v>
      </c>
      <c r="W127" t="e">
        <f>AND('Planilla_General_07-12-2012_8_3'!L1899,"AAAAAH//NxY=")</f>
        <v>#VALUE!</v>
      </c>
      <c r="X127" t="e">
        <f>AND('Planilla_General_07-12-2012_8_3'!M1899,"AAAAAH//Nxc=")</f>
        <v>#VALUE!</v>
      </c>
      <c r="Y127" t="e">
        <f>AND('Planilla_General_07-12-2012_8_3'!N1899,"AAAAAH//Nxg=")</f>
        <v>#VALUE!</v>
      </c>
      <c r="Z127" t="e">
        <f>AND('Planilla_General_07-12-2012_8_3'!O1899,"AAAAAH//Nxk=")</f>
        <v>#VALUE!</v>
      </c>
      <c r="AA127" t="e">
        <f>AND('Planilla_General_07-12-2012_8_3'!P1899,"AAAAAH//Nxo=")</f>
        <v>#VALUE!</v>
      </c>
      <c r="AB127">
        <f>IF('Planilla_General_07-12-2012_8_3'!1900:1900,"AAAAAH//Nxs=",0)</f>
        <v>0</v>
      </c>
      <c r="AC127" t="e">
        <f>AND('Planilla_General_07-12-2012_8_3'!A1900,"AAAAAH//Nxw=")</f>
        <v>#VALUE!</v>
      </c>
      <c r="AD127" t="e">
        <f>AND('Planilla_General_07-12-2012_8_3'!B1900,"AAAAAH//Nx0=")</f>
        <v>#VALUE!</v>
      </c>
      <c r="AE127" t="e">
        <f>AND('Planilla_General_07-12-2012_8_3'!C1900,"AAAAAH//Nx4=")</f>
        <v>#VALUE!</v>
      </c>
      <c r="AF127" t="e">
        <f>AND('Planilla_General_07-12-2012_8_3'!D1900,"AAAAAH//Nx8=")</f>
        <v>#VALUE!</v>
      </c>
      <c r="AG127" t="e">
        <f>AND('Planilla_General_07-12-2012_8_3'!E1900,"AAAAAH//NyA=")</f>
        <v>#VALUE!</v>
      </c>
      <c r="AH127" t="e">
        <f>AND('Planilla_General_07-12-2012_8_3'!F1900,"AAAAAH//NyE=")</f>
        <v>#VALUE!</v>
      </c>
      <c r="AI127" t="e">
        <f>AND('Planilla_General_07-12-2012_8_3'!G1900,"AAAAAH//NyI=")</f>
        <v>#VALUE!</v>
      </c>
      <c r="AJ127" t="e">
        <f>AND('Planilla_General_07-12-2012_8_3'!H1900,"AAAAAH//NyM=")</f>
        <v>#VALUE!</v>
      </c>
      <c r="AK127" t="e">
        <f>AND('Planilla_General_07-12-2012_8_3'!I1900,"AAAAAH//NyQ=")</f>
        <v>#VALUE!</v>
      </c>
      <c r="AL127" t="e">
        <f>AND('Planilla_General_07-12-2012_8_3'!J1900,"AAAAAH//NyU=")</f>
        <v>#VALUE!</v>
      </c>
      <c r="AM127" t="e">
        <f>AND('Planilla_General_07-12-2012_8_3'!K1900,"AAAAAH//NyY=")</f>
        <v>#VALUE!</v>
      </c>
      <c r="AN127" t="e">
        <f>AND('Planilla_General_07-12-2012_8_3'!L1900,"AAAAAH//Nyc=")</f>
        <v>#VALUE!</v>
      </c>
      <c r="AO127" t="e">
        <f>AND('Planilla_General_07-12-2012_8_3'!M1900,"AAAAAH//Nyg=")</f>
        <v>#VALUE!</v>
      </c>
      <c r="AP127" t="e">
        <f>AND('Planilla_General_07-12-2012_8_3'!N1900,"AAAAAH//Nyk=")</f>
        <v>#VALUE!</v>
      </c>
      <c r="AQ127" t="e">
        <f>AND('Planilla_General_07-12-2012_8_3'!O1900,"AAAAAH//Nyo=")</f>
        <v>#VALUE!</v>
      </c>
      <c r="AR127" t="e">
        <f>AND('Planilla_General_07-12-2012_8_3'!P1900,"AAAAAH//Nys=")</f>
        <v>#VALUE!</v>
      </c>
      <c r="AS127">
        <f>IF('Planilla_General_07-12-2012_8_3'!1901:1901,"AAAAAH//Nyw=",0)</f>
        <v>0</v>
      </c>
      <c r="AT127" t="e">
        <f>AND('Planilla_General_07-12-2012_8_3'!A1901,"AAAAAH//Ny0=")</f>
        <v>#VALUE!</v>
      </c>
      <c r="AU127" t="e">
        <f>AND('Planilla_General_07-12-2012_8_3'!B1901,"AAAAAH//Ny4=")</f>
        <v>#VALUE!</v>
      </c>
      <c r="AV127" t="e">
        <f>AND('Planilla_General_07-12-2012_8_3'!C1901,"AAAAAH//Ny8=")</f>
        <v>#VALUE!</v>
      </c>
      <c r="AW127" t="e">
        <f>AND('Planilla_General_07-12-2012_8_3'!D1901,"AAAAAH//NzA=")</f>
        <v>#VALUE!</v>
      </c>
      <c r="AX127" t="e">
        <f>AND('Planilla_General_07-12-2012_8_3'!E1901,"AAAAAH//NzE=")</f>
        <v>#VALUE!</v>
      </c>
      <c r="AY127" t="e">
        <f>AND('Planilla_General_07-12-2012_8_3'!F1901,"AAAAAH//NzI=")</f>
        <v>#VALUE!</v>
      </c>
      <c r="AZ127" t="e">
        <f>AND('Planilla_General_07-12-2012_8_3'!G1901,"AAAAAH//NzM=")</f>
        <v>#VALUE!</v>
      </c>
      <c r="BA127" t="e">
        <f>AND('Planilla_General_07-12-2012_8_3'!H1901,"AAAAAH//NzQ=")</f>
        <v>#VALUE!</v>
      </c>
      <c r="BB127" t="e">
        <f>AND('Planilla_General_07-12-2012_8_3'!I1901,"AAAAAH//NzU=")</f>
        <v>#VALUE!</v>
      </c>
      <c r="BC127" t="e">
        <f>AND('Planilla_General_07-12-2012_8_3'!J1901,"AAAAAH//NzY=")</f>
        <v>#VALUE!</v>
      </c>
      <c r="BD127" t="e">
        <f>AND('Planilla_General_07-12-2012_8_3'!K1901,"AAAAAH//Nzc=")</f>
        <v>#VALUE!</v>
      </c>
      <c r="BE127" t="e">
        <f>AND('Planilla_General_07-12-2012_8_3'!L1901,"AAAAAH//Nzg=")</f>
        <v>#VALUE!</v>
      </c>
      <c r="BF127" t="e">
        <f>AND('Planilla_General_07-12-2012_8_3'!M1901,"AAAAAH//Nzk=")</f>
        <v>#VALUE!</v>
      </c>
      <c r="BG127" t="e">
        <f>AND('Planilla_General_07-12-2012_8_3'!N1901,"AAAAAH//Nzo=")</f>
        <v>#VALUE!</v>
      </c>
      <c r="BH127" t="e">
        <f>AND('Planilla_General_07-12-2012_8_3'!O1901,"AAAAAH//Nzs=")</f>
        <v>#VALUE!</v>
      </c>
      <c r="BI127" t="e">
        <f>AND('Planilla_General_07-12-2012_8_3'!P1901,"AAAAAH//Nzw=")</f>
        <v>#VALUE!</v>
      </c>
      <c r="BJ127">
        <f>IF('Planilla_General_07-12-2012_8_3'!1902:1902,"AAAAAH//Nz0=",0)</f>
        <v>0</v>
      </c>
      <c r="BK127" t="e">
        <f>AND('Planilla_General_07-12-2012_8_3'!A1902,"AAAAAH//Nz4=")</f>
        <v>#VALUE!</v>
      </c>
      <c r="BL127" t="e">
        <f>AND('Planilla_General_07-12-2012_8_3'!B1902,"AAAAAH//Nz8=")</f>
        <v>#VALUE!</v>
      </c>
      <c r="BM127" t="e">
        <f>AND('Planilla_General_07-12-2012_8_3'!C1902,"AAAAAH//N0A=")</f>
        <v>#VALUE!</v>
      </c>
      <c r="BN127" t="e">
        <f>AND('Planilla_General_07-12-2012_8_3'!D1902,"AAAAAH//N0E=")</f>
        <v>#VALUE!</v>
      </c>
      <c r="BO127" t="e">
        <f>AND('Planilla_General_07-12-2012_8_3'!E1902,"AAAAAH//N0I=")</f>
        <v>#VALUE!</v>
      </c>
      <c r="BP127" t="e">
        <f>AND('Planilla_General_07-12-2012_8_3'!F1902,"AAAAAH//N0M=")</f>
        <v>#VALUE!</v>
      </c>
      <c r="BQ127" t="e">
        <f>AND('Planilla_General_07-12-2012_8_3'!G1902,"AAAAAH//N0Q=")</f>
        <v>#VALUE!</v>
      </c>
      <c r="BR127" t="e">
        <f>AND('Planilla_General_07-12-2012_8_3'!H1902,"AAAAAH//N0U=")</f>
        <v>#VALUE!</v>
      </c>
      <c r="BS127" t="e">
        <f>AND('Planilla_General_07-12-2012_8_3'!I1902,"AAAAAH//N0Y=")</f>
        <v>#VALUE!</v>
      </c>
      <c r="BT127" t="e">
        <f>AND('Planilla_General_07-12-2012_8_3'!J1902,"AAAAAH//N0c=")</f>
        <v>#VALUE!</v>
      </c>
      <c r="BU127" t="e">
        <f>AND('Planilla_General_07-12-2012_8_3'!K1902,"AAAAAH//N0g=")</f>
        <v>#VALUE!</v>
      </c>
      <c r="BV127" t="e">
        <f>AND('Planilla_General_07-12-2012_8_3'!L1902,"AAAAAH//N0k=")</f>
        <v>#VALUE!</v>
      </c>
      <c r="BW127" t="e">
        <f>AND('Planilla_General_07-12-2012_8_3'!M1902,"AAAAAH//N0o=")</f>
        <v>#VALUE!</v>
      </c>
      <c r="BX127" t="e">
        <f>AND('Planilla_General_07-12-2012_8_3'!N1902,"AAAAAH//N0s=")</f>
        <v>#VALUE!</v>
      </c>
      <c r="BY127" t="e">
        <f>AND('Planilla_General_07-12-2012_8_3'!O1902,"AAAAAH//N0w=")</f>
        <v>#VALUE!</v>
      </c>
      <c r="BZ127" t="e">
        <f>AND('Planilla_General_07-12-2012_8_3'!P1902,"AAAAAH//N00=")</f>
        <v>#VALUE!</v>
      </c>
      <c r="CA127">
        <f>IF('Planilla_General_07-12-2012_8_3'!1903:1903,"AAAAAH//N04=",0)</f>
        <v>0</v>
      </c>
      <c r="CB127" t="e">
        <f>AND('Planilla_General_07-12-2012_8_3'!A1903,"AAAAAH//N08=")</f>
        <v>#VALUE!</v>
      </c>
      <c r="CC127" t="e">
        <f>AND('Planilla_General_07-12-2012_8_3'!B1903,"AAAAAH//N1A=")</f>
        <v>#VALUE!</v>
      </c>
      <c r="CD127" t="e">
        <f>AND('Planilla_General_07-12-2012_8_3'!C1903,"AAAAAH//N1E=")</f>
        <v>#VALUE!</v>
      </c>
      <c r="CE127" t="e">
        <f>AND('Planilla_General_07-12-2012_8_3'!D1903,"AAAAAH//N1I=")</f>
        <v>#VALUE!</v>
      </c>
      <c r="CF127" t="e">
        <f>AND('Planilla_General_07-12-2012_8_3'!E1903,"AAAAAH//N1M=")</f>
        <v>#VALUE!</v>
      </c>
      <c r="CG127" t="e">
        <f>AND('Planilla_General_07-12-2012_8_3'!F1903,"AAAAAH//N1Q=")</f>
        <v>#VALUE!</v>
      </c>
      <c r="CH127" t="e">
        <f>AND('Planilla_General_07-12-2012_8_3'!G1903,"AAAAAH//N1U=")</f>
        <v>#VALUE!</v>
      </c>
      <c r="CI127" t="e">
        <f>AND('Planilla_General_07-12-2012_8_3'!H1903,"AAAAAH//N1Y=")</f>
        <v>#VALUE!</v>
      </c>
      <c r="CJ127" t="e">
        <f>AND('Planilla_General_07-12-2012_8_3'!I1903,"AAAAAH//N1c=")</f>
        <v>#VALUE!</v>
      </c>
      <c r="CK127" t="e">
        <f>AND('Planilla_General_07-12-2012_8_3'!J1903,"AAAAAH//N1g=")</f>
        <v>#VALUE!</v>
      </c>
      <c r="CL127" t="e">
        <f>AND('Planilla_General_07-12-2012_8_3'!K1903,"AAAAAH//N1k=")</f>
        <v>#VALUE!</v>
      </c>
      <c r="CM127" t="e">
        <f>AND('Planilla_General_07-12-2012_8_3'!L1903,"AAAAAH//N1o=")</f>
        <v>#VALUE!</v>
      </c>
      <c r="CN127" t="e">
        <f>AND('Planilla_General_07-12-2012_8_3'!M1903,"AAAAAH//N1s=")</f>
        <v>#VALUE!</v>
      </c>
      <c r="CO127" t="e">
        <f>AND('Planilla_General_07-12-2012_8_3'!N1903,"AAAAAH//N1w=")</f>
        <v>#VALUE!</v>
      </c>
      <c r="CP127" t="e">
        <f>AND('Planilla_General_07-12-2012_8_3'!O1903,"AAAAAH//N10=")</f>
        <v>#VALUE!</v>
      </c>
      <c r="CQ127" t="e">
        <f>AND('Planilla_General_07-12-2012_8_3'!P1903,"AAAAAH//N14=")</f>
        <v>#VALUE!</v>
      </c>
      <c r="CR127">
        <f>IF('Planilla_General_07-12-2012_8_3'!1904:1904,"AAAAAH//N18=",0)</f>
        <v>0</v>
      </c>
      <c r="CS127" t="e">
        <f>AND('Planilla_General_07-12-2012_8_3'!A1904,"AAAAAH//N2A=")</f>
        <v>#VALUE!</v>
      </c>
      <c r="CT127" t="e">
        <f>AND('Planilla_General_07-12-2012_8_3'!B1904,"AAAAAH//N2E=")</f>
        <v>#VALUE!</v>
      </c>
      <c r="CU127" t="e">
        <f>AND('Planilla_General_07-12-2012_8_3'!C1904,"AAAAAH//N2I=")</f>
        <v>#VALUE!</v>
      </c>
      <c r="CV127" t="e">
        <f>AND('Planilla_General_07-12-2012_8_3'!D1904,"AAAAAH//N2M=")</f>
        <v>#VALUE!</v>
      </c>
      <c r="CW127" t="e">
        <f>AND('Planilla_General_07-12-2012_8_3'!E1904,"AAAAAH//N2Q=")</f>
        <v>#VALUE!</v>
      </c>
      <c r="CX127" t="e">
        <f>AND('Planilla_General_07-12-2012_8_3'!F1904,"AAAAAH//N2U=")</f>
        <v>#VALUE!</v>
      </c>
      <c r="CY127" t="e">
        <f>AND('Planilla_General_07-12-2012_8_3'!G1904,"AAAAAH//N2Y=")</f>
        <v>#VALUE!</v>
      </c>
      <c r="CZ127" t="e">
        <f>AND('Planilla_General_07-12-2012_8_3'!H1904,"AAAAAH//N2c=")</f>
        <v>#VALUE!</v>
      </c>
      <c r="DA127" t="e">
        <f>AND('Planilla_General_07-12-2012_8_3'!I1904,"AAAAAH//N2g=")</f>
        <v>#VALUE!</v>
      </c>
      <c r="DB127" t="e">
        <f>AND('Planilla_General_07-12-2012_8_3'!J1904,"AAAAAH//N2k=")</f>
        <v>#VALUE!</v>
      </c>
      <c r="DC127" t="e">
        <f>AND('Planilla_General_07-12-2012_8_3'!K1904,"AAAAAH//N2o=")</f>
        <v>#VALUE!</v>
      </c>
      <c r="DD127" t="e">
        <f>AND('Planilla_General_07-12-2012_8_3'!L1904,"AAAAAH//N2s=")</f>
        <v>#VALUE!</v>
      </c>
      <c r="DE127" t="e">
        <f>AND('Planilla_General_07-12-2012_8_3'!M1904,"AAAAAH//N2w=")</f>
        <v>#VALUE!</v>
      </c>
      <c r="DF127" t="e">
        <f>AND('Planilla_General_07-12-2012_8_3'!N1904,"AAAAAH//N20=")</f>
        <v>#VALUE!</v>
      </c>
      <c r="DG127" t="e">
        <f>AND('Planilla_General_07-12-2012_8_3'!O1904,"AAAAAH//N24=")</f>
        <v>#VALUE!</v>
      </c>
      <c r="DH127" t="e">
        <f>AND('Planilla_General_07-12-2012_8_3'!P1904,"AAAAAH//N28=")</f>
        <v>#VALUE!</v>
      </c>
      <c r="DI127">
        <f>IF('Planilla_General_07-12-2012_8_3'!1905:1905,"AAAAAH//N3A=",0)</f>
        <v>0</v>
      </c>
      <c r="DJ127" t="e">
        <f>AND('Planilla_General_07-12-2012_8_3'!A1905,"AAAAAH//N3E=")</f>
        <v>#VALUE!</v>
      </c>
      <c r="DK127" t="e">
        <f>AND('Planilla_General_07-12-2012_8_3'!B1905,"AAAAAH//N3I=")</f>
        <v>#VALUE!</v>
      </c>
      <c r="DL127" t="e">
        <f>AND('Planilla_General_07-12-2012_8_3'!C1905,"AAAAAH//N3M=")</f>
        <v>#VALUE!</v>
      </c>
      <c r="DM127" t="e">
        <f>AND('Planilla_General_07-12-2012_8_3'!D1905,"AAAAAH//N3Q=")</f>
        <v>#VALUE!</v>
      </c>
      <c r="DN127" t="e">
        <f>AND('Planilla_General_07-12-2012_8_3'!E1905,"AAAAAH//N3U=")</f>
        <v>#VALUE!</v>
      </c>
      <c r="DO127" t="e">
        <f>AND('Planilla_General_07-12-2012_8_3'!F1905,"AAAAAH//N3Y=")</f>
        <v>#VALUE!</v>
      </c>
      <c r="DP127" t="e">
        <f>AND('Planilla_General_07-12-2012_8_3'!G1905,"AAAAAH//N3c=")</f>
        <v>#VALUE!</v>
      </c>
      <c r="DQ127" t="e">
        <f>AND('Planilla_General_07-12-2012_8_3'!H1905,"AAAAAH//N3g=")</f>
        <v>#VALUE!</v>
      </c>
      <c r="DR127" t="e">
        <f>AND('Planilla_General_07-12-2012_8_3'!I1905,"AAAAAH//N3k=")</f>
        <v>#VALUE!</v>
      </c>
      <c r="DS127" t="e">
        <f>AND('Planilla_General_07-12-2012_8_3'!J1905,"AAAAAH//N3o=")</f>
        <v>#VALUE!</v>
      </c>
      <c r="DT127" t="e">
        <f>AND('Planilla_General_07-12-2012_8_3'!K1905,"AAAAAH//N3s=")</f>
        <v>#VALUE!</v>
      </c>
      <c r="DU127" t="e">
        <f>AND('Planilla_General_07-12-2012_8_3'!L1905,"AAAAAH//N3w=")</f>
        <v>#VALUE!</v>
      </c>
      <c r="DV127" t="e">
        <f>AND('Planilla_General_07-12-2012_8_3'!M1905,"AAAAAH//N30=")</f>
        <v>#VALUE!</v>
      </c>
      <c r="DW127" t="e">
        <f>AND('Planilla_General_07-12-2012_8_3'!N1905,"AAAAAH//N34=")</f>
        <v>#VALUE!</v>
      </c>
      <c r="DX127" t="e">
        <f>AND('Planilla_General_07-12-2012_8_3'!O1905,"AAAAAH//N38=")</f>
        <v>#VALUE!</v>
      </c>
      <c r="DY127" t="e">
        <f>AND('Planilla_General_07-12-2012_8_3'!P1905,"AAAAAH//N4A=")</f>
        <v>#VALUE!</v>
      </c>
      <c r="DZ127">
        <f>IF('Planilla_General_07-12-2012_8_3'!1906:1906,"AAAAAH//N4E=",0)</f>
        <v>0</v>
      </c>
      <c r="EA127" t="e">
        <f>AND('Planilla_General_07-12-2012_8_3'!A1906,"AAAAAH//N4I=")</f>
        <v>#VALUE!</v>
      </c>
      <c r="EB127" t="e">
        <f>AND('Planilla_General_07-12-2012_8_3'!B1906,"AAAAAH//N4M=")</f>
        <v>#VALUE!</v>
      </c>
      <c r="EC127" t="e">
        <f>AND('Planilla_General_07-12-2012_8_3'!C1906,"AAAAAH//N4Q=")</f>
        <v>#VALUE!</v>
      </c>
      <c r="ED127" t="e">
        <f>AND('Planilla_General_07-12-2012_8_3'!D1906,"AAAAAH//N4U=")</f>
        <v>#VALUE!</v>
      </c>
      <c r="EE127" t="e">
        <f>AND('Planilla_General_07-12-2012_8_3'!E1906,"AAAAAH//N4Y=")</f>
        <v>#VALUE!</v>
      </c>
      <c r="EF127" t="e">
        <f>AND('Planilla_General_07-12-2012_8_3'!F1906,"AAAAAH//N4c=")</f>
        <v>#VALUE!</v>
      </c>
      <c r="EG127" t="e">
        <f>AND('Planilla_General_07-12-2012_8_3'!G1906,"AAAAAH//N4g=")</f>
        <v>#VALUE!</v>
      </c>
      <c r="EH127" t="e">
        <f>AND('Planilla_General_07-12-2012_8_3'!H1906,"AAAAAH//N4k=")</f>
        <v>#VALUE!</v>
      </c>
      <c r="EI127" t="e">
        <f>AND('Planilla_General_07-12-2012_8_3'!I1906,"AAAAAH//N4o=")</f>
        <v>#VALUE!</v>
      </c>
      <c r="EJ127" t="e">
        <f>AND('Planilla_General_07-12-2012_8_3'!J1906,"AAAAAH//N4s=")</f>
        <v>#VALUE!</v>
      </c>
      <c r="EK127" t="e">
        <f>AND('Planilla_General_07-12-2012_8_3'!K1906,"AAAAAH//N4w=")</f>
        <v>#VALUE!</v>
      </c>
      <c r="EL127" t="e">
        <f>AND('Planilla_General_07-12-2012_8_3'!L1906,"AAAAAH//N40=")</f>
        <v>#VALUE!</v>
      </c>
      <c r="EM127" t="e">
        <f>AND('Planilla_General_07-12-2012_8_3'!M1906,"AAAAAH//N44=")</f>
        <v>#VALUE!</v>
      </c>
      <c r="EN127" t="e">
        <f>AND('Planilla_General_07-12-2012_8_3'!N1906,"AAAAAH//N48=")</f>
        <v>#VALUE!</v>
      </c>
      <c r="EO127" t="e">
        <f>AND('Planilla_General_07-12-2012_8_3'!O1906,"AAAAAH//N5A=")</f>
        <v>#VALUE!</v>
      </c>
      <c r="EP127" t="e">
        <f>AND('Planilla_General_07-12-2012_8_3'!P1906,"AAAAAH//N5E=")</f>
        <v>#VALUE!</v>
      </c>
      <c r="EQ127">
        <f>IF('Planilla_General_07-12-2012_8_3'!1907:1907,"AAAAAH//N5I=",0)</f>
        <v>0</v>
      </c>
      <c r="ER127" t="e">
        <f>AND('Planilla_General_07-12-2012_8_3'!A1907,"AAAAAH//N5M=")</f>
        <v>#VALUE!</v>
      </c>
      <c r="ES127" t="e">
        <f>AND('Planilla_General_07-12-2012_8_3'!B1907,"AAAAAH//N5Q=")</f>
        <v>#VALUE!</v>
      </c>
      <c r="ET127" t="e">
        <f>AND('Planilla_General_07-12-2012_8_3'!C1907,"AAAAAH//N5U=")</f>
        <v>#VALUE!</v>
      </c>
      <c r="EU127" t="e">
        <f>AND('Planilla_General_07-12-2012_8_3'!D1907,"AAAAAH//N5Y=")</f>
        <v>#VALUE!</v>
      </c>
      <c r="EV127" t="e">
        <f>AND('Planilla_General_07-12-2012_8_3'!E1907,"AAAAAH//N5c=")</f>
        <v>#VALUE!</v>
      </c>
      <c r="EW127" t="e">
        <f>AND('Planilla_General_07-12-2012_8_3'!F1907,"AAAAAH//N5g=")</f>
        <v>#VALUE!</v>
      </c>
      <c r="EX127" t="e">
        <f>AND('Planilla_General_07-12-2012_8_3'!G1907,"AAAAAH//N5k=")</f>
        <v>#VALUE!</v>
      </c>
      <c r="EY127" t="e">
        <f>AND('Planilla_General_07-12-2012_8_3'!H1907,"AAAAAH//N5o=")</f>
        <v>#VALUE!</v>
      </c>
      <c r="EZ127" t="e">
        <f>AND('Planilla_General_07-12-2012_8_3'!I1907,"AAAAAH//N5s=")</f>
        <v>#VALUE!</v>
      </c>
      <c r="FA127" t="e">
        <f>AND('Planilla_General_07-12-2012_8_3'!J1907,"AAAAAH//N5w=")</f>
        <v>#VALUE!</v>
      </c>
      <c r="FB127" t="e">
        <f>AND('Planilla_General_07-12-2012_8_3'!K1907,"AAAAAH//N50=")</f>
        <v>#VALUE!</v>
      </c>
      <c r="FC127" t="e">
        <f>AND('Planilla_General_07-12-2012_8_3'!L1907,"AAAAAH//N54=")</f>
        <v>#VALUE!</v>
      </c>
      <c r="FD127" t="e">
        <f>AND('Planilla_General_07-12-2012_8_3'!M1907,"AAAAAH//N58=")</f>
        <v>#VALUE!</v>
      </c>
      <c r="FE127" t="e">
        <f>AND('Planilla_General_07-12-2012_8_3'!N1907,"AAAAAH//N6A=")</f>
        <v>#VALUE!</v>
      </c>
      <c r="FF127" t="e">
        <f>AND('Planilla_General_07-12-2012_8_3'!O1907,"AAAAAH//N6E=")</f>
        <v>#VALUE!</v>
      </c>
      <c r="FG127" t="e">
        <f>AND('Planilla_General_07-12-2012_8_3'!P1907,"AAAAAH//N6I=")</f>
        <v>#VALUE!</v>
      </c>
      <c r="FH127">
        <f>IF('Planilla_General_07-12-2012_8_3'!1908:1908,"AAAAAH//N6M=",0)</f>
        <v>0</v>
      </c>
      <c r="FI127" t="e">
        <f>AND('Planilla_General_07-12-2012_8_3'!A1908,"AAAAAH//N6Q=")</f>
        <v>#VALUE!</v>
      </c>
      <c r="FJ127" t="e">
        <f>AND('Planilla_General_07-12-2012_8_3'!B1908,"AAAAAH//N6U=")</f>
        <v>#VALUE!</v>
      </c>
      <c r="FK127" t="e">
        <f>AND('Planilla_General_07-12-2012_8_3'!C1908,"AAAAAH//N6Y=")</f>
        <v>#VALUE!</v>
      </c>
      <c r="FL127" t="e">
        <f>AND('Planilla_General_07-12-2012_8_3'!D1908,"AAAAAH//N6c=")</f>
        <v>#VALUE!</v>
      </c>
      <c r="FM127" t="e">
        <f>AND('Planilla_General_07-12-2012_8_3'!E1908,"AAAAAH//N6g=")</f>
        <v>#VALUE!</v>
      </c>
      <c r="FN127" t="e">
        <f>AND('Planilla_General_07-12-2012_8_3'!F1908,"AAAAAH//N6k=")</f>
        <v>#VALUE!</v>
      </c>
      <c r="FO127" t="e">
        <f>AND('Planilla_General_07-12-2012_8_3'!G1908,"AAAAAH//N6o=")</f>
        <v>#VALUE!</v>
      </c>
      <c r="FP127" t="e">
        <f>AND('Planilla_General_07-12-2012_8_3'!H1908,"AAAAAH//N6s=")</f>
        <v>#VALUE!</v>
      </c>
      <c r="FQ127" t="e">
        <f>AND('Planilla_General_07-12-2012_8_3'!I1908,"AAAAAH//N6w=")</f>
        <v>#VALUE!</v>
      </c>
      <c r="FR127" t="e">
        <f>AND('Planilla_General_07-12-2012_8_3'!J1908,"AAAAAH//N60=")</f>
        <v>#VALUE!</v>
      </c>
      <c r="FS127" t="e">
        <f>AND('Planilla_General_07-12-2012_8_3'!K1908,"AAAAAH//N64=")</f>
        <v>#VALUE!</v>
      </c>
      <c r="FT127" t="e">
        <f>AND('Planilla_General_07-12-2012_8_3'!L1908,"AAAAAH//N68=")</f>
        <v>#VALUE!</v>
      </c>
      <c r="FU127" t="e">
        <f>AND('Planilla_General_07-12-2012_8_3'!M1908,"AAAAAH//N7A=")</f>
        <v>#VALUE!</v>
      </c>
      <c r="FV127" t="e">
        <f>AND('Planilla_General_07-12-2012_8_3'!N1908,"AAAAAH//N7E=")</f>
        <v>#VALUE!</v>
      </c>
      <c r="FW127" t="e">
        <f>AND('Planilla_General_07-12-2012_8_3'!O1908,"AAAAAH//N7I=")</f>
        <v>#VALUE!</v>
      </c>
      <c r="FX127" t="e">
        <f>AND('Planilla_General_07-12-2012_8_3'!P1908,"AAAAAH//N7M=")</f>
        <v>#VALUE!</v>
      </c>
      <c r="FY127">
        <f>IF('Planilla_General_07-12-2012_8_3'!1909:1909,"AAAAAH//N7Q=",0)</f>
        <v>0</v>
      </c>
      <c r="FZ127" t="e">
        <f>AND('Planilla_General_07-12-2012_8_3'!A1909,"AAAAAH//N7U=")</f>
        <v>#VALUE!</v>
      </c>
      <c r="GA127" t="e">
        <f>AND('Planilla_General_07-12-2012_8_3'!B1909,"AAAAAH//N7Y=")</f>
        <v>#VALUE!</v>
      </c>
      <c r="GB127" t="e">
        <f>AND('Planilla_General_07-12-2012_8_3'!C1909,"AAAAAH//N7c=")</f>
        <v>#VALUE!</v>
      </c>
      <c r="GC127" t="e">
        <f>AND('Planilla_General_07-12-2012_8_3'!D1909,"AAAAAH//N7g=")</f>
        <v>#VALUE!</v>
      </c>
      <c r="GD127" t="e">
        <f>AND('Planilla_General_07-12-2012_8_3'!E1909,"AAAAAH//N7k=")</f>
        <v>#VALUE!</v>
      </c>
      <c r="GE127" t="e">
        <f>AND('Planilla_General_07-12-2012_8_3'!F1909,"AAAAAH//N7o=")</f>
        <v>#VALUE!</v>
      </c>
      <c r="GF127" t="e">
        <f>AND('Planilla_General_07-12-2012_8_3'!G1909,"AAAAAH//N7s=")</f>
        <v>#VALUE!</v>
      </c>
      <c r="GG127" t="e">
        <f>AND('Planilla_General_07-12-2012_8_3'!H1909,"AAAAAH//N7w=")</f>
        <v>#VALUE!</v>
      </c>
      <c r="GH127" t="e">
        <f>AND('Planilla_General_07-12-2012_8_3'!I1909,"AAAAAH//N70=")</f>
        <v>#VALUE!</v>
      </c>
      <c r="GI127" t="e">
        <f>AND('Planilla_General_07-12-2012_8_3'!J1909,"AAAAAH//N74=")</f>
        <v>#VALUE!</v>
      </c>
      <c r="GJ127" t="e">
        <f>AND('Planilla_General_07-12-2012_8_3'!K1909,"AAAAAH//N78=")</f>
        <v>#VALUE!</v>
      </c>
      <c r="GK127" t="e">
        <f>AND('Planilla_General_07-12-2012_8_3'!L1909,"AAAAAH//N8A=")</f>
        <v>#VALUE!</v>
      </c>
      <c r="GL127" t="e">
        <f>AND('Planilla_General_07-12-2012_8_3'!M1909,"AAAAAH//N8E=")</f>
        <v>#VALUE!</v>
      </c>
      <c r="GM127" t="e">
        <f>AND('Planilla_General_07-12-2012_8_3'!N1909,"AAAAAH//N8I=")</f>
        <v>#VALUE!</v>
      </c>
      <c r="GN127" t="e">
        <f>AND('Planilla_General_07-12-2012_8_3'!O1909,"AAAAAH//N8M=")</f>
        <v>#VALUE!</v>
      </c>
      <c r="GO127" t="e">
        <f>AND('Planilla_General_07-12-2012_8_3'!P1909,"AAAAAH//N8Q=")</f>
        <v>#VALUE!</v>
      </c>
      <c r="GP127">
        <f>IF('Planilla_General_07-12-2012_8_3'!1910:1910,"AAAAAH//N8U=",0)</f>
        <v>0</v>
      </c>
      <c r="GQ127" t="e">
        <f>AND('Planilla_General_07-12-2012_8_3'!A1910,"AAAAAH//N8Y=")</f>
        <v>#VALUE!</v>
      </c>
      <c r="GR127" t="e">
        <f>AND('Planilla_General_07-12-2012_8_3'!B1910,"AAAAAH//N8c=")</f>
        <v>#VALUE!</v>
      </c>
      <c r="GS127" t="e">
        <f>AND('Planilla_General_07-12-2012_8_3'!C1910,"AAAAAH//N8g=")</f>
        <v>#VALUE!</v>
      </c>
      <c r="GT127" t="e">
        <f>AND('Planilla_General_07-12-2012_8_3'!D1910,"AAAAAH//N8k=")</f>
        <v>#VALUE!</v>
      </c>
      <c r="GU127" t="e">
        <f>AND('Planilla_General_07-12-2012_8_3'!E1910,"AAAAAH//N8o=")</f>
        <v>#VALUE!</v>
      </c>
      <c r="GV127" t="e">
        <f>AND('Planilla_General_07-12-2012_8_3'!F1910,"AAAAAH//N8s=")</f>
        <v>#VALUE!</v>
      </c>
      <c r="GW127" t="e">
        <f>AND('Planilla_General_07-12-2012_8_3'!G1910,"AAAAAH//N8w=")</f>
        <v>#VALUE!</v>
      </c>
      <c r="GX127" t="e">
        <f>AND('Planilla_General_07-12-2012_8_3'!H1910,"AAAAAH//N80=")</f>
        <v>#VALUE!</v>
      </c>
      <c r="GY127" t="e">
        <f>AND('Planilla_General_07-12-2012_8_3'!I1910,"AAAAAH//N84=")</f>
        <v>#VALUE!</v>
      </c>
      <c r="GZ127" t="e">
        <f>AND('Planilla_General_07-12-2012_8_3'!J1910,"AAAAAH//N88=")</f>
        <v>#VALUE!</v>
      </c>
      <c r="HA127" t="e">
        <f>AND('Planilla_General_07-12-2012_8_3'!K1910,"AAAAAH//N9A=")</f>
        <v>#VALUE!</v>
      </c>
      <c r="HB127" t="e">
        <f>AND('Planilla_General_07-12-2012_8_3'!L1910,"AAAAAH//N9E=")</f>
        <v>#VALUE!</v>
      </c>
      <c r="HC127" t="e">
        <f>AND('Planilla_General_07-12-2012_8_3'!M1910,"AAAAAH//N9I=")</f>
        <v>#VALUE!</v>
      </c>
      <c r="HD127" t="e">
        <f>AND('Planilla_General_07-12-2012_8_3'!N1910,"AAAAAH//N9M=")</f>
        <v>#VALUE!</v>
      </c>
      <c r="HE127" t="e">
        <f>AND('Planilla_General_07-12-2012_8_3'!O1910,"AAAAAH//N9Q=")</f>
        <v>#VALUE!</v>
      </c>
      <c r="HF127" t="e">
        <f>AND('Planilla_General_07-12-2012_8_3'!P1910,"AAAAAH//N9U=")</f>
        <v>#VALUE!</v>
      </c>
      <c r="HG127">
        <f>IF('Planilla_General_07-12-2012_8_3'!1911:1911,"AAAAAH//N9Y=",0)</f>
        <v>0</v>
      </c>
      <c r="HH127" t="e">
        <f>AND('Planilla_General_07-12-2012_8_3'!A1911,"AAAAAH//N9c=")</f>
        <v>#VALUE!</v>
      </c>
      <c r="HI127" t="e">
        <f>AND('Planilla_General_07-12-2012_8_3'!B1911,"AAAAAH//N9g=")</f>
        <v>#VALUE!</v>
      </c>
      <c r="HJ127" t="e">
        <f>AND('Planilla_General_07-12-2012_8_3'!C1911,"AAAAAH//N9k=")</f>
        <v>#VALUE!</v>
      </c>
      <c r="HK127" t="e">
        <f>AND('Planilla_General_07-12-2012_8_3'!D1911,"AAAAAH//N9o=")</f>
        <v>#VALUE!</v>
      </c>
      <c r="HL127" t="e">
        <f>AND('Planilla_General_07-12-2012_8_3'!E1911,"AAAAAH//N9s=")</f>
        <v>#VALUE!</v>
      </c>
      <c r="HM127" t="e">
        <f>AND('Planilla_General_07-12-2012_8_3'!F1911,"AAAAAH//N9w=")</f>
        <v>#VALUE!</v>
      </c>
      <c r="HN127" t="e">
        <f>AND('Planilla_General_07-12-2012_8_3'!G1911,"AAAAAH//N90=")</f>
        <v>#VALUE!</v>
      </c>
      <c r="HO127" t="e">
        <f>AND('Planilla_General_07-12-2012_8_3'!H1911,"AAAAAH//N94=")</f>
        <v>#VALUE!</v>
      </c>
      <c r="HP127" t="e">
        <f>AND('Planilla_General_07-12-2012_8_3'!I1911,"AAAAAH//N98=")</f>
        <v>#VALUE!</v>
      </c>
      <c r="HQ127" t="e">
        <f>AND('Planilla_General_07-12-2012_8_3'!J1911,"AAAAAH//N+A=")</f>
        <v>#VALUE!</v>
      </c>
      <c r="HR127" t="e">
        <f>AND('Planilla_General_07-12-2012_8_3'!K1911,"AAAAAH//N+E=")</f>
        <v>#VALUE!</v>
      </c>
      <c r="HS127" t="e">
        <f>AND('Planilla_General_07-12-2012_8_3'!L1911,"AAAAAH//N+I=")</f>
        <v>#VALUE!</v>
      </c>
      <c r="HT127" t="e">
        <f>AND('Planilla_General_07-12-2012_8_3'!M1911,"AAAAAH//N+M=")</f>
        <v>#VALUE!</v>
      </c>
      <c r="HU127" t="e">
        <f>AND('Planilla_General_07-12-2012_8_3'!N1911,"AAAAAH//N+Q=")</f>
        <v>#VALUE!</v>
      </c>
      <c r="HV127" t="e">
        <f>AND('Planilla_General_07-12-2012_8_3'!O1911,"AAAAAH//N+U=")</f>
        <v>#VALUE!</v>
      </c>
      <c r="HW127" t="e">
        <f>AND('Planilla_General_07-12-2012_8_3'!P1911,"AAAAAH//N+Y=")</f>
        <v>#VALUE!</v>
      </c>
      <c r="HX127">
        <f>IF('Planilla_General_07-12-2012_8_3'!1912:1912,"AAAAAH//N+c=",0)</f>
        <v>0</v>
      </c>
      <c r="HY127" t="e">
        <f>AND('Planilla_General_07-12-2012_8_3'!A1912,"AAAAAH//N+g=")</f>
        <v>#VALUE!</v>
      </c>
      <c r="HZ127" t="e">
        <f>AND('Planilla_General_07-12-2012_8_3'!B1912,"AAAAAH//N+k=")</f>
        <v>#VALUE!</v>
      </c>
      <c r="IA127" t="e">
        <f>AND('Planilla_General_07-12-2012_8_3'!C1912,"AAAAAH//N+o=")</f>
        <v>#VALUE!</v>
      </c>
      <c r="IB127" t="e">
        <f>AND('Planilla_General_07-12-2012_8_3'!D1912,"AAAAAH//N+s=")</f>
        <v>#VALUE!</v>
      </c>
      <c r="IC127" t="e">
        <f>AND('Planilla_General_07-12-2012_8_3'!E1912,"AAAAAH//N+w=")</f>
        <v>#VALUE!</v>
      </c>
      <c r="ID127" t="e">
        <f>AND('Planilla_General_07-12-2012_8_3'!F1912,"AAAAAH//N+0=")</f>
        <v>#VALUE!</v>
      </c>
      <c r="IE127" t="e">
        <f>AND('Planilla_General_07-12-2012_8_3'!G1912,"AAAAAH//N+4=")</f>
        <v>#VALUE!</v>
      </c>
      <c r="IF127" t="e">
        <f>AND('Planilla_General_07-12-2012_8_3'!H1912,"AAAAAH//N+8=")</f>
        <v>#VALUE!</v>
      </c>
      <c r="IG127" t="e">
        <f>AND('Planilla_General_07-12-2012_8_3'!I1912,"AAAAAH//N/A=")</f>
        <v>#VALUE!</v>
      </c>
      <c r="IH127" t="e">
        <f>AND('Planilla_General_07-12-2012_8_3'!J1912,"AAAAAH//N/E=")</f>
        <v>#VALUE!</v>
      </c>
      <c r="II127" t="e">
        <f>AND('Planilla_General_07-12-2012_8_3'!K1912,"AAAAAH//N/I=")</f>
        <v>#VALUE!</v>
      </c>
      <c r="IJ127" t="e">
        <f>AND('Planilla_General_07-12-2012_8_3'!L1912,"AAAAAH//N/M=")</f>
        <v>#VALUE!</v>
      </c>
      <c r="IK127" t="e">
        <f>AND('Planilla_General_07-12-2012_8_3'!M1912,"AAAAAH//N/Q=")</f>
        <v>#VALUE!</v>
      </c>
      <c r="IL127" t="e">
        <f>AND('Planilla_General_07-12-2012_8_3'!N1912,"AAAAAH//N/U=")</f>
        <v>#VALUE!</v>
      </c>
      <c r="IM127" t="e">
        <f>AND('Planilla_General_07-12-2012_8_3'!O1912,"AAAAAH//N/Y=")</f>
        <v>#VALUE!</v>
      </c>
      <c r="IN127" t="e">
        <f>AND('Planilla_General_07-12-2012_8_3'!P1912,"AAAAAH//N/c=")</f>
        <v>#VALUE!</v>
      </c>
      <c r="IO127">
        <f>IF('Planilla_General_07-12-2012_8_3'!1913:1913,"AAAAAH//N/g=",0)</f>
        <v>0</v>
      </c>
      <c r="IP127" t="e">
        <f>AND('Planilla_General_07-12-2012_8_3'!A1913,"AAAAAH//N/k=")</f>
        <v>#VALUE!</v>
      </c>
      <c r="IQ127" t="e">
        <f>AND('Planilla_General_07-12-2012_8_3'!B1913,"AAAAAH//N/o=")</f>
        <v>#VALUE!</v>
      </c>
      <c r="IR127" t="e">
        <f>AND('Planilla_General_07-12-2012_8_3'!C1913,"AAAAAH//N/s=")</f>
        <v>#VALUE!</v>
      </c>
      <c r="IS127" t="e">
        <f>AND('Planilla_General_07-12-2012_8_3'!D1913,"AAAAAH//N/w=")</f>
        <v>#VALUE!</v>
      </c>
      <c r="IT127" t="e">
        <f>AND('Planilla_General_07-12-2012_8_3'!E1913,"AAAAAH//N/0=")</f>
        <v>#VALUE!</v>
      </c>
      <c r="IU127" t="e">
        <f>AND('Planilla_General_07-12-2012_8_3'!F1913,"AAAAAH//N/4=")</f>
        <v>#VALUE!</v>
      </c>
      <c r="IV127" t="e">
        <f>AND('Planilla_General_07-12-2012_8_3'!G1913,"AAAAAH//N/8=")</f>
        <v>#VALUE!</v>
      </c>
    </row>
    <row r="128" spans="1:256" x14ac:dyDescent="0.25">
      <c r="A128" t="e">
        <f>AND('Planilla_General_07-12-2012_8_3'!H1913,"AAAAAHv/XQA=")</f>
        <v>#VALUE!</v>
      </c>
      <c r="B128" t="e">
        <f>AND('Planilla_General_07-12-2012_8_3'!I1913,"AAAAAHv/XQE=")</f>
        <v>#VALUE!</v>
      </c>
      <c r="C128" t="e">
        <f>AND('Planilla_General_07-12-2012_8_3'!J1913,"AAAAAHv/XQI=")</f>
        <v>#VALUE!</v>
      </c>
      <c r="D128" t="e">
        <f>AND('Planilla_General_07-12-2012_8_3'!K1913,"AAAAAHv/XQM=")</f>
        <v>#VALUE!</v>
      </c>
      <c r="E128" t="e">
        <f>AND('Planilla_General_07-12-2012_8_3'!L1913,"AAAAAHv/XQQ=")</f>
        <v>#VALUE!</v>
      </c>
      <c r="F128" t="e">
        <f>AND('Planilla_General_07-12-2012_8_3'!M1913,"AAAAAHv/XQU=")</f>
        <v>#VALUE!</v>
      </c>
      <c r="G128" t="e">
        <f>AND('Planilla_General_07-12-2012_8_3'!N1913,"AAAAAHv/XQY=")</f>
        <v>#VALUE!</v>
      </c>
      <c r="H128" t="e">
        <f>AND('Planilla_General_07-12-2012_8_3'!O1913,"AAAAAHv/XQc=")</f>
        <v>#VALUE!</v>
      </c>
      <c r="I128" t="e">
        <f>AND('Planilla_General_07-12-2012_8_3'!P1913,"AAAAAHv/XQg=")</f>
        <v>#VALUE!</v>
      </c>
      <c r="J128" t="e">
        <f>IF('Planilla_General_07-12-2012_8_3'!1914:1914,"AAAAAHv/XQk=",0)</f>
        <v>#VALUE!</v>
      </c>
      <c r="K128" t="e">
        <f>AND('Planilla_General_07-12-2012_8_3'!A1914,"AAAAAHv/XQo=")</f>
        <v>#VALUE!</v>
      </c>
      <c r="L128" t="e">
        <f>AND('Planilla_General_07-12-2012_8_3'!B1914,"AAAAAHv/XQs=")</f>
        <v>#VALUE!</v>
      </c>
      <c r="M128" t="e">
        <f>AND('Planilla_General_07-12-2012_8_3'!C1914,"AAAAAHv/XQw=")</f>
        <v>#VALUE!</v>
      </c>
      <c r="N128" t="e">
        <f>AND('Planilla_General_07-12-2012_8_3'!D1914,"AAAAAHv/XQ0=")</f>
        <v>#VALUE!</v>
      </c>
      <c r="O128" t="e">
        <f>AND('Planilla_General_07-12-2012_8_3'!E1914,"AAAAAHv/XQ4=")</f>
        <v>#VALUE!</v>
      </c>
      <c r="P128" t="e">
        <f>AND('Planilla_General_07-12-2012_8_3'!F1914,"AAAAAHv/XQ8=")</f>
        <v>#VALUE!</v>
      </c>
      <c r="Q128" t="e">
        <f>AND('Planilla_General_07-12-2012_8_3'!G1914,"AAAAAHv/XRA=")</f>
        <v>#VALUE!</v>
      </c>
      <c r="R128" t="e">
        <f>AND('Planilla_General_07-12-2012_8_3'!H1914,"AAAAAHv/XRE=")</f>
        <v>#VALUE!</v>
      </c>
      <c r="S128" t="e">
        <f>AND('Planilla_General_07-12-2012_8_3'!I1914,"AAAAAHv/XRI=")</f>
        <v>#VALUE!</v>
      </c>
      <c r="T128" t="e">
        <f>AND('Planilla_General_07-12-2012_8_3'!J1914,"AAAAAHv/XRM=")</f>
        <v>#VALUE!</v>
      </c>
      <c r="U128" t="e">
        <f>AND('Planilla_General_07-12-2012_8_3'!K1914,"AAAAAHv/XRQ=")</f>
        <v>#VALUE!</v>
      </c>
      <c r="V128" t="e">
        <f>AND('Planilla_General_07-12-2012_8_3'!L1914,"AAAAAHv/XRU=")</f>
        <v>#VALUE!</v>
      </c>
      <c r="W128" t="e">
        <f>AND('Planilla_General_07-12-2012_8_3'!M1914,"AAAAAHv/XRY=")</f>
        <v>#VALUE!</v>
      </c>
      <c r="X128" t="e">
        <f>AND('Planilla_General_07-12-2012_8_3'!N1914,"AAAAAHv/XRc=")</f>
        <v>#VALUE!</v>
      </c>
      <c r="Y128" t="e">
        <f>AND('Planilla_General_07-12-2012_8_3'!O1914,"AAAAAHv/XRg=")</f>
        <v>#VALUE!</v>
      </c>
      <c r="Z128" t="e">
        <f>AND('Planilla_General_07-12-2012_8_3'!P1914,"AAAAAHv/XRk=")</f>
        <v>#VALUE!</v>
      </c>
      <c r="AA128">
        <f>IF('Planilla_General_07-12-2012_8_3'!1915:1915,"AAAAAHv/XRo=",0)</f>
        <v>0</v>
      </c>
      <c r="AB128" t="e">
        <f>AND('Planilla_General_07-12-2012_8_3'!A1915,"AAAAAHv/XRs=")</f>
        <v>#VALUE!</v>
      </c>
      <c r="AC128" t="e">
        <f>AND('Planilla_General_07-12-2012_8_3'!B1915,"AAAAAHv/XRw=")</f>
        <v>#VALUE!</v>
      </c>
      <c r="AD128" t="e">
        <f>AND('Planilla_General_07-12-2012_8_3'!C1915,"AAAAAHv/XR0=")</f>
        <v>#VALUE!</v>
      </c>
      <c r="AE128" t="e">
        <f>AND('Planilla_General_07-12-2012_8_3'!D1915,"AAAAAHv/XR4=")</f>
        <v>#VALUE!</v>
      </c>
      <c r="AF128" t="e">
        <f>AND('Planilla_General_07-12-2012_8_3'!E1915,"AAAAAHv/XR8=")</f>
        <v>#VALUE!</v>
      </c>
      <c r="AG128" t="e">
        <f>AND('Planilla_General_07-12-2012_8_3'!F1915,"AAAAAHv/XSA=")</f>
        <v>#VALUE!</v>
      </c>
      <c r="AH128" t="e">
        <f>AND('Planilla_General_07-12-2012_8_3'!G1915,"AAAAAHv/XSE=")</f>
        <v>#VALUE!</v>
      </c>
      <c r="AI128" t="e">
        <f>AND('Planilla_General_07-12-2012_8_3'!H1915,"AAAAAHv/XSI=")</f>
        <v>#VALUE!</v>
      </c>
      <c r="AJ128" t="e">
        <f>AND('Planilla_General_07-12-2012_8_3'!I1915,"AAAAAHv/XSM=")</f>
        <v>#VALUE!</v>
      </c>
      <c r="AK128" t="e">
        <f>AND('Planilla_General_07-12-2012_8_3'!J1915,"AAAAAHv/XSQ=")</f>
        <v>#VALUE!</v>
      </c>
      <c r="AL128" t="e">
        <f>AND('Planilla_General_07-12-2012_8_3'!K1915,"AAAAAHv/XSU=")</f>
        <v>#VALUE!</v>
      </c>
      <c r="AM128" t="e">
        <f>AND('Planilla_General_07-12-2012_8_3'!L1915,"AAAAAHv/XSY=")</f>
        <v>#VALUE!</v>
      </c>
      <c r="AN128" t="e">
        <f>AND('Planilla_General_07-12-2012_8_3'!M1915,"AAAAAHv/XSc=")</f>
        <v>#VALUE!</v>
      </c>
      <c r="AO128" t="e">
        <f>AND('Planilla_General_07-12-2012_8_3'!N1915,"AAAAAHv/XSg=")</f>
        <v>#VALUE!</v>
      </c>
      <c r="AP128" t="e">
        <f>AND('Planilla_General_07-12-2012_8_3'!O1915,"AAAAAHv/XSk=")</f>
        <v>#VALUE!</v>
      </c>
      <c r="AQ128" t="e">
        <f>AND('Planilla_General_07-12-2012_8_3'!P1915,"AAAAAHv/XSo=")</f>
        <v>#VALUE!</v>
      </c>
      <c r="AR128">
        <f>IF('Planilla_General_07-12-2012_8_3'!1916:1916,"AAAAAHv/XSs=",0)</f>
        <v>0</v>
      </c>
      <c r="AS128" t="e">
        <f>AND('Planilla_General_07-12-2012_8_3'!A1916,"AAAAAHv/XSw=")</f>
        <v>#VALUE!</v>
      </c>
      <c r="AT128" t="e">
        <f>AND('Planilla_General_07-12-2012_8_3'!B1916,"AAAAAHv/XS0=")</f>
        <v>#VALUE!</v>
      </c>
      <c r="AU128" t="e">
        <f>AND('Planilla_General_07-12-2012_8_3'!C1916,"AAAAAHv/XS4=")</f>
        <v>#VALUE!</v>
      </c>
      <c r="AV128" t="e">
        <f>AND('Planilla_General_07-12-2012_8_3'!D1916,"AAAAAHv/XS8=")</f>
        <v>#VALUE!</v>
      </c>
      <c r="AW128" t="e">
        <f>AND('Planilla_General_07-12-2012_8_3'!E1916,"AAAAAHv/XTA=")</f>
        <v>#VALUE!</v>
      </c>
      <c r="AX128" t="e">
        <f>AND('Planilla_General_07-12-2012_8_3'!F1916,"AAAAAHv/XTE=")</f>
        <v>#VALUE!</v>
      </c>
      <c r="AY128" t="e">
        <f>AND('Planilla_General_07-12-2012_8_3'!G1916,"AAAAAHv/XTI=")</f>
        <v>#VALUE!</v>
      </c>
      <c r="AZ128" t="e">
        <f>AND('Planilla_General_07-12-2012_8_3'!H1916,"AAAAAHv/XTM=")</f>
        <v>#VALUE!</v>
      </c>
      <c r="BA128" t="e">
        <f>AND('Planilla_General_07-12-2012_8_3'!I1916,"AAAAAHv/XTQ=")</f>
        <v>#VALUE!</v>
      </c>
      <c r="BB128" t="e">
        <f>AND('Planilla_General_07-12-2012_8_3'!J1916,"AAAAAHv/XTU=")</f>
        <v>#VALUE!</v>
      </c>
      <c r="BC128" t="e">
        <f>AND('Planilla_General_07-12-2012_8_3'!K1916,"AAAAAHv/XTY=")</f>
        <v>#VALUE!</v>
      </c>
      <c r="BD128" t="e">
        <f>AND('Planilla_General_07-12-2012_8_3'!L1916,"AAAAAHv/XTc=")</f>
        <v>#VALUE!</v>
      </c>
      <c r="BE128" t="e">
        <f>AND('Planilla_General_07-12-2012_8_3'!M1916,"AAAAAHv/XTg=")</f>
        <v>#VALUE!</v>
      </c>
      <c r="BF128" t="e">
        <f>AND('Planilla_General_07-12-2012_8_3'!N1916,"AAAAAHv/XTk=")</f>
        <v>#VALUE!</v>
      </c>
      <c r="BG128" t="e">
        <f>AND('Planilla_General_07-12-2012_8_3'!O1916,"AAAAAHv/XTo=")</f>
        <v>#VALUE!</v>
      </c>
      <c r="BH128" t="e">
        <f>AND('Planilla_General_07-12-2012_8_3'!P1916,"AAAAAHv/XTs=")</f>
        <v>#VALUE!</v>
      </c>
      <c r="BI128">
        <f>IF('Planilla_General_07-12-2012_8_3'!1917:1917,"AAAAAHv/XTw=",0)</f>
        <v>0</v>
      </c>
      <c r="BJ128" t="e">
        <f>AND('Planilla_General_07-12-2012_8_3'!A1917,"AAAAAHv/XT0=")</f>
        <v>#VALUE!</v>
      </c>
      <c r="BK128" t="e">
        <f>AND('Planilla_General_07-12-2012_8_3'!B1917,"AAAAAHv/XT4=")</f>
        <v>#VALUE!</v>
      </c>
      <c r="BL128" t="e">
        <f>AND('Planilla_General_07-12-2012_8_3'!C1917,"AAAAAHv/XT8=")</f>
        <v>#VALUE!</v>
      </c>
      <c r="BM128" t="e">
        <f>AND('Planilla_General_07-12-2012_8_3'!D1917,"AAAAAHv/XUA=")</f>
        <v>#VALUE!</v>
      </c>
      <c r="BN128" t="e">
        <f>AND('Planilla_General_07-12-2012_8_3'!E1917,"AAAAAHv/XUE=")</f>
        <v>#VALUE!</v>
      </c>
      <c r="BO128" t="e">
        <f>AND('Planilla_General_07-12-2012_8_3'!F1917,"AAAAAHv/XUI=")</f>
        <v>#VALUE!</v>
      </c>
      <c r="BP128" t="e">
        <f>AND('Planilla_General_07-12-2012_8_3'!G1917,"AAAAAHv/XUM=")</f>
        <v>#VALUE!</v>
      </c>
      <c r="BQ128" t="e">
        <f>AND('Planilla_General_07-12-2012_8_3'!H1917,"AAAAAHv/XUQ=")</f>
        <v>#VALUE!</v>
      </c>
      <c r="BR128" t="e">
        <f>AND('Planilla_General_07-12-2012_8_3'!I1917,"AAAAAHv/XUU=")</f>
        <v>#VALUE!</v>
      </c>
      <c r="BS128" t="e">
        <f>AND('Planilla_General_07-12-2012_8_3'!J1917,"AAAAAHv/XUY=")</f>
        <v>#VALUE!</v>
      </c>
      <c r="BT128" t="e">
        <f>AND('Planilla_General_07-12-2012_8_3'!K1917,"AAAAAHv/XUc=")</f>
        <v>#VALUE!</v>
      </c>
      <c r="BU128" t="e">
        <f>AND('Planilla_General_07-12-2012_8_3'!L1917,"AAAAAHv/XUg=")</f>
        <v>#VALUE!</v>
      </c>
      <c r="BV128" t="e">
        <f>AND('Planilla_General_07-12-2012_8_3'!M1917,"AAAAAHv/XUk=")</f>
        <v>#VALUE!</v>
      </c>
      <c r="BW128" t="e">
        <f>AND('Planilla_General_07-12-2012_8_3'!N1917,"AAAAAHv/XUo=")</f>
        <v>#VALUE!</v>
      </c>
      <c r="BX128" t="e">
        <f>AND('Planilla_General_07-12-2012_8_3'!O1917,"AAAAAHv/XUs=")</f>
        <v>#VALUE!</v>
      </c>
      <c r="BY128" t="e">
        <f>AND('Planilla_General_07-12-2012_8_3'!P1917,"AAAAAHv/XUw=")</f>
        <v>#VALUE!</v>
      </c>
      <c r="BZ128">
        <f>IF('Planilla_General_07-12-2012_8_3'!1918:1918,"AAAAAHv/XU0=",0)</f>
        <v>0</v>
      </c>
      <c r="CA128" t="e">
        <f>AND('Planilla_General_07-12-2012_8_3'!A1918,"AAAAAHv/XU4=")</f>
        <v>#VALUE!</v>
      </c>
      <c r="CB128" t="e">
        <f>AND('Planilla_General_07-12-2012_8_3'!B1918,"AAAAAHv/XU8=")</f>
        <v>#VALUE!</v>
      </c>
      <c r="CC128" t="e">
        <f>AND('Planilla_General_07-12-2012_8_3'!C1918,"AAAAAHv/XVA=")</f>
        <v>#VALUE!</v>
      </c>
      <c r="CD128" t="e">
        <f>AND('Planilla_General_07-12-2012_8_3'!D1918,"AAAAAHv/XVE=")</f>
        <v>#VALUE!</v>
      </c>
      <c r="CE128" t="e">
        <f>AND('Planilla_General_07-12-2012_8_3'!E1918,"AAAAAHv/XVI=")</f>
        <v>#VALUE!</v>
      </c>
      <c r="CF128" t="e">
        <f>AND('Planilla_General_07-12-2012_8_3'!F1918,"AAAAAHv/XVM=")</f>
        <v>#VALUE!</v>
      </c>
      <c r="CG128" t="e">
        <f>AND('Planilla_General_07-12-2012_8_3'!G1918,"AAAAAHv/XVQ=")</f>
        <v>#VALUE!</v>
      </c>
      <c r="CH128" t="e">
        <f>AND('Planilla_General_07-12-2012_8_3'!H1918,"AAAAAHv/XVU=")</f>
        <v>#VALUE!</v>
      </c>
      <c r="CI128" t="e">
        <f>AND('Planilla_General_07-12-2012_8_3'!I1918,"AAAAAHv/XVY=")</f>
        <v>#VALUE!</v>
      </c>
      <c r="CJ128" t="e">
        <f>AND('Planilla_General_07-12-2012_8_3'!J1918,"AAAAAHv/XVc=")</f>
        <v>#VALUE!</v>
      </c>
      <c r="CK128" t="e">
        <f>AND('Planilla_General_07-12-2012_8_3'!K1918,"AAAAAHv/XVg=")</f>
        <v>#VALUE!</v>
      </c>
      <c r="CL128" t="e">
        <f>AND('Planilla_General_07-12-2012_8_3'!L1918,"AAAAAHv/XVk=")</f>
        <v>#VALUE!</v>
      </c>
      <c r="CM128" t="e">
        <f>AND('Planilla_General_07-12-2012_8_3'!M1918,"AAAAAHv/XVo=")</f>
        <v>#VALUE!</v>
      </c>
      <c r="CN128" t="e">
        <f>AND('Planilla_General_07-12-2012_8_3'!N1918,"AAAAAHv/XVs=")</f>
        <v>#VALUE!</v>
      </c>
      <c r="CO128" t="e">
        <f>AND('Planilla_General_07-12-2012_8_3'!O1918,"AAAAAHv/XVw=")</f>
        <v>#VALUE!</v>
      </c>
      <c r="CP128" t="e">
        <f>AND('Planilla_General_07-12-2012_8_3'!P1918,"AAAAAHv/XV0=")</f>
        <v>#VALUE!</v>
      </c>
      <c r="CQ128">
        <f>IF('Planilla_General_07-12-2012_8_3'!1919:1919,"AAAAAHv/XV4=",0)</f>
        <v>0</v>
      </c>
      <c r="CR128" t="e">
        <f>AND('Planilla_General_07-12-2012_8_3'!A1919,"AAAAAHv/XV8=")</f>
        <v>#VALUE!</v>
      </c>
      <c r="CS128" t="e">
        <f>AND('Planilla_General_07-12-2012_8_3'!B1919,"AAAAAHv/XWA=")</f>
        <v>#VALUE!</v>
      </c>
      <c r="CT128" t="e">
        <f>AND('Planilla_General_07-12-2012_8_3'!C1919,"AAAAAHv/XWE=")</f>
        <v>#VALUE!</v>
      </c>
      <c r="CU128" t="e">
        <f>AND('Planilla_General_07-12-2012_8_3'!D1919,"AAAAAHv/XWI=")</f>
        <v>#VALUE!</v>
      </c>
      <c r="CV128" t="e">
        <f>AND('Planilla_General_07-12-2012_8_3'!E1919,"AAAAAHv/XWM=")</f>
        <v>#VALUE!</v>
      </c>
      <c r="CW128" t="e">
        <f>AND('Planilla_General_07-12-2012_8_3'!F1919,"AAAAAHv/XWQ=")</f>
        <v>#VALUE!</v>
      </c>
      <c r="CX128" t="e">
        <f>AND('Planilla_General_07-12-2012_8_3'!G1919,"AAAAAHv/XWU=")</f>
        <v>#VALUE!</v>
      </c>
      <c r="CY128" t="e">
        <f>AND('Planilla_General_07-12-2012_8_3'!H1919,"AAAAAHv/XWY=")</f>
        <v>#VALUE!</v>
      </c>
      <c r="CZ128" t="e">
        <f>AND('Planilla_General_07-12-2012_8_3'!I1919,"AAAAAHv/XWc=")</f>
        <v>#VALUE!</v>
      </c>
      <c r="DA128" t="e">
        <f>AND('Planilla_General_07-12-2012_8_3'!J1919,"AAAAAHv/XWg=")</f>
        <v>#VALUE!</v>
      </c>
      <c r="DB128" t="e">
        <f>AND('Planilla_General_07-12-2012_8_3'!K1919,"AAAAAHv/XWk=")</f>
        <v>#VALUE!</v>
      </c>
      <c r="DC128" t="e">
        <f>AND('Planilla_General_07-12-2012_8_3'!L1919,"AAAAAHv/XWo=")</f>
        <v>#VALUE!</v>
      </c>
      <c r="DD128" t="e">
        <f>AND('Planilla_General_07-12-2012_8_3'!M1919,"AAAAAHv/XWs=")</f>
        <v>#VALUE!</v>
      </c>
      <c r="DE128" t="e">
        <f>AND('Planilla_General_07-12-2012_8_3'!N1919,"AAAAAHv/XWw=")</f>
        <v>#VALUE!</v>
      </c>
      <c r="DF128" t="e">
        <f>AND('Planilla_General_07-12-2012_8_3'!O1919,"AAAAAHv/XW0=")</f>
        <v>#VALUE!</v>
      </c>
      <c r="DG128" t="e">
        <f>AND('Planilla_General_07-12-2012_8_3'!P1919,"AAAAAHv/XW4=")</f>
        <v>#VALUE!</v>
      </c>
      <c r="DH128">
        <f>IF('Planilla_General_07-12-2012_8_3'!1920:1920,"AAAAAHv/XW8=",0)</f>
        <v>0</v>
      </c>
      <c r="DI128" t="e">
        <f>AND('Planilla_General_07-12-2012_8_3'!A1920,"AAAAAHv/XXA=")</f>
        <v>#VALUE!</v>
      </c>
      <c r="DJ128" t="e">
        <f>AND('Planilla_General_07-12-2012_8_3'!B1920,"AAAAAHv/XXE=")</f>
        <v>#VALUE!</v>
      </c>
      <c r="DK128" t="e">
        <f>AND('Planilla_General_07-12-2012_8_3'!C1920,"AAAAAHv/XXI=")</f>
        <v>#VALUE!</v>
      </c>
      <c r="DL128" t="e">
        <f>AND('Planilla_General_07-12-2012_8_3'!D1920,"AAAAAHv/XXM=")</f>
        <v>#VALUE!</v>
      </c>
      <c r="DM128" t="e">
        <f>AND('Planilla_General_07-12-2012_8_3'!E1920,"AAAAAHv/XXQ=")</f>
        <v>#VALUE!</v>
      </c>
      <c r="DN128" t="e">
        <f>AND('Planilla_General_07-12-2012_8_3'!F1920,"AAAAAHv/XXU=")</f>
        <v>#VALUE!</v>
      </c>
      <c r="DO128" t="e">
        <f>AND('Planilla_General_07-12-2012_8_3'!G1920,"AAAAAHv/XXY=")</f>
        <v>#VALUE!</v>
      </c>
      <c r="DP128" t="e">
        <f>AND('Planilla_General_07-12-2012_8_3'!H1920,"AAAAAHv/XXc=")</f>
        <v>#VALUE!</v>
      </c>
      <c r="DQ128" t="e">
        <f>AND('Planilla_General_07-12-2012_8_3'!I1920,"AAAAAHv/XXg=")</f>
        <v>#VALUE!</v>
      </c>
      <c r="DR128" t="e">
        <f>AND('Planilla_General_07-12-2012_8_3'!J1920,"AAAAAHv/XXk=")</f>
        <v>#VALUE!</v>
      </c>
      <c r="DS128" t="e">
        <f>AND('Planilla_General_07-12-2012_8_3'!K1920,"AAAAAHv/XXo=")</f>
        <v>#VALUE!</v>
      </c>
      <c r="DT128" t="e">
        <f>AND('Planilla_General_07-12-2012_8_3'!L1920,"AAAAAHv/XXs=")</f>
        <v>#VALUE!</v>
      </c>
      <c r="DU128" t="e">
        <f>AND('Planilla_General_07-12-2012_8_3'!M1920,"AAAAAHv/XXw=")</f>
        <v>#VALUE!</v>
      </c>
      <c r="DV128" t="e">
        <f>AND('Planilla_General_07-12-2012_8_3'!N1920,"AAAAAHv/XX0=")</f>
        <v>#VALUE!</v>
      </c>
      <c r="DW128" t="e">
        <f>AND('Planilla_General_07-12-2012_8_3'!O1920,"AAAAAHv/XX4=")</f>
        <v>#VALUE!</v>
      </c>
      <c r="DX128" t="e">
        <f>AND('Planilla_General_07-12-2012_8_3'!P1920,"AAAAAHv/XX8=")</f>
        <v>#VALUE!</v>
      </c>
      <c r="DY128">
        <f>IF('Planilla_General_07-12-2012_8_3'!1921:1921,"AAAAAHv/XYA=",0)</f>
        <v>0</v>
      </c>
      <c r="DZ128" t="e">
        <f>AND('Planilla_General_07-12-2012_8_3'!A1921,"AAAAAHv/XYE=")</f>
        <v>#VALUE!</v>
      </c>
      <c r="EA128" t="e">
        <f>AND('Planilla_General_07-12-2012_8_3'!B1921,"AAAAAHv/XYI=")</f>
        <v>#VALUE!</v>
      </c>
      <c r="EB128" t="e">
        <f>AND('Planilla_General_07-12-2012_8_3'!C1921,"AAAAAHv/XYM=")</f>
        <v>#VALUE!</v>
      </c>
      <c r="EC128" t="e">
        <f>AND('Planilla_General_07-12-2012_8_3'!D1921,"AAAAAHv/XYQ=")</f>
        <v>#VALUE!</v>
      </c>
      <c r="ED128" t="e">
        <f>AND('Planilla_General_07-12-2012_8_3'!E1921,"AAAAAHv/XYU=")</f>
        <v>#VALUE!</v>
      </c>
      <c r="EE128" t="e">
        <f>AND('Planilla_General_07-12-2012_8_3'!F1921,"AAAAAHv/XYY=")</f>
        <v>#VALUE!</v>
      </c>
      <c r="EF128" t="e">
        <f>AND('Planilla_General_07-12-2012_8_3'!G1921,"AAAAAHv/XYc=")</f>
        <v>#VALUE!</v>
      </c>
      <c r="EG128" t="e">
        <f>AND('Planilla_General_07-12-2012_8_3'!H1921,"AAAAAHv/XYg=")</f>
        <v>#VALUE!</v>
      </c>
      <c r="EH128" t="e">
        <f>AND('Planilla_General_07-12-2012_8_3'!I1921,"AAAAAHv/XYk=")</f>
        <v>#VALUE!</v>
      </c>
      <c r="EI128" t="e">
        <f>AND('Planilla_General_07-12-2012_8_3'!J1921,"AAAAAHv/XYo=")</f>
        <v>#VALUE!</v>
      </c>
      <c r="EJ128" t="e">
        <f>AND('Planilla_General_07-12-2012_8_3'!K1921,"AAAAAHv/XYs=")</f>
        <v>#VALUE!</v>
      </c>
      <c r="EK128" t="e">
        <f>AND('Planilla_General_07-12-2012_8_3'!L1921,"AAAAAHv/XYw=")</f>
        <v>#VALUE!</v>
      </c>
      <c r="EL128" t="e">
        <f>AND('Planilla_General_07-12-2012_8_3'!M1921,"AAAAAHv/XY0=")</f>
        <v>#VALUE!</v>
      </c>
      <c r="EM128" t="e">
        <f>AND('Planilla_General_07-12-2012_8_3'!N1921,"AAAAAHv/XY4=")</f>
        <v>#VALUE!</v>
      </c>
      <c r="EN128" t="e">
        <f>AND('Planilla_General_07-12-2012_8_3'!O1921,"AAAAAHv/XY8=")</f>
        <v>#VALUE!</v>
      </c>
      <c r="EO128" t="e">
        <f>AND('Planilla_General_07-12-2012_8_3'!P1921,"AAAAAHv/XZA=")</f>
        <v>#VALUE!</v>
      </c>
      <c r="EP128">
        <f>IF('Planilla_General_07-12-2012_8_3'!1922:1922,"AAAAAHv/XZE=",0)</f>
        <v>0</v>
      </c>
      <c r="EQ128" t="e">
        <f>AND('Planilla_General_07-12-2012_8_3'!A1922,"AAAAAHv/XZI=")</f>
        <v>#VALUE!</v>
      </c>
      <c r="ER128" t="e">
        <f>AND('Planilla_General_07-12-2012_8_3'!B1922,"AAAAAHv/XZM=")</f>
        <v>#VALUE!</v>
      </c>
      <c r="ES128" t="e">
        <f>AND('Planilla_General_07-12-2012_8_3'!C1922,"AAAAAHv/XZQ=")</f>
        <v>#VALUE!</v>
      </c>
      <c r="ET128" t="e">
        <f>AND('Planilla_General_07-12-2012_8_3'!D1922,"AAAAAHv/XZU=")</f>
        <v>#VALUE!</v>
      </c>
      <c r="EU128" t="e">
        <f>AND('Planilla_General_07-12-2012_8_3'!E1922,"AAAAAHv/XZY=")</f>
        <v>#VALUE!</v>
      </c>
      <c r="EV128" t="e">
        <f>AND('Planilla_General_07-12-2012_8_3'!F1922,"AAAAAHv/XZc=")</f>
        <v>#VALUE!</v>
      </c>
      <c r="EW128" t="e">
        <f>AND('Planilla_General_07-12-2012_8_3'!G1922,"AAAAAHv/XZg=")</f>
        <v>#VALUE!</v>
      </c>
      <c r="EX128" t="e">
        <f>AND('Planilla_General_07-12-2012_8_3'!H1922,"AAAAAHv/XZk=")</f>
        <v>#VALUE!</v>
      </c>
      <c r="EY128" t="e">
        <f>AND('Planilla_General_07-12-2012_8_3'!I1922,"AAAAAHv/XZo=")</f>
        <v>#VALUE!</v>
      </c>
      <c r="EZ128" t="e">
        <f>AND('Planilla_General_07-12-2012_8_3'!J1922,"AAAAAHv/XZs=")</f>
        <v>#VALUE!</v>
      </c>
      <c r="FA128" t="e">
        <f>AND('Planilla_General_07-12-2012_8_3'!K1922,"AAAAAHv/XZw=")</f>
        <v>#VALUE!</v>
      </c>
      <c r="FB128" t="e">
        <f>AND('Planilla_General_07-12-2012_8_3'!L1922,"AAAAAHv/XZ0=")</f>
        <v>#VALUE!</v>
      </c>
      <c r="FC128" t="e">
        <f>AND('Planilla_General_07-12-2012_8_3'!M1922,"AAAAAHv/XZ4=")</f>
        <v>#VALUE!</v>
      </c>
      <c r="FD128" t="e">
        <f>AND('Planilla_General_07-12-2012_8_3'!N1922,"AAAAAHv/XZ8=")</f>
        <v>#VALUE!</v>
      </c>
      <c r="FE128" t="e">
        <f>AND('Planilla_General_07-12-2012_8_3'!O1922,"AAAAAHv/XaA=")</f>
        <v>#VALUE!</v>
      </c>
      <c r="FF128" t="e">
        <f>AND('Planilla_General_07-12-2012_8_3'!P1922,"AAAAAHv/XaE=")</f>
        <v>#VALUE!</v>
      </c>
      <c r="FG128">
        <f>IF('Planilla_General_07-12-2012_8_3'!1923:1923,"AAAAAHv/XaI=",0)</f>
        <v>0</v>
      </c>
      <c r="FH128" t="e">
        <f>AND('Planilla_General_07-12-2012_8_3'!A1923,"AAAAAHv/XaM=")</f>
        <v>#VALUE!</v>
      </c>
      <c r="FI128" t="e">
        <f>AND('Planilla_General_07-12-2012_8_3'!B1923,"AAAAAHv/XaQ=")</f>
        <v>#VALUE!</v>
      </c>
      <c r="FJ128" t="e">
        <f>AND('Planilla_General_07-12-2012_8_3'!C1923,"AAAAAHv/XaU=")</f>
        <v>#VALUE!</v>
      </c>
      <c r="FK128" t="e">
        <f>AND('Planilla_General_07-12-2012_8_3'!D1923,"AAAAAHv/XaY=")</f>
        <v>#VALUE!</v>
      </c>
      <c r="FL128" t="e">
        <f>AND('Planilla_General_07-12-2012_8_3'!E1923,"AAAAAHv/Xac=")</f>
        <v>#VALUE!</v>
      </c>
      <c r="FM128" t="e">
        <f>AND('Planilla_General_07-12-2012_8_3'!F1923,"AAAAAHv/Xag=")</f>
        <v>#VALUE!</v>
      </c>
      <c r="FN128" t="e">
        <f>AND('Planilla_General_07-12-2012_8_3'!G1923,"AAAAAHv/Xak=")</f>
        <v>#VALUE!</v>
      </c>
      <c r="FO128" t="e">
        <f>AND('Planilla_General_07-12-2012_8_3'!H1923,"AAAAAHv/Xao=")</f>
        <v>#VALUE!</v>
      </c>
      <c r="FP128" t="e">
        <f>AND('Planilla_General_07-12-2012_8_3'!I1923,"AAAAAHv/Xas=")</f>
        <v>#VALUE!</v>
      </c>
      <c r="FQ128" t="e">
        <f>AND('Planilla_General_07-12-2012_8_3'!J1923,"AAAAAHv/Xaw=")</f>
        <v>#VALUE!</v>
      </c>
      <c r="FR128" t="e">
        <f>AND('Planilla_General_07-12-2012_8_3'!K1923,"AAAAAHv/Xa0=")</f>
        <v>#VALUE!</v>
      </c>
      <c r="FS128" t="e">
        <f>AND('Planilla_General_07-12-2012_8_3'!L1923,"AAAAAHv/Xa4=")</f>
        <v>#VALUE!</v>
      </c>
      <c r="FT128" t="e">
        <f>AND('Planilla_General_07-12-2012_8_3'!M1923,"AAAAAHv/Xa8=")</f>
        <v>#VALUE!</v>
      </c>
      <c r="FU128" t="e">
        <f>AND('Planilla_General_07-12-2012_8_3'!N1923,"AAAAAHv/XbA=")</f>
        <v>#VALUE!</v>
      </c>
      <c r="FV128" t="e">
        <f>AND('Planilla_General_07-12-2012_8_3'!O1923,"AAAAAHv/XbE=")</f>
        <v>#VALUE!</v>
      </c>
      <c r="FW128" t="e">
        <f>AND('Planilla_General_07-12-2012_8_3'!P1923,"AAAAAHv/XbI=")</f>
        <v>#VALUE!</v>
      </c>
      <c r="FX128">
        <f>IF('Planilla_General_07-12-2012_8_3'!1924:1924,"AAAAAHv/XbM=",0)</f>
        <v>0</v>
      </c>
      <c r="FY128" t="e">
        <f>AND('Planilla_General_07-12-2012_8_3'!A1924,"AAAAAHv/XbQ=")</f>
        <v>#VALUE!</v>
      </c>
      <c r="FZ128" t="e">
        <f>AND('Planilla_General_07-12-2012_8_3'!B1924,"AAAAAHv/XbU=")</f>
        <v>#VALUE!</v>
      </c>
      <c r="GA128" t="e">
        <f>AND('Planilla_General_07-12-2012_8_3'!C1924,"AAAAAHv/XbY=")</f>
        <v>#VALUE!</v>
      </c>
      <c r="GB128" t="e">
        <f>AND('Planilla_General_07-12-2012_8_3'!D1924,"AAAAAHv/Xbc=")</f>
        <v>#VALUE!</v>
      </c>
      <c r="GC128" t="e">
        <f>AND('Planilla_General_07-12-2012_8_3'!E1924,"AAAAAHv/Xbg=")</f>
        <v>#VALUE!</v>
      </c>
      <c r="GD128" t="e">
        <f>AND('Planilla_General_07-12-2012_8_3'!F1924,"AAAAAHv/Xbk=")</f>
        <v>#VALUE!</v>
      </c>
      <c r="GE128" t="e">
        <f>AND('Planilla_General_07-12-2012_8_3'!G1924,"AAAAAHv/Xbo=")</f>
        <v>#VALUE!</v>
      </c>
      <c r="GF128" t="e">
        <f>AND('Planilla_General_07-12-2012_8_3'!H1924,"AAAAAHv/Xbs=")</f>
        <v>#VALUE!</v>
      </c>
      <c r="GG128" t="e">
        <f>AND('Planilla_General_07-12-2012_8_3'!I1924,"AAAAAHv/Xbw=")</f>
        <v>#VALUE!</v>
      </c>
      <c r="GH128" t="e">
        <f>AND('Planilla_General_07-12-2012_8_3'!J1924,"AAAAAHv/Xb0=")</f>
        <v>#VALUE!</v>
      </c>
      <c r="GI128" t="e">
        <f>AND('Planilla_General_07-12-2012_8_3'!K1924,"AAAAAHv/Xb4=")</f>
        <v>#VALUE!</v>
      </c>
      <c r="GJ128" t="e">
        <f>AND('Planilla_General_07-12-2012_8_3'!L1924,"AAAAAHv/Xb8=")</f>
        <v>#VALUE!</v>
      </c>
      <c r="GK128" t="e">
        <f>AND('Planilla_General_07-12-2012_8_3'!M1924,"AAAAAHv/XcA=")</f>
        <v>#VALUE!</v>
      </c>
      <c r="GL128" t="e">
        <f>AND('Planilla_General_07-12-2012_8_3'!N1924,"AAAAAHv/XcE=")</f>
        <v>#VALUE!</v>
      </c>
      <c r="GM128" t="e">
        <f>AND('Planilla_General_07-12-2012_8_3'!O1924,"AAAAAHv/XcI=")</f>
        <v>#VALUE!</v>
      </c>
      <c r="GN128" t="e">
        <f>AND('Planilla_General_07-12-2012_8_3'!P1924,"AAAAAHv/XcM=")</f>
        <v>#VALUE!</v>
      </c>
      <c r="GO128">
        <f>IF('Planilla_General_07-12-2012_8_3'!1925:1925,"AAAAAHv/XcQ=",0)</f>
        <v>0</v>
      </c>
      <c r="GP128" t="e">
        <f>AND('Planilla_General_07-12-2012_8_3'!A1925,"AAAAAHv/XcU=")</f>
        <v>#VALUE!</v>
      </c>
      <c r="GQ128" t="e">
        <f>AND('Planilla_General_07-12-2012_8_3'!B1925,"AAAAAHv/XcY=")</f>
        <v>#VALUE!</v>
      </c>
      <c r="GR128" t="e">
        <f>AND('Planilla_General_07-12-2012_8_3'!C1925,"AAAAAHv/Xcc=")</f>
        <v>#VALUE!</v>
      </c>
      <c r="GS128" t="e">
        <f>AND('Planilla_General_07-12-2012_8_3'!D1925,"AAAAAHv/Xcg=")</f>
        <v>#VALUE!</v>
      </c>
      <c r="GT128" t="e">
        <f>AND('Planilla_General_07-12-2012_8_3'!E1925,"AAAAAHv/Xck=")</f>
        <v>#VALUE!</v>
      </c>
      <c r="GU128" t="e">
        <f>AND('Planilla_General_07-12-2012_8_3'!F1925,"AAAAAHv/Xco=")</f>
        <v>#VALUE!</v>
      </c>
      <c r="GV128" t="e">
        <f>AND('Planilla_General_07-12-2012_8_3'!G1925,"AAAAAHv/Xcs=")</f>
        <v>#VALUE!</v>
      </c>
      <c r="GW128" t="e">
        <f>AND('Planilla_General_07-12-2012_8_3'!H1925,"AAAAAHv/Xcw=")</f>
        <v>#VALUE!</v>
      </c>
      <c r="GX128" t="e">
        <f>AND('Planilla_General_07-12-2012_8_3'!I1925,"AAAAAHv/Xc0=")</f>
        <v>#VALUE!</v>
      </c>
      <c r="GY128" t="e">
        <f>AND('Planilla_General_07-12-2012_8_3'!J1925,"AAAAAHv/Xc4=")</f>
        <v>#VALUE!</v>
      </c>
      <c r="GZ128" t="e">
        <f>AND('Planilla_General_07-12-2012_8_3'!K1925,"AAAAAHv/Xc8=")</f>
        <v>#VALUE!</v>
      </c>
      <c r="HA128" t="e">
        <f>AND('Planilla_General_07-12-2012_8_3'!L1925,"AAAAAHv/XdA=")</f>
        <v>#VALUE!</v>
      </c>
      <c r="HB128" t="e">
        <f>AND('Planilla_General_07-12-2012_8_3'!M1925,"AAAAAHv/XdE=")</f>
        <v>#VALUE!</v>
      </c>
      <c r="HC128" t="e">
        <f>AND('Planilla_General_07-12-2012_8_3'!N1925,"AAAAAHv/XdI=")</f>
        <v>#VALUE!</v>
      </c>
      <c r="HD128" t="e">
        <f>AND('Planilla_General_07-12-2012_8_3'!O1925,"AAAAAHv/XdM=")</f>
        <v>#VALUE!</v>
      </c>
      <c r="HE128" t="e">
        <f>AND('Planilla_General_07-12-2012_8_3'!P1925,"AAAAAHv/XdQ=")</f>
        <v>#VALUE!</v>
      </c>
      <c r="HF128">
        <f>IF('Planilla_General_07-12-2012_8_3'!1926:1926,"AAAAAHv/XdU=",0)</f>
        <v>0</v>
      </c>
      <c r="HG128" t="e">
        <f>AND('Planilla_General_07-12-2012_8_3'!A1926,"AAAAAHv/XdY=")</f>
        <v>#VALUE!</v>
      </c>
      <c r="HH128" t="e">
        <f>AND('Planilla_General_07-12-2012_8_3'!B1926,"AAAAAHv/Xdc=")</f>
        <v>#VALUE!</v>
      </c>
      <c r="HI128" t="e">
        <f>AND('Planilla_General_07-12-2012_8_3'!C1926,"AAAAAHv/Xdg=")</f>
        <v>#VALUE!</v>
      </c>
      <c r="HJ128" t="e">
        <f>AND('Planilla_General_07-12-2012_8_3'!D1926,"AAAAAHv/Xdk=")</f>
        <v>#VALUE!</v>
      </c>
      <c r="HK128" t="e">
        <f>AND('Planilla_General_07-12-2012_8_3'!E1926,"AAAAAHv/Xdo=")</f>
        <v>#VALUE!</v>
      </c>
      <c r="HL128" t="e">
        <f>AND('Planilla_General_07-12-2012_8_3'!F1926,"AAAAAHv/Xds=")</f>
        <v>#VALUE!</v>
      </c>
      <c r="HM128" t="e">
        <f>AND('Planilla_General_07-12-2012_8_3'!G1926,"AAAAAHv/Xdw=")</f>
        <v>#VALUE!</v>
      </c>
      <c r="HN128" t="e">
        <f>AND('Planilla_General_07-12-2012_8_3'!H1926,"AAAAAHv/Xd0=")</f>
        <v>#VALUE!</v>
      </c>
      <c r="HO128" t="e">
        <f>AND('Planilla_General_07-12-2012_8_3'!I1926,"AAAAAHv/Xd4=")</f>
        <v>#VALUE!</v>
      </c>
      <c r="HP128" t="e">
        <f>AND('Planilla_General_07-12-2012_8_3'!J1926,"AAAAAHv/Xd8=")</f>
        <v>#VALUE!</v>
      </c>
      <c r="HQ128" t="e">
        <f>AND('Planilla_General_07-12-2012_8_3'!K1926,"AAAAAHv/XeA=")</f>
        <v>#VALUE!</v>
      </c>
      <c r="HR128" t="e">
        <f>AND('Planilla_General_07-12-2012_8_3'!L1926,"AAAAAHv/XeE=")</f>
        <v>#VALUE!</v>
      </c>
      <c r="HS128" t="e">
        <f>AND('Planilla_General_07-12-2012_8_3'!M1926,"AAAAAHv/XeI=")</f>
        <v>#VALUE!</v>
      </c>
      <c r="HT128" t="e">
        <f>AND('Planilla_General_07-12-2012_8_3'!N1926,"AAAAAHv/XeM=")</f>
        <v>#VALUE!</v>
      </c>
      <c r="HU128" t="e">
        <f>AND('Planilla_General_07-12-2012_8_3'!O1926,"AAAAAHv/XeQ=")</f>
        <v>#VALUE!</v>
      </c>
      <c r="HV128" t="e">
        <f>AND('Planilla_General_07-12-2012_8_3'!P1926,"AAAAAHv/XeU=")</f>
        <v>#VALUE!</v>
      </c>
      <c r="HW128">
        <f>IF('Planilla_General_07-12-2012_8_3'!1927:1927,"AAAAAHv/XeY=",0)</f>
        <v>0</v>
      </c>
      <c r="HX128" t="e">
        <f>AND('Planilla_General_07-12-2012_8_3'!A1927,"AAAAAHv/Xec=")</f>
        <v>#VALUE!</v>
      </c>
      <c r="HY128" t="e">
        <f>AND('Planilla_General_07-12-2012_8_3'!B1927,"AAAAAHv/Xeg=")</f>
        <v>#VALUE!</v>
      </c>
      <c r="HZ128" t="e">
        <f>AND('Planilla_General_07-12-2012_8_3'!C1927,"AAAAAHv/Xek=")</f>
        <v>#VALUE!</v>
      </c>
      <c r="IA128" t="e">
        <f>AND('Planilla_General_07-12-2012_8_3'!D1927,"AAAAAHv/Xeo=")</f>
        <v>#VALUE!</v>
      </c>
      <c r="IB128" t="e">
        <f>AND('Planilla_General_07-12-2012_8_3'!E1927,"AAAAAHv/Xes=")</f>
        <v>#VALUE!</v>
      </c>
      <c r="IC128" t="e">
        <f>AND('Planilla_General_07-12-2012_8_3'!F1927,"AAAAAHv/Xew=")</f>
        <v>#VALUE!</v>
      </c>
      <c r="ID128" t="e">
        <f>AND('Planilla_General_07-12-2012_8_3'!G1927,"AAAAAHv/Xe0=")</f>
        <v>#VALUE!</v>
      </c>
      <c r="IE128" t="e">
        <f>AND('Planilla_General_07-12-2012_8_3'!H1927,"AAAAAHv/Xe4=")</f>
        <v>#VALUE!</v>
      </c>
      <c r="IF128" t="e">
        <f>AND('Planilla_General_07-12-2012_8_3'!I1927,"AAAAAHv/Xe8=")</f>
        <v>#VALUE!</v>
      </c>
      <c r="IG128" t="e">
        <f>AND('Planilla_General_07-12-2012_8_3'!J1927,"AAAAAHv/XfA=")</f>
        <v>#VALUE!</v>
      </c>
      <c r="IH128" t="e">
        <f>AND('Planilla_General_07-12-2012_8_3'!K1927,"AAAAAHv/XfE=")</f>
        <v>#VALUE!</v>
      </c>
      <c r="II128" t="e">
        <f>AND('Planilla_General_07-12-2012_8_3'!L1927,"AAAAAHv/XfI=")</f>
        <v>#VALUE!</v>
      </c>
      <c r="IJ128" t="e">
        <f>AND('Planilla_General_07-12-2012_8_3'!M1927,"AAAAAHv/XfM=")</f>
        <v>#VALUE!</v>
      </c>
      <c r="IK128" t="e">
        <f>AND('Planilla_General_07-12-2012_8_3'!N1927,"AAAAAHv/XfQ=")</f>
        <v>#VALUE!</v>
      </c>
      <c r="IL128" t="e">
        <f>AND('Planilla_General_07-12-2012_8_3'!O1927,"AAAAAHv/XfU=")</f>
        <v>#VALUE!</v>
      </c>
      <c r="IM128" t="e">
        <f>AND('Planilla_General_07-12-2012_8_3'!P1927,"AAAAAHv/XfY=")</f>
        <v>#VALUE!</v>
      </c>
      <c r="IN128">
        <f>IF('Planilla_General_07-12-2012_8_3'!1928:1928,"AAAAAHv/Xfc=",0)</f>
        <v>0</v>
      </c>
      <c r="IO128" t="e">
        <f>AND('Planilla_General_07-12-2012_8_3'!A1928,"AAAAAHv/Xfg=")</f>
        <v>#VALUE!</v>
      </c>
      <c r="IP128" t="e">
        <f>AND('Planilla_General_07-12-2012_8_3'!B1928,"AAAAAHv/Xfk=")</f>
        <v>#VALUE!</v>
      </c>
      <c r="IQ128" t="e">
        <f>AND('Planilla_General_07-12-2012_8_3'!C1928,"AAAAAHv/Xfo=")</f>
        <v>#VALUE!</v>
      </c>
      <c r="IR128" t="e">
        <f>AND('Planilla_General_07-12-2012_8_3'!D1928,"AAAAAHv/Xfs=")</f>
        <v>#VALUE!</v>
      </c>
      <c r="IS128" t="e">
        <f>AND('Planilla_General_07-12-2012_8_3'!E1928,"AAAAAHv/Xfw=")</f>
        <v>#VALUE!</v>
      </c>
      <c r="IT128" t="e">
        <f>AND('Planilla_General_07-12-2012_8_3'!F1928,"AAAAAHv/Xf0=")</f>
        <v>#VALUE!</v>
      </c>
      <c r="IU128" t="e">
        <f>AND('Planilla_General_07-12-2012_8_3'!G1928,"AAAAAHv/Xf4=")</f>
        <v>#VALUE!</v>
      </c>
      <c r="IV128" t="e">
        <f>AND('Planilla_General_07-12-2012_8_3'!H1928,"AAAAAHv/Xf8=")</f>
        <v>#VALUE!</v>
      </c>
    </row>
    <row r="129" spans="1:256" x14ac:dyDescent="0.25">
      <c r="A129" t="e">
        <f>AND('Planilla_General_07-12-2012_8_3'!I1928,"AAAAACl3egA=")</f>
        <v>#VALUE!</v>
      </c>
      <c r="B129" t="e">
        <f>AND('Planilla_General_07-12-2012_8_3'!J1928,"AAAAACl3egE=")</f>
        <v>#VALUE!</v>
      </c>
      <c r="C129" t="e">
        <f>AND('Planilla_General_07-12-2012_8_3'!K1928,"AAAAACl3egI=")</f>
        <v>#VALUE!</v>
      </c>
      <c r="D129" t="e">
        <f>AND('Planilla_General_07-12-2012_8_3'!L1928,"AAAAACl3egM=")</f>
        <v>#VALUE!</v>
      </c>
      <c r="E129" t="e">
        <f>AND('Planilla_General_07-12-2012_8_3'!M1928,"AAAAACl3egQ=")</f>
        <v>#VALUE!</v>
      </c>
      <c r="F129" t="e">
        <f>AND('Planilla_General_07-12-2012_8_3'!N1928,"AAAAACl3egU=")</f>
        <v>#VALUE!</v>
      </c>
      <c r="G129" t="e">
        <f>AND('Planilla_General_07-12-2012_8_3'!O1928,"AAAAACl3egY=")</f>
        <v>#VALUE!</v>
      </c>
      <c r="H129" t="e">
        <f>AND('Planilla_General_07-12-2012_8_3'!P1928,"AAAAACl3egc=")</f>
        <v>#VALUE!</v>
      </c>
      <c r="I129" t="e">
        <f>IF('Planilla_General_07-12-2012_8_3'!1929:1929,"AAAAACl3egg=",0)</f>
        <v>#VALUE!</v>
      </c>
      <c r="J129" t="e">
        <f>AND('Planilla_General_07-12-2012_8_3'!A1929,"AAAAACl3egk=")</f>
        <v>#VALUE!</v>
      </c>
      <c r="K129" t="e">
        <f>AND('Planilla_General_07-12-2012_8_3'!B1929,"AAAAACl3ego=")</f>
        <v>#VALUE!</v>
      </c>
      <c r="L129" t="e">
        <f>AND('Planilla_General_07-12-2012_8_3'!C1929,"AAAAACl3egs=")</f>
        <v>#VALUE!</v>
      </c>
      <c r="M129" t="e">
        <f>AND('Planilla_General_07-12-2012_8_3'!D1929,"AAAAACl3egw=")</f>
        <v>#VALUE!</v>
      </c>
      <c r="N129" t="e">
        <f>AND('Planilla_General_07-12-2012_8_3'!E1929,"AAAAACl3eg0=")</f>
        <v>#VALUE!</v>
      </c>
      <c r="O129" t="e">
        <f>AND('Planilla_General_07-12-2012_8_3'!F1929,"AAAAACl3eg4=")</f>
        <v>#VALUE!</v>
      </c>
      <c r="P129" t="e">
        <f>AND('Planilla_General_07-12-2012_8_3'!G1929,"AAAAACl3eg8=")</f>
        <v>#VALUE!</v>
      </c>
      <c r="Q129" t="e">
        <f>AND('Planilla_General_07-12-2012_8_3'!H1929,"AAAAACl3ehA=")</f>
        <v>#VALUE!</v>
      </c>
      <c r="R129" t="e">
        <f>AND('Planilla_General_07-12-2012_8_3'!I1929,"AAAAACl3ehE=")</f>
        <v>#VALUE!</v>
      </c>
      <c r="S129" t="e">
        <f>AND('Planilla_General_07-12-2012_8_3'!J1929,"AAAAACl3ehI=")</f>
        <v>#VALUE!</v>
      </c>
      <c r="T129" t="e">
        <f>AND('Planilla_General_07-12-2012_8_3'!K1929,"AAAAACl3ehM=")</f>
        <v>#VALUE!</v>
      </c>
      <c r="U129" t="e">
        <f>AND('Planilla_General_07-12-2012_8_3'!L1929,"AAAAACl3ehQ=")</f>
        <v>#VALUE!</v>
      </c>
      <c r="V129" t="e">
        <f>AND('Planilla_General_07-12-2012_8_3'!M1929,"AAAAACl3ehU=")</f>
        <v>#VALUE!</v>
      </c>
      <c r="W129" t="e">
        <f>AND('Planilla_General_07-12-2012_8_3'!N1929,"AAAAACl3ehY=")</f>
        <v>#VALUE!</v>
      </c>
      <c r="X129" t="e">
        <f>AND('Planilla_General_07-12-2012_8_3'!O1929,"AAAAACl3ehc=")</f>
        <v>#VALUE!</v>
      </c>
      <c r="Y129" t="e">
        <f>AND('Planilla_General_07-12-2012_8_3'!P1929,"AAAAACl3ehg=")</f>
        <v>#VALUE!</v>
      </c>
      <c r="Z129">
        <f>IF('Planilla_General_07-12-2012_8_3'!1930:1930,"AAAAACl3ehk=",0)</f>
        <v>0</v>
      </c>
      <c r="AA129" t="e">
        <f>AND('Planilla_General_07-12-2012_8_3'!A1930,"AAAAACl3eho=")</f>
        <v>#VALUE!</v>
      </c>
      <c r="AB129" t="e">
        <f>AND('Planilla_General_07-12-2012_8_3'!B1930,"AAAAACl3ehs=")</f>
        <v>#VALUE!</v>
      </c>
      <c r="AC129" t="e">
        <f>AND('Planilla_General_07-12-2012_8_3'!C1930,"AAAAACl3ehw=")</f>
        <v>#VALUE!</v>
      </c>
      <c r="AD129" t="e">
        <f>AND('Planilla_General_07-12-2012_8_3'!D1930,"AAAAACl3eh0=")</f>
        <v>#VALUE!</v>
      </c>
      <c r="AE129" t="e">
        <f>AND('Planilla_General_07-12-2012_8_3'!E1930,"AAAAACl3eh4=")</f>
        <v>#VALUE!</v>
      </c>
      <c r="AF129" t="e">
        <f>AND('Planilla_General_07-12-2012_8_3'!F1930,"AAAAACl3eh8=")</f>
        <v>#VALUE!</v>
      </c>
      <c r="AG129" t="e">
        <f>AND('Planilla_General_07-12-2012_8_3'!G1930,"AAAAACl3eiA=")</f>
        <v>#VALUE!</v>
      </c>
      <c r="AH129" t="e">
        <f>AND('Planilla_General_07-12-2012_8_3'!H1930,"AAAAACl3eiE=")</f>
        <v>#VALUE!</v>
      </c>
      <c r="AI129" t="e">
        <f>AND('Planilla_General_07-12-2012_8_3'!I1930,"AAAAACl3eiI=")</f>
        <v>#VALUE!</v>
      </c>
      <c r="AJ129" t="e">
        <f>AND('Planilla_General_07-12-2012_8_3'!J1930,"AAAAACl3eiM=")</f>
        <v>#VALUE!</v>
      </c>
      <c r="AK129" t="e">
        <f>AND('Planilla_General_07-12-2012_8_3'!K1930,"AAAAACl3eiQ=")</f>
        <v>#VALUE!</v>
      </c>
      <c r="AL129" t="e">
        <f>AND('Planilla_General_07-12-2012_8_3'!L1930,"AAAAACl3eiU=")</f>
        <v>#VALUE!</v>
      </c>
      <c r="AM129" t="e">
        <f>AND('Planilla_General_07-12-2012_8_3'!M1930,"AAAAACl3eiY=")</f>
        <v>#VALUE!</v>
      </c>
      <c r="AN129" t="e">
        <f>AND('Planilla_General_07-12-2012_8_3'!N1930,"AAAAACl3eic=")</f>
        <v>#VALUE!</v>
      </c>
      <c r="AO129" t="e">
        <f>AND('Planilla_General_07-12-2012_8_3'!O1930,"AAAAACl3eig=")</f>
        <v>#VALUE!</v>
      </c>
      <c r="AP129" t="e">
        <f>AND('Planilla_General_07-12-2012_8_3'!P1930,"AAAAACl3eik=")</f>
        <v>#VALUE!</v>
      </c>
      <c r="AQ129">
        <f>IF('Planilla_General_07-12-2012_8_3'!1931:1931,"AAAAACl3eio=",0)</f>
        <v>0</v>
      </c>
      <c r="AR129" t="e">
        <f>AND('Planilla_General_07-12-2012_8_3'!A1931,"AAAAACl3eis=")</f>
        <v>#VALUE!</v>
      </c>
      <c r="AS129" t="e">
        <f>AND('Planilla_General_07-12-2012_8_3'!B1931,"AAAAACl3eiw=")</f>
        <v>#VALUE!</v>
      </c>
      <c r="AT129" t="e">
        <f>AND('Planilla_General_07-12-2012_8_3'!C1931,"AAAAACl3ei0=")</f>
        <v>#VALUE!</v>
      </c>
      <c r="AU129" t="e">
        <f>AND('Planilla_General_07-12-2012_8_3'!D1931,"AAAAACl3ei4=")</f>
        <v>#VALUE!</v>
      </c>
      <c r="AV129" t="e">
        <f>AND('Planilla_General_07-12-2012_8_3'!E1931,"AAAAACl3ei8=")</f>
        <v>#VALUE!</v>
      </c>
      <c r="AW129" t="e">
        <f>AND('Planilla_General_07-12-2012_8_3'!F1931,"AAAAACl3ejA=")</f>
        <v>#VALUE!</v>
      </c>
      <c r="AX129" t="e">
        <f>AND('Planilla_General_07-12-2012_8_3'!G1931,"AAAAACl3ejE=")</f>
        <v>#VALUE!</v>
      </c>
      <c r="AY129" t="e">
        <f>AND('Planilla_General_07-12-2012_8_3'!H1931,"AAAAACl3ejI=")</f>
        <v>#VALUE!</v>
      </c>
      <c r="AZ129" t="e">
        <f>AND('Planilla_General_07-12-2012_8_3'!I1931,"AAAAACl3ejM=")</f>
        <v>#VALUE!</v>
      </c>
      <c r="BA129" t="e">
        <f>AND('Planilla_General_07-12-2012_8_3'!J1931,"AAAAACl3ejQ=")</f>
        <v>#VALUE!</v>
      </c>
      <c r="BB129" t="e">
        <f>AND('Planilla_General_07-12-2012_8_3'!K1931,"AAAAACl3ejU=")</f>
        <v>#VALUE!</v>
      </c>
      <c r="BC129" t="e">
        <f>AND('Planilla_General_07-12-2012_8_3'!L1931,"AAAAACl3ejY=")</f>
        <v>#VALUE!</v>
      </c>
      <c r="BD129" t="e">
        <f>AND('Planilla_General_07-12-2012_8_3'!M1931,"AAAAACl3ejc=")</f>
        <v>#VALUE!</v>
      </c>
      <c r="BE129" t="e">
        <f>AND('Planilla_General_07-12-2012_8_3'!N1931,"AAAAACl3ejg=")</f>
        <v>#VALUE!</v>
      </c>
      <c r="BF129" t="e">
        <f>AND('Planilla_General_07-12-2012_8_3'!O1931,"AAAAACl3ejk=")</f>
        <v>#VALUE!</v>
      </c>
      <c r="BG129" t="e">
        <f>AND('Planilla_General_07-12-2012_8_3'!P1931,"AAAAACl3ejo=")</f>
        <v>#VALUE!</v>
      </c>
      <c r="BH129">
        <f>IF('Planilla_General_07-12-2012_8_3'!1932:1932,"AAAAACl3ejs=",0)</f>
        <v>0</v>
      </c>
      <c r="BI129" t="e">
        <f>AND('Planilla_General_07-12-2012_8_3'!A1932,"AAAAACl3ejw=")</f>
        <v>#VALUE!</v>
      </c>
      <c r="BJ129" t="e">
        <f>AND('Planilla_General_07-12-2012_8_3'!B1932,"AAAAACl3ej0=")</f>
        <v>#VALUE!</v>
      </c>
      <c r="BK129" t="e">
        <f>AND('Planilla_General_07-12-2012_8_3'!C1932,"AAAAACl3ej4=")</f>
        <v>#VALUE!</v>
      </c>
      <c r="BL129" t="e">
        <f>AND('Planilla_General_07-12-2012_8_3'!D1932,"AAAAACl3ej8=")</f>
        <v>#VALUE!</v>
      </c>
      <c r="BM129" t="e">
        <f>AND('Planilla_General_07-12-2012_8_3'!E1932,"AAAAACl3ekA=")</f>
        <v>#VALUE!</v>
      </c>
      <c r="BN129" t="e">
        <f>AND('Planilla_General_07-12-2012_8_3'!F1932,"AAAAACl3ekE=")</f>
        <v>#VALUE!</v>
      </c>
      <c r="BO129" t="e">
        <f>AND('Planilla_General_07-12-2012_8_3'!G1932,"AAAAACl3ekI=")</f>
        <v>#VALUE!</v>
      </c>
      <c r="BP129" t="e">
        <f>AND('Planilla_General_07-12-2012_8_3'!H1932,"AAAAACl3ekM=")</f>
        <v>#VALUE!</v>
      </c>
      <c r="BQ129" t="e">
        <f>AND('Planilla_General_07-12-2012_8_3'!I1932,"AAAAACl3ekQ=")</f>
        <v>#VALUE!</v>
      </c>
      <c r="BR129" t="e">
        <f>AND('Planilla_General_07-12-2012_8_3'!J1932,"AAAAACl3ekU=")</f>
        <v>#VALUE!</v>
      </c>
      <c r="BS129" t="e">
        <f>AND('Planilla_General_07-12-2012_8_3'!K1932,"AAAAACl3ekY=")</f>
        <v>#VALUE!</v>
      </c>
      <c r="BT129" t="e">
        <f>AND('Planilla_General_07-12-2012_8_3'!L1932,"AAAAACl3ekc=")</f>
        <v>#VALUE!</v>
      </c>
      <c r="BU129" t="e">
        <f>AND('Planilla_General_07-12-2012_8_3'!M1932,"AAAAACl3ekg=")</f>
        <v>#VALUE!</v>
      </c>
      <c r="BV129" t="e">
        <f>AND('Planilla_General_07-12-2012_8_3'!N1932,"AAAAACl3ekk=")</f>
        <v>#VALUE!</v>
      </c>
      <c r="BW129" t="e">
        <f>AND('Planilla_General_07-12-2012_8_3'!O1932,"AAAAACl3eko=")</f>
        <v>#VALUE!</v>
      </c>
      <c r="BX129" t="e">
        <f>AND('Planilla_General_07-12-2012_8_3'!P1932,"AAAAACl3eks=")</f>
        <v>#VALUE!</v>
      </c>
      <c r="BY129">
        <f>IF('Planilla_General_07-12-2012_8_3'!1933:1933,"AAAAACl3ekw=",0)</f>
        <v>0</v>
      </c>
      <c r="BZ129" t="e">
        <f>AND('Planilla_General_07-12-2012_8_3'!A1933,"AAAAACl3ek0=")</f>
        <v>#VALUE!</v>
      </c>
      <c r="CA129" t="e">
        <f>AND('Planilla_General_07-12-2012_8_3'!B1933,"AAAAACl3ek4=")</f>
        <v>#VALUE!</v>
      </c>
      <c r="CB129" t="e">
        <f>AND('Planilla_General_07-12-2012_8_3'!C1933,"AAAAACl3ek8=")</f>
        <v>#VALUE!</v>
      </c>
      <c r="CC129" t="e">
        <f>AND('Planilla_General_07-12-2012_8_3'!D1933,"AAAAACl3elA=")</f>
        <v>#VALUE!</v>
      </c>
      <c r="CD129" t="e">
        <f>AND('Planilla_General_07-12-2012_8_3'!E1933,"AAAAACl3elE=")</f>
        <v>#VALUE!</v>
      </c>
      <c r="CE129" t="e">
        <f>AND('Planilla_General_07-12-2012_8_3'!F1933,"AAAAACl3elI=")</f>
        <v>#VALUE!</v>
      </c>
      <c r="CF129" t="e">
        <f>AND('Planilla_General_07-12-2012_8_3'!G1933,"AAAAACl3elM=")</f>
        <v>#VALUE!</v>
      </c>
      <c r="CG129" t="e">
        <f>AND('Planilla_General_07-12-2012_8_3'!H1933,"AAAAACl3elQ=")</f>
        <v>#VALUE!</v>
      </c>
      <c r="CH129" t="e">
        <f>AND('Planilla_General_07-12-2012_8_3'!I1933,"AAAAACl3elU=")</f>
        <v>#VALUE!</v>
      </c>
      <c r="CI129" t="e">
        <f>AND('Planilla_General_07-12-2012_8_3'!J1933,"AAAAACl3elY=")</f>
        <v>#VALUE!</v>
      </c>
      <c r="CJ129" t="e">
        <f>AND('Planilla_General_07-12-2012_8_3'!K1933,"AAAAACl3elc=")</f>
        <v>#VALUE!</v>
      </c>
      <c r="CK129" t="e">
        <f>AND('Planilla_General_07-12-2012_8_3'!L1933,"AAAAACl3elg=")</f>
        <v>#VALUE!</v>
      </c>
      <c r="CL129" t="e">
        <f>AND('Planilla_General_07-12-2012_8_3'!M1933,"AAAAACl3elk=")</f>
        <v>#VALUE!</v>
      </c>
      <c r="CM129" t="e">
        <f>AND('Planilla_General_07-12-2012_8_3'!N1933,"AAAAACl3elo=")</f>
        <v>#VALUE!</v>
      </c>
      <c r="CN129" t="e">
        <f>AND('Planilla_General_07-12-2012_8_3'!O1933,"AAAAACl3els=")</f>
        <v>#VALUE!</v>
      </c>
      <c r="CO129" t="e">
        <f>AND('Planilla_General_07-12-2012_8_3'!P1933,"AAAAACl3elw=")</f>
        <v>#VALUE!</v>
      </c>
      <c r="CP129">
        <f>IF('Planilla_General_07-12-2012_8_3'!1934:1934,"AAAAACl3el0=",0)</f>
        <v>0</v>
      </c>
      <c r="CQ129" t="e">
        <f>AND('Planilla_General_07-12-2012_8_3'!A1934,"AAAAACl3el4=")</f>
        <v>#VALUE!</v>
      </c>
      <c r="CR129" t="e">
        <f>AND('Planilla_General_07-12-2012_8_3'!B1934,"AAAAACl3el8=")</f>
        <v>#VALUE!</v>
      </c>
      <c r="CS129" t="e">
        <f>AND('Planilla_General_07-12-2012_8_3'!C1934,"AAAAACl3emA=")</f>
        <v>#VALUE!</v>
      </c>
      <c r="CT129" t="e">
        <f>AND('Planilla_General_07-12-2012_8_3'!D1934,"AAAAACl3emE=")</f>
        <v>#VALUE!</v>
      </c>
      <c r="CU129" t="e">
        <f>AND('Planilla_General_07-12-2012_8_3'!E1934,"AAAAACl3emI=")</f>
        <v>#VALUE!</v>
      </c>
      <c r="CV129" t="e">
        <f>AND('Planilla_General_07-12-2012_8_3'!F1934,"AAAAACl3emM=")</f>
        <v>#VALUE!</v>
      </c>
      <c r="CW129" t="e">
        <f>AND('Planilla_General_07-12-2012_8_3'!G1934,"AAAAACl3emQ=")</f>
        <v>#VALUE!</v>
      </c>
      <c r="CX129" t="e">
        <f>AND('Planilla_General_07-12-2012_8_3'!H1934,"AAAAACl3emU=")</f>
        <v>#VALUE!</v>
      </c>
      <c r="CY129" t="e">
        <f>AND('Planilla_General_07-12-2012_8_3'!I1934,"AAAAACl3emY=")</f>
        <v>#VALUE!</v>
      </c>
      <c r="CZ129" t="e">
        <f>AND('Planilla_General_07-12-2012_8_3'!J1934,"AAAAACl3emc=")</f>
        <v>#VALUE!</v>
      </c>
      <c r="DA129" t="e">
        <f>AND('Planilla_General_07-12-2012_8_3'!K1934,"AAAAACl3emg=")</f>
        <v>#VALUE!</v>
      </c>
      <c r="DB129" t="e">
        <f>AND('Planilla_General_07-12-2012_8_3'!L1934,"AAAAACl3emk=")</f>
        <v>#VALUE!</v>
      </c>
      <c r="DC129" t="e">
        <f>AND('Planilla_General_07-12-2012_8_3'!M1934,"AAAAACl3emo=")</f>
        <v>#VALUE!</v>
      </c>
      <c r="DD129" t="e">
        <f>AND('Planilla_General_07-12-2012_8_3'!N1934,"AAAAACl3ems=")</f>
        <v>#VALUE!</v>
      </c>
      <c r="DE129" t="e">
        <f>AND('Planilla_General_07-12-2012_8_3'!O1934,"AAAAACl3emw=")</f>
        <v>#VALUE!</v>
      </c>
      <c r="DF129" t="e">
        <f>AND('Planilla_General_07-12-2012_8_3'!P1934,"AAAAACl3em0=")</f>
        <v>#VALUE!</v>
      </c>
      <c r="DG129">
        <f>IF('Planilla_General_07-12-2012_8_3'!1935:1935,"AAAAACl3em4=",0)</f>
        <v>0</v>
      </c>
      <c r="DH129" t="e">
        <f>AND('Planilla_General_07-12-2012_8_3'!A1935,"AAAAACl3em8=")</f>
        <v>#VALUE!</v>
      </c>
      <c r="DI129" t="e">
        <f>AND('Planilla_General_07-12-2012_8_3'!B1935,"AAAAACl3enA=")</f>
        <v>#VALUE!</v>
      </c>
      <c r="DJ129" t="e">
        <f>AND('Planilla_General_07-12-2012_8_3'!C1935,"AAAAACl3enE=")</f>
        <v>#VALUE!</v>
      </c>
      <c r="DK129" t="e">
        <f>AND('Planilla_General_07-12-2012_8_3'!D1935,"AAAAACl3enI=")</f>
        <v>#VALUE!</v>
      </c>
      <c r="DL129" t="e">
        <f>AND('Planilla_General_07-12-2012_8_3'!E1935,"AAAAACl3enM=")</f>
        <v>#VALUE!</v>
      </c>
      <c r="DM129" t="e">
        <f>AND('Planilla_General_07-12-2012_8_3'!F1935,"AAAAACl3enQ=")</f>
        <v>#VALUE!</v>
      </c>
      <c r="DN129" t="e">
        <f>AND('Planilla_General_07-12-2012_8_3'!G1935,"AAAAACl3enU=")</f>
        <v>#VALUE!</v>
      </c>
      <c r="DO129" t="e">
        <f>AND('Planilla_General_07-12-2012_8_3'!H1935,"AAAAACl3enY=")</f>
        <v>#VALUE!</v>
      </c>
      <c r="DP129" t="e">
        <f>AND('Planilla_General_07-12-2012_8_3'!I1935,"AAAAACl3enc=")</f>
        <v>#VALUE!</v>
      </c>
      <c r="DQ129" t="e">
        <f>AND('Planilla_General_07-12-2012_8_3'!J1935,"AAAAACl3eng=")</f>
        <v>#VALUE!</v>
      </c>
      <c r="DR129" t="e">
        <f>AND('Planilla_General_07-12-2012_8_3'!K1935,"AAAAACl3enk=")</f>
        <v>#VALUE!</v>
      </c>
      <c r="DS129" t="e">
        <f>AND('Planilla_General_07-12-2012_8_3'!L1935,"AAAAACl3eno=")</f>
        <v>#VALUE!</v>
      </c>
      <c r="DT129" t="e">
        <f>AND('Planilla_General_07-12-2012_8_3'!M1935,"AAAAACl3ens=")</f>
        <v>#VALUE!</v>
      </c>
      <c r="DU129" t="e">
        <f>AND('Planilla_General_07-12-2012_8_3'!N1935,"AAAAACl3enw=")</f>
        <v>#VALUE!</v>
      </c>
      <c r="DV129" t="e">
        <f>AND('Planilla_General_07-12-2012_8_3'!O1935,"AAAAACl3en0=")</f>
        <v>#VALUE!</v>
      </c>
      <c r="DW129" t="e">
        <f>AND('Planilla_General_07-12-2012_8_3'!P1935,"AAAAACl3en4=")</f>
        <v>#VALUE!</v>
      </c>
      <c r="DX129">
        <f>IF('Planilla_General_07-12-2012_8_3'!1936:1936,"AAAAACl3en8=",0)</f>
        <v>0</v>
      </c>
      <c r="DY129" t="e">
        <f>AND('Planilla_General_07-12-2012_8_3'!A1936,"AAAAACl3eoA=")</f>
        <v>#VALUE!</v>
      </c>
      <c r="DZ129" t="e">
        <f>AND('Planilla_General_07-12-2012_8_3'!B1936,"AAAAACl3eoE=")</f>
        <v>#VALUE!</v>
      </c>
      <c r="EA129" t="e">
        <f>AND('Planilla_General_07-12-2012_8_3'!C1936,"AAAAACl3eoI=")</f>
        <v>#VALUE!</v>
      </c>
      <c r="EB129" t="e">
        <f>AND('Planilla_General_07-12-2012_8_3'!D1936,"AAAAACl3eoM=")</f>
        <v>#VALUE!</v>
      </c>
      <c r="EC129" t="e">
        <f>AND('Planilla_General_07-12-2012_8_3'!E1936,"AAAAACl3eoQ=")</f>
        <v>#VALUE!</v>
      </c>
      <c r="ED129" t="e">
        <f>AND('Planilla_General_07-12-2012_8_3'!F1936,"AAAAACl3eoU=")</f>
        <v>#VALUE!</v>
      </c>
      <c r="EE129" t="e">
        <f>AND('Planilla_General_07-12-2012_8_3'!G1936,"AAAAACl3eoY=")</f>
        <v>#VALUE!</v>
      </c>
      <c r="EF129" t="e">
        <f>AND('Planilla_General_07-12-2012_8_3'!H1936,"AAAAACl3eoc=")</f>
        <v>#VALUE!</v>
      </c>
      <c r="EG129" t="e">
        <f>AND('Planilla_General_07-12-2012_8_3'!I1936,"AAAAACl3eog=")</f>
        <v>#VALUE!</v>
      </c>
      <c r="EH129" t="e">
        <f>AND('Planilla_General_07-12-2012_8_3'!J1936,"AAAAACl3eok=")</f>
        <v>#VALUE!</v>
      </c>
      <c r="EI129" t="e">
        <f>AND('Planilla_General_07-12-2012_8_3'!K1936,"AAAAACl3eoo=")</f>
        <v>#VALUE!</v>
      </c>
      <c r="EJ129" t="e">
        <f>AND('Planilla_General_07-12-2012_8_3'!L1936,"AAAAACl3eos=")</f>
        <v>#VALUE!</v>
      </c>
      <c r="EK129" t="e">
        <f>AND('Planilla_General_07-12-2012_8_3'!M1936,"AAAAACl3eow=")</f>
        <v>#VALUE!</v>
      </c>
      <c r="EL129" t="e">
        <f>AND('Planilla_General_07-12-2012_8_3'!N1936,"AAAAACl3eo0=")</f>
        <v>#VALUE!</v>
      </c>
      <c r="EM129" t="e">
        <f>AND('Planilla_General_07-12-2012_8_3'!O1936,"AAAAACl3eo4=")</f>
        <v>#VALUE!</v>
      </c>
      <c r="EN129" t="e">
        <f>AND('Planilla_General_07-12-2012_8_3'!P1936,"AAAAACl3eo8=")</f>
        <v>#VALUE!</v>
      </c>
      <c r="EO129">
        <f>IF('Planilla_General_07-12-2012_8_3'!1937:1937,"AAAAACl3epA=",0)</f>
        <v>0</v>
      </c>
      <c r="EP129" t="e">
        <f>AND('Planilla_General_07-12-2012_8_3'!A1937,"AAAAACl3epE=")</f>
        <v>#VALUE!</v>
      </c>
      <c r="EQ129" t="e">
        <f>AND('Planilla_General_07-12-2012_8_3'!B1937,"AAAAACl3epI=")</f>
        <v>#VALUE!</v>
      </c>
      <c r="ER129" t="e">
        <f>AND('Planilla_General_07-12-2012_8_3'!C1937,"AAAAACl3epM=")</f>
        <v>#VALUE!</v>
      </c>
      <c r="ES129" t="e">
        <f>AND('Planilla_General_07-12-2012_8_3'!D1937,"AAAAACl3epQ=")</f>
        <v>#VALUE!</v>
      </c>
      <c r="ET129" t="e">
        <f>AND('Planilla_General_07-12-2012_8_3'!E1937,"AAAAACl3epU=")</f>
        <v>#VALUE!</v>
      </c>
      <c r="EU129" t="e">
        <f>AND('Planilla_General_07-12-2012_8_3'!F1937,"AAAAACl3epY=")</f>
        <v>#VALUE!</v>
      </c>
      <c r="EV129" t="e">
        <f>AND('Planilla_General_07-12-2012_8_3'!G1937,"AAAAACl3epc=")</f>
        <v>#VALUE!</v>
      </c>
      <c r="EW129" t="e">
        <f>AND('Planilla_General_07-12-2012_8_3'!H1937,"AAAAACl3epg=")</f>
        <v>#VALUE!</v>
      </c>
      <c r="EX129" t="e">
        <f>AND('Planilla_General_07-12-2012_8_3'!I1937,"AAAAACl3epk=")</f>
        <v>#VALUE!</v>
      </c>
      <c r="EY129" t="e">
        <f>AND('Planilla_General_07-12-2012_8_3'!J1937,"AAAAACl3epo=")</f>
        <v>#VALUE!</v>
      </c>
      <c r="EZ129" t="e">
        <f>AND('Planilla_General_07-12-2012_8_3'!K1937,"AAAAACl3eps=")</f>
        <v>#VALUE!</v>
      </c>
      <c r="FA129" t="e">
        <f>AND('Planilla_General_07-12-2012_8_3'!L1937,"AAAAACl3epw=")</f>
        <v>#VALUE!</v>
      </c>
      <c r="FB129" t="e">
        <f>AND('Planilla_General_07-12-2012_8_3'!M1937,"AAAAACl3ep0=")</f>
        <v>#VALUE!</v>
      </c>
      <c r="FC129" t="e">
        <f>AND('Planilla_General_07-12-2012_8_3'!N1937,"AAAAACl3ep4=")</f>
        <v>#VALUE!</v>
      </c>
      <c r="FD129" t="e">
        <f>AND('Planilla_General_07-12-2012_8_3'!O1937,"AAAAACl3ep8=")</f>
        <v>#VALUE!</v>
      </c>
      <c r="FE129" t="e">
        <f>AND('Planilla_General_07-12-2012_8_3'!P1937,"AAAAACl3eqA=")</f>
        <v>#VALUE!</v>
      </c>
      <c r="FF129">
        <f>IF('Planilla_General_07-12-2012_8_3'!1938:1938,"AAAAACl3eqE=",0)</f>
        <v>0</v>
      </c>
      <c r="FG129" t="e">
        <f>AND('Planilla_General_07-12-2012_8_3'!A1938,"AAAAACl3eqI=")</f>
        <v>#VALUE!</v>
      </c>
      <c r="FH129" t="e">
        <f>AND('Planilla_General_07-12-2012_8_3'!B1938,"AAAAACl3eqM=")</f>
        <v>#VALUE!</v>
      </c>
      <c r="FI129" t="e">
        <f>AND('Planilla_General_07-12-2012_8_3'!C1938,"AAAAACl3eqQ=")</f>
        <v>#VALUE!</v>
      </c>
      <c r="FJ129" t="e">
        <f>AND('Planilla_General_07-12-2012_8_3'!D1938,"AAAAACl3eqU=")</f>
        <v>#VALUE!</v>
      </c>
      <c r="FK129" t="e">
        <f>AND('Planilla_General_07-12-2012_8_3'!E1938,"AAAAACl3eqY=")</f>
        <v>#VALUE!</v>
      </c>
      <c r="FL129" t="e">
        <f>AND('Planilla_General_07-12-2012_8_3'!F1938,"AAAAACl3eqc=")</f>
        <v>#VALUE!</v>
      </c>
      <c r="FM129" t="e">
        <f>AND('Planilla_General_07-12-2012_8_3'!G1938,"AAAAACl3eqg=")</f>
        <v>#VALUE!</v>
      </c>
      <c r="FN129" t="e">
        <f>AND('Planilla_General_07-12-2012_8_3'!H1938,"AAAAACl3eqk=")</f>
        <v>#VALUE!</v>
      </c>
      <c r="FO129" t="e">
        <f>AND('Planilla_General_07-12-2012_8_3'!I1938,"AAAAACl3eqo=")</f>
        <v>#VALUE!</v>
      </c>
      <c r="FP129" t="e">
        <f>AND('Planilla_General_07-12-2012_8_3'!J1938,"AAAAACl3eqs=")</f>
        <v>#VALUE!</v>
      </c>
      <c r="FQ129" t="e">
        <f>AND('Planilla_General_07-12-2012_8_3'!K1938,"AAAAACl3eqw=")</f>
        <v>#VALUE!</v>
      </c>
      <c r="FR129" t="e">
        <f>AND('Planilla_General_07-12-2012_8_3'!L1938,"AAAAACl3eq0=")</f>
        <v>#VALUE!</v>
      </c>
      <c r="FS129" t="e">
        <f>AND('Planilla_General_07-12-2012_8_3'!M1938,"AAAAACl3eq4=")</f>
        <v>#VALUE!</v>
      </c>
      <c r="FT129" t="e">
        <f>AND('Planilla_General_07-12-2012_8_3'!N1938,"AAAAACl3eq8=")</f>
        <v>#VALUE!</v>
      </c>
      <c r="FU129" t="e">
        <f>AND('Planilla_General_07-12-2012_8_3'!O1938,"AAAAACl3erA=")</f>
        <v>#VALUE!</v>
      </c>
      <c r="FV129" t="e">
        <f>AND('Planilla_General_07-12-2012_8_3'!P1938,"AAAAACl3erE=")</f>
        <v>#VALUE!</v>
      </c>
      <c r="FW129">
        <f>IF('Planilla_General_07-12-2012_8_3'!1939:1939,"AAAAACl3erI=",0)</f>
        <v>0</v>
      </c>
      <c r="FX129" t="e">
        <f>AND('Planilla_General_07-12-2012_8_3'!A1939,"AAAAACl3erM=")</f>
        <v>#VALUE!</v>
      </c>
      <c r="FY129" t="e">
        <f>AND('Planilla_General_07-12-2012_8_3'!B1939,"AAAAACl3erQ=")</f>
        <v>#VALUE!</v>
      </c>
      <c r="FZ129" t="e">
        <f>AND('Planilla_General_07-12-2012_8_3'!C1939,"AAAAACl3erU=")</f>
        <v>#VALUE!</v>
      </c>
      <c r="GA129" t="e">
        <f>AND('Planilla_General_07-12-2012_8_3'!D1939,"AAAAACl3erY=")</f>
        <v>#VALUE!</v>
      </c>
      <c r="GB129" t="e">
        <f>AND('Planilla_General_07-12-2012_8_3'!E1939,"AAAAACl3erc=")</f>
        <v>#VALUE!</v>
      </c>
      <c r="GC129" t="e">
        <f>AND('Planilla_General_07-12-2012_8_3'!F1939,"AAAAACl3erg=")</f>
        <v>#VALUE!</v>
      </c>
      <c r="GD129" t="e">
        <f>AND('Planilla_General_07-12-2012_8_3'!G1939,"AAAAACl3erk=")</f>
        <v>#VALUE!</v>
      </c>
      <c r="GE129" t="e">
        <f>AND('Planilla_General_07-12-2012_8_3'!H1939,"AAAAACl3ero=")</f>
        <v>#VALUE!</v>
      </c>
      <c r="GF129" t="e">
        <f>AND('Planilla_General_07-12-2012_8_3'!I1939,"AAAAACl3ers=")</f>
        <v>#VALUE!</v>
      </c>
      <c r="GG129" t="e">
        <f>AND('Planilla_General_07-12-2012_8_3'!J1939,"AAAAACl3erw=")</f>
        <v>#VALUE!</v>
      </c>
      <c r="GH129" t="e">
        <f>AND('Planilla_General_07-12-2012_8_3'!K1939,"AAAAACl3er0=")</f>
        <v>#VALUE!</v>
      </c>
      <c r="GI129" t="e">
        <f>AND('Planilla_General_07-12-2012_8_3'!L1939,"AAAAACl3er4=")</f>
        <v>#VALUE!</v>
      </c>
      <c r="GJ129" t="e">
        <f>AND('Planilla_General_07-12-2012_8_3'!M1939,"AAAAACl3er8=")</f>
        <v>#VALUE!</v>
      </c>
      <c r="GK129" t="e">
        <f>AND('Planilla_General_07-12-2012_8_3'!N1939,"AAAAACl3esA=")</f>
        <v>#VALUE!</v>
      </c>
      <c r="GL129" t="e">
        <f>AND('Planilla_General_07-12-2012_8_3'!O1939,"AAAAACl3esE=")</f>
        <v>#VALUE!</v>
      </c>
      <c r="GM129" t="e">
        <f>AND('Planilla_General_07-12-2012_8_3'!P1939,"AAAAACl3esI=")</f>
        <v>#VALUE!</v>
      </c>
      <c r="GN129">
        <f>IF('Planilla_General_07-12-2012_8_3'!1940:1940,"AAAAACl3esM=",0)</f>
        <v>0</v>
      </c>
      <c r="GO129" t="e">
        <f>AND('Planilla_General_07-12-2012_8_3'!A1940,"AAAAACl3esQ=")</f>
        <v>#VALUE!</v>
      </c>
      <c r="GP129" t="e">
        <f>AND('Planilla_General_07-12-2012_8_3'!B1940,"AAAAACl3esU=")</f>
        <v>#VALUE!</v>
      </c>
      <c r="GQ129" t="e">
        <f>AND('Planilla_General_07-12-2012_8_3'!C1940,"AAAAACl3esY=")</f>
        <v>#VALUE!</v>
      </c>
      <c r="GR129" t="e">
        <f>AND('Planilla_General_07-12-2012_8_3'!D1940,"AAAAACl3esc=")</f>
        <v>#VALUE!</v>
      </c>
      <c r="GS129" t="e">
        <f>AND('Planilla_General_07-12-2012_8_3'!E1940,"AAAAACl3esg=")</f>
        <v>#VALUE!</v>
      </c>
      <c r="GT129" t="e">
        <f>AND('Planilla_General_07-12-2012_8_3'!F1940,"AAAAACl3esk=")</f>
        <v>#VALUE!</v>
      </c>
      <c r="GU129" t="e">
        <f>AND('Planilla_General_07-12-2012_8_3'!G1940,"AAAAACl3eso=")</f>
        <v>#VALUE!</v>
      </c>
      <c r="GV129" t="e">
        <f>AND('Planilla_General_07-12-2012_8_3'!H1940,"AAAAACl3ess=")</f>
        <v>#VALUE!</v>
      </c>
      <c r="GW129" t="e">
        <f>AND('Planilla_General_07-12-2012_8_3'!I1940,"AAAAACl3esw=")</f>
        <v>#VALUE!</v>
      </c>
      <c r="GX129" t="e">
        <f>AND('Planilla_General_07-12-2012_8_3'!J1940,"AAAAACl3es0=")</f>
        <v>#VALUE!</v>
      </c>
      <c r="GY129" t="e">
        <f>AND('Planilla_General_07-12-2012_8_3'!K1940,"AAAAACl3es4=")</f>
        <v>#VALUE!</v>
      </c>
      <c r="GZ129" t="e">
        <f>AND('Planilla_General_07-12-2012_8_3'!L1940,"AAAAACl3es8=")</f>
        <v>#VALUE!</v>
      </c>
      <c r="HA129" t="e">
        <f>AND('Planilla_General_07-12-2012_8_3'!M1940,"AAAAACl3etA=")</f>
        <v>#VALUE!</v>
      </c>
      <c r="HB129" t="e">
        <f>AND('Planilla_General_07-12-2012_8_3'!N1940,"AAAAACl3etE=")</f>
        <v>#VALUE!</v>
      </c>
      <c r="HC129" t="e">
        <f>AND('Planilla_General_07-12-2012_8_3'!O1940,"AAAAACl3etI=")</f>
        <v>#VALUE!</v>
      </c>
      <c r="HD129" t="e">
        <f>AND('Planilla_General_07-12-2012_8_3'!P1940,"AAAAACl3etM=")</f>
        <v>#VALUE!</v>
      </c>
      <c r="HE129">
        <f>IF('Planilla_General_07-12-2012_8_3'!1941:1941,"AAAAACl3etQ=",0)</f>
        <v>0</v>
      </c>
      <c r="HF129" t="e">
        <f>AND('Planilla_General_07-12-2012_8_3'!A1941,"AAAAACl3etU=")</f>
        <v>#VALUE!</v>
      </c>
      <c r="HG129" t="e">
        <f>AND('Planilla_General_07-12-2012_8_3'!B1941,"AAAAACl3etY=")</f>
        <v>#VALUE!</v>
      </c>
      <c r="HH129" t="e">
        <f>AND('Planilla_General_07-12-2012_8_3'!C1941,"AAAAACl3etc=")</f>
        <v>#VALUE!</v>
      </c>
      <c r="HI129" t="e">
        <f>AND('Planilla_General_07-12-2012_8_3'!D1941,"AAAAACl3etg=")</f>
        <v>#VALUE!</v>
      </c>
      <c r="HJ129" t="e">
        <f>AND('Planilla_General_07-12-2012_8_3'!E1941,"AAAAACl3etk=")</f>
        <v>#VALUE!</v>
      </c>
      <c r="HK129" t="e">
        <f>AND('Planilla_General_07-12-2012_8_3'!F1941,"AAAAACl3eto=")</f>
        <v>#VALUE!</v>
      </c>
      <c r="HL129" t="e">
        <f>AND('Planilla_General_07-12-2012_8_3'!G1941,"AAAAACl3ets=")</f>
        <v>#VALUE!</v>
      </c>
      <c r="HM129" t="e">
        <f>AND('Planilla_General_07-12-2012_8_3'!H1941,"AAAAACl3etw=")</f>
        <v>#VALUE!</v>
      </c>
      <c r="HN129" t="e">
        <f>AND('Planilla_General_07-12-2012_8_3'!I1941,"AAAAACl3et0=")</f>
        <v>#VALUE!</v>
      </c>
      <c r="HO129" t="e">
        <f>AND('Planilla_General_07-12-2012_8_3'!J1941,"AAAAACl3et4=")</f>
        <v>#VALUE!</v>
      </c>
      <c r="HP129" t="e">
        <f>AND('Planilla_General_07-12-2012_8_3'!K1941,"AAAAACl3et8=")</f>
        <v>#VALUE!</v>
      </c>
      <c r="HQ129" t="e">
        <f>AND('Planilla_General_07-12-2012_8_3'!L1941,"AAAAACl3euA=")</f>
        <v>#VALUE!</v>
      </c>
      <c r="HR129" t="e">
        <f>AND('Planilla_General_07-12-2012_8_3'!M1941,"AAAAACl3euE=")</f>
        <v>#VALUE!</v>
      </c>
      <c r="HS129" t="e">
        <f>AND('Planilla_General_07-12-2012_8_3'!N1941,"AAAAACl3euI=")</f>
        <v>#VALUE!</v>
      </c>
      <c r="HT129" t="e">
        <f>AND('Planilla_General_07-12-2012_8_3'!O1941,"AAAAACl3euM=")</f>
        <v>#VALUE!</v>
      </c>
      <c r="HU129" t="e">
        <f>AND('Planilla_General_07-12-2012_8_3'!P1941,"AAAAACl3euQ=")</f>
        <v>#VALUE!</v>
      </c>
      <c r="HV129">
        <f>IF('Planilla_General_07-12-2012_8_3'!1942:1942,"AAAAACl3euU=",0)</f>
        <v>0</v>
      </c>
      <c r="HW129" t="e">
        <f>AND('Planilla_General_07-12-2012_8_3'!A1942,"AAAAACl3euY=")</f>
        <v>#VALUE!</v>
      </c>
      <c r="HX129" t="e">
        <f>AND('Planilla_General_07-12-2012_8_3'!B1942,"AAAAACl3euc=")</f>
        <v>#VALUE!</v>
      </c>
      <c r="HY129" t="e">
        <f>AND('Planilla_General_07-12-2012_8_3'!C1942,"AAAAACl3eug=")</f>
        <v>#VALUE!</v>
      </c>
      <c r="HZ129" t="e">
        <f>AND('Planilla_General_07-12-2012_8_3'!D1942,"AAAAACl3euk=")</f>
        <v>#VALUE!</v>
      </c>
      <c r="IA129" t="e">
        <f>AND('Planilla_General_07-12-2012_8_3'!E1942,"AAAAACl3euo=")</f>
        <v>#VALUE!</v>
      </c>
      <c r="IB129" t="e">
        <f>AND('Planilla_General_07-12-2012_8_3'!F1942,"AAAAACl3eus=")</f>
        <v>#VALUE!</v>
      </c>
      <c r="IC129" t="e">
        <f>AND('Planilla_General_07-12-2012_8_3'!G1942,"AAAAACl3euw=")</f>
        <v>#VALUE!</v>
      </c>
      <c r="ID129" t="e">
        <f>AND('Planilla_General_07-12-2012_8_3'!H1942,"AAAAACl3eu0=")</f>
        <v>#VALUE!</v>
      </c>
      <c r="IE129" t="e">
        <f>AND('Planilla_General_07-12-2012_8_3'!I1942,"AAAAACl3eu4=")</f>
        <v>#VALUE!</v>
      </c>
      <c r="IF129" t="e">
        <f>AND('Planilla_General_07-12-2012_8_3'!J1942,"AAAAACl3eu8=")</f>
        <v>#VALUE!</v>
      </c>
      <c r="IG129" t="e">
        <f>AND('Planilla_General_07-12-2012_8_3'!K1942,"AAAAACl3evA=")</f>
        <v>#VALUE!</v>
      </c>
      <c r="IH129" t="e">
        <f>AND('Planilla_General_07-12-2012_8_3'!L1942,"AAAAACl3evE=")</f>
        <v>#VALUE!</v>
      </c>
      <c r="II129" t="e">
        <f>AND('Planilla_General_07-12-2012_8_3'!M1942,"AAAAACl3evI=")</f>
        <v>#VALUE!</v>
      </c>
      <c r="IJ129" t="e">
        <f>AND('Planilla_General_07-12-2012_8_3'!N1942,"AAAAACl3evM=")</f>
        <v>#VALUE!</v>
      </c>
      <c r="IK129" t="e">
        <f>AND('Planilla_General_07-12-2012_8_3'!O1942,"AAAAACl3evQ=")</f>
        <v>#VALUE!</v>
      </c>
      <c r="IL129" t="e">
        <f>AND('Planilla_General_07-12-2012_8_3'!P1942,"AAAAACl3evU=")</f>
        <v>#VALUE!</v>
      </c>
      <c r="IM129">
        <f>IF('Planilla_General_07-12-2012_8_3'!1943:1943,"AAAAACl3evY=",0)</f>
        <v>0</v>
      </c>
      <c r="IN129" t="e">
        <f>AND('Planilla_General_07-12-2012_8_3'!A1943,"AAAAACl3evc=")</f>
        <v>#VALUE!</v>
      </c>
      <c r="IO129" t="e">
        <f>AND('Planilla_General_07-12-2012_8_3'!B1943,"AAAAACl3evg=")</f>
        <v>#VALUE!</v>
      </c>
      <c r="IP129" t="e">
        <f>AND('Planilla_General_07-12-2012_8_3'!C1943,"AAAAACl3evk=")</f>
        <v>#VALUE!</v>
      </c>
      <c r="IQ129" t="e">
        <f>AND('Planilla_General_07-12-2012_8_3'!D1943,"AAAAACl3evo=")</f>
        <v>#VALUE!</v>
      </c>
      <c r="IR129" t="e">
        <f>AND('Planilla_General_07-12-2012_8_3'!E1943,"AAAAACl3evs=")</f>
        <v>#VALUE!</v>
      </c>
      <c r="IS129" t="e">
        <f>AND('Planilla_General_07-12-2012_8_3'!F1943,"AAAAACl3evw=")</f>
        <v>#VALUE!</v>
      </c>
      <c r="IT129" t="e">
        <f>AND('Planilla_General_07-12-2012_8_3'!G1943,"AAAAACl3ev0=")</f>
        <v>#VALUE!</v>
      </c>
      <c r="IU129" t="e">
        <f>AND('Planilla_General_07-12-2012_8_3'!H1943,"AAAAACl3ev4=")</f>
        <v>#VALUE!</v>
      </c>
      <c r="IV129" t="e">
        <f>AND('Planilla_General_07-12-2012_8_3'!I1943,"AAAAACl3ev8=")</f>
        <v>#VALUE!</v>
      </c>
    </row>
    <row r="130" spans="1:256" x14ac:dyDescent="0.25">
      <c r="A130" t="e">
        <f>AND('Planilla_General_07-12-2012_8_3'!J1943,"AAAAADefTwA=")</f>
        <v>#VALUE!</v>
      </c>
      <c r="B130" t="e">
        <f>AND('Planilla_General_07-12-2012_8_3'!K1943,"AAAAADefTwE=")</f>
        <v>#VALUE!</v>
      </c>
      <c r="C130" t="e">
        <f>AND('Planilla_General_07-12-2012_8_3'!L1943,"AAAAADefTwI=")</f>
        <v>#VALUE!</v>
      </c>
      <c r="D130" t="e">
        <f>AND('Planilla_General_07-12-2012_8_3'!M1943,"AAAAADefTwM=")</f>
        <v>#VALUE!</v>
      </c>
      <c r="E130" t="e">
        <f>AND('Planilla_General_07-12-2012_8_3'!N1943,"AAAAADefTwQ=")</f>
        <v>#VALUE!</v>
      </c>
      <c r="F130" t="e">
        <f>AND('Planilla_General_07-12-2012_8_3'!O1943,"AAAAADefTwU=")</f>
        <v>#VALUE!</v>
      </c>
      <c r="G130" t="e">
        <f>AND('Planilla_General_07-12-2012_8_3'!P1943,"AAAAADefTwY=")</f>
        <v>#VALUE!</v>
      </c>
      <c r="H130" t="e">
        <f>IF('Planilla_General_07-12-2012_8_3'!1944:1944,"AAAAADefTwc=",0)</f>
        <v>#VALUE!</v>
      </c>
      <c r="I130" t="e">
        <f>AND('Planilla_General_07-12-2012_8_3'!A1944,"AAAAADefTwg=")</f>
        <v>#VALUE!</v>
      </c>
      <c r="J130" t="e">
        <f>AND('Planilla_General_07-12-2012_8_3'!B1944,"AAAAADefTwk=")</f>
        <v>#VALUE!</v>
      </c>
      <c r="K130" t="e">
        <f>AND('Planilla_General_07-12-2012_8_3'!C1944,"AAAAADefTwo=")</f>
        <v>#VALUE!</v>
      </c>
      <c r="L130" t="e">
        <f>AND('Planilla_General_07-12-2012_8_3'!D1944,"AAAAADefTws=")</f>
        <v>#VALUE!</v>
      </c>
      <c r="M130" t="e">
        <f>AND('Planilla_General_07-12-2012_8_3'!E1944,"AAAAADefTww=")</f>
        <v>#VALUE!</v>
      </c>
      <c r="N130" t="e">
        <f>AND('Planilla_General_07-12-2012_8_3'!F1944,"AAAAADefTw0=")</f>
        <v>#VALUE!</v>
      </c>
      <c r="O130" t="e">
        <f>AND('Planilla_General_07-12-2012_8_3'!G1944,"AAAAADefTw4=")</f>
        <v>#VALUE!</v>
      </c>
      <c r="P130" t="e">
        <f>AND('Planilla_General_07-12-2012_8_3'!H1944,"AAAAADefTw8=")</f>
        <v>#VALUE!</v>
      </c>
      <c r="Q130" t="e">
        <f>AND('Planilla_General_07-12-2012_8_3'!I1944,"AAAAADefTxA=")</f>
        <v>#VALUE!</v>
      </c>
      <c r="R130" t="e">
        <f>AND('Planilla_General_07-12-2012_8_3'!J1944,"AAAAADefTxE=")</f>
        <v>#VALUE!</v>
      </c>
      <c r="S130" t="e">
        <f>AND('Planilla_General_07-12-2012_8_3'!K1944,"AAAAADefTxI=")</f>
        <v>#VALUE!</v>
      </c>
      <c r="T130" t="e">
        <f>AND('Planilla_General_07-12-2012_8_3'!L1944,"AAAAADefTxM=")</f>
        <v>#VALUE!</v>
      </c>
      <c r="U130" t="e">
        <f>AND('Planilla_General_07-12-2012_8_3'!M1944,"AAAAADefTxQ=")</f>
        <v>#VALUE!</v>
      </c>
      <c r="V130" t="e">
        <f>AND('Planilla_General_07-12-2012_8_3'!N1944,"AAAAADefTxU=")</f>
        <v>#VALUE!</v>
      </c>
      <c r="W130" t="e">
        <f>AND('Planilla_General_07-12-2012_8_3'!O1944,"AAAAADefTxY=")</f>
        <v>#VALUE!</v>
      </c>
      <c r="X130" t="e">
        <f>AND('Planilla_General_07-12-2012_8_3'!P1944,"AAAAADefTxc=")</f>
        <v>#VALUE!</v>
      </c>
      <c r="Y130">
        <f>IF('Planilla_General_07-12-2012_8_3'!1945:1945,"AAAAADefTxg=",0)</f>
        <v>0</v>
      </c>
      <c r="Z130" t="e">
        <f>AND('Planilla_General_07-12-2012_8_3'!A1945,"AAAAADefTxk=")</f>
        <v>#VALUE!</v>
      </c>
      <c r="AA130" t="e">
        <f>AND('Planilla_General_07-12-2012_8_3'!B1945,"AAAAADefTxo=")</f>
        <v>#VALUE!</v>
      </c>
      <c r="AB130" t="e">
        <f>AND('Planilla_General_07-12-2012_8_3'!C1945,"AAAAADefTxs=")</f>
        <v>#VALUE!</v>
      </c>
      <c r="AC130" t="e">
        <f>AND('Planilla_General_07-12-2012_8_3'!D1945,"AAAAADefTxw=")</f>
        <v>#VALUE!</v>
      </c>
      <c r="AD130" t="e">
        <f>AND('Planilla_General_07-12-2012_8_3'!E1945,"AAAAADefTx0=")</f>
        <v>#VALUE!</v>
      </c>
      <c r="AE130" t="e">
        <f>AND('Planilla_General_07-12-2012_8_3'!F1945,"AAAAADefTx4=")</f>
        <v>#VALUE!</v>
      </c>
      <c r="AF130" t="e">
        <f>AND('Planilla_General_07-12-2012_8_3'!G1945,"AAAAADefTx8=")</f>
        <v>#VALUE!</v>
      </c>
      <c r="AG130" t="e">
        <f>AND('Planilla_General_07-12-2012_8_3'!H1945,"AAAAADefTyA=")</f>
        <v>#VALUE!</v>
      </c>
      <c r="AH130" t="e">
        <f>AND('Planilla_General_07-12-2012_8_3'!I1945,"AAAAADefTyE=")</f>
        <v>#VALUE!</v>
      </c>
      <c r="AI130" t="e">
        <f>AND('Planilla_General_07-12-2012_8_3'!J1945,"AAAAADefTyI=")</f>
        <v>#VALUE!</v>
      </c>
      <c r="AJ130" t="e">
        <f>AND('Planilla_General_07-12-2012_8_3'!K1945,"AAAAADefTyM=")</f>
        <v>#VALUE!</v>
      </c>
      <c r="AK130" t="e">
        <f>AND('Planilla_General_07-12-2012_8_3'!L1945,"AAAAADefTyQ=")</f>
        <v>#VALUE!</v>
      </c>
      <c r="AL130" t="e">
        <f>AND('Planilla_General_07-12-2012_8_3'!M1945,"AAAAADefTyU=")</f>
        <v>#VALUE!</v>
      </c>
      <c r="AM130" t="e">
        <f>AND('Planilla_General_07-12-2012_8_3'!N1945,"AAAAADefTyY=")</f>
        <v>#VALUE!</v>
      </c>
      <c r="AN130" t="e">
        <f>AND('Planilla_General_07-12-2012_8_3'!O1945,"AAAAADefTyc=")</f>
        <v>#VALUE!</v>
      </c>
      <c r="AO130" t="e">
        <f>AND('Planilla_General_07-12-2012_8_3'!P1945,"AAAAADefTyg=")</f>
        <v>#VALUE!</v>
      </c>
      <c r="AP130">
        <f>IF('Planilla_General_07-12-2012_8_3'!1946:1946,"AAAAADefTyk=",0)</f>
        <v>0</v>
      </c>
      <c r="AQ130" t="e">
        <f>AND('Planilla_General_07-12-2012_8_3'!A1946,"AAAAADefTyo=")</f>
        <v>#VALUE!</v>
      </c>
      <c r="AR130" t="e">
        <f>AND('Planilla_General_07-12-2012_8_3'!B1946,"AAAAADefTys=")</f>
        <v>#VALUE!</v>
      </c>
      <c r="AS130" t="e">
        <f>AND('Planilla_General_07-12-2012_8_3'!C1946,"AAAAADefTyw=")</f>
        <v>#VALUE!</v>
      </c>
      <c r="AT130" t="e">
        <f>AND('Planilla_General_07-12-2012_8_3'!D1946,"AAAAADefTy0=")</f>
        <v>#VALUE!</v>
      </c>
      <c r="AU130" t="e">
        <f>AND('Planilla_General_07-12-2012_8_3'!E1946,"AAAAADefTy4=")</f>
        <v>#VALUE!</v>
      </c>
      <c r="AV130" t="e">
        <f>AND('Planilla_General_07-12-2012_8_3'!F1946,"AAAAADefTy8=")</f>
        <v>#VALUE!</v>
      </c>
      <c r="AW130" t="e">
        <f>AND('Planilla_General_07-12-2012_8_3'!G1946,"AAAAADefTzA=")</f>
        <v>#VALUE!</v>
      </c>
      <c r="AX130" t="e">
        <f>AND('Planilla_General_07-12-2012_8_3'!H1946,"AAAAADefTzE=")</f>
        <v>#VALUE!</v>
      </c>
      <c r="AY130" t="e">
        <f>AND('Planilla_General_07-12-2012_8_3'!I1946,"AAAAADefTzI=")</f>
        <v>#VALUE!</v>
      </c>
      <c r="AZ130" t="e">
        <f>AND('Planilla_General_07-12-2012_8_3'!J1946,"AAAAADefTzM=")</f>
        <v>#VALUE!</v>
      </c>
      <c r="BA130" t="e">
        <f>AND('Planilla_General_07-12-2012_8_3'!K1946,"AAAAADefTzQ=")</f>
        <v>#VALUE!</v>
      </c>
      <c r="BB130" t="e">
        <f>AND('Planilla_General_07-12-2012_8_3'!L1946,"AAAAADefTzU=")</f>
        <v>#VALUE!</v>
      </c>
      <c r="BC130" t="e">
        <f>AND('Planilla_General_07-12-2012_8_3'!M1946,"AAAAADefTzY=")</f>
        <v>#VALUE!</v>
      </c>
      <c r="BD130" t="e">
        <f>AND('Planilla_General_07-12-2012_8_3'!N1946,"AAAAADefTzc=")</f>
        <v>#VALUE!</v>
      </c>
      <c r="BE130" t="e">
        <f>AND('Planilla_General_07-12-2012_8_3'!O1946,"AAAAADefTzg=")</f>
        <v>#VALUE!</v>
      </c>
      <c r="BF130" t="e">
        <f>AND('Planilla_General_07-12-2012_8_3'!P1946,"AAAAADefTzk=")</f>
        <v>#VALUE!</v>
      </c>
      <c r="BG130">
        <f>IF('Planilla_General_07-12-2012_8_3'!1947:1947,"AAAAADefTzo=",0)</f>
        <v>0</v>
      </c>
      <c r="BH130" t="e">
        <f>AND('Planilla_General_07-12-2012_8_3'!A1947,"AAAAADefTzs=")</f>
        <v>#VALUE!</v>
      </c>
      <c r="BI130" t="e">
        <f>AND('Planilla_General_07-12-2012_8_3'!B1947,"AAAAADefTzw=")</f>
        <v>#VALUE!</v>
      </c>
      <c r="BJ130" t="e">
        <f>AND('Planilla_General_07-12-2012_8_3'!C1947,"AAAAADefTz0=")</f>
        <v>#VALUE!</v>
      </c>
      <c r="BK130" t="e">
        <f>AND('Planilla_General_07-12-2012_8_3'!D1947,"AAAAADefTz4=")</f>
        <v>#VALUE!</v>
      </c>
      <c r="BL130" t="e">
        <f>AND('Planilla_General_07-12-2012_8_3'!E1947,"AAAAADefTz8=")</f>
        <v>#VALUE!</v>
      </c>
      <c r="BM130" t="e">
        <f>AND('Planilla_General_07-12-2012_8_3'!F1947,"AAAAADefT0A=")</f>
        <v>#VALUE!</v>
      </c>
      <c r="BN130" t="e">
        <f>AND('Planilla_General_07-12-2012_8_3'!G1947,"AAAAADefT0E=")</f>
        <v>#VALUE!</v>
      </c>
      <c r="BO130" t="e">
        <f>AND('Planilla_General_07-12-2012_8_3'!H1947,"AAAAADefT0I=")</f>
        <v>#VALUE!</v>
      </c>
      <c r="BP130" t="e">
        <f>AND('Planilla_General_07-12-2012_8_3'!I1947,"AAAAADefT0M=")</f>
        <v>#VALUE!</v>
      </c>
      <c r="BQ130" t="e">
        <f>AND('Planilla_General_07-12-2012_8_3'!J1947,"AAAAADefT0Q=")</f>
        <v>#VALUE!</v>
      </c>
      <c r="BR130" t="e">
        <f>AND('Planilla_General_07-12-2012_8_3'!K1947,"AAAAADefT0U=")</f>
        <v>#VALUE!</v>
      </c>
      <c r="BS130" t="e">
        <f>AND('Planilla_General_07-12-2012_8_3'!L1947,"AAAAADefT0Y=")</f>
        <v>#VALUE!</v>
      </c>
      <c r="BT130" t="e">
        <f>AND('Planilla_General_07-12-2012_8_3'!M1947,"AAAAADefT0c=")</f>
        <v>#VALUE!</v>
      </c>
      <c r="BU130" t="e">
        <f>AND('Planilla_General_07-12-2012_8_3'!N1947,"AAAAADefT0g=")</f>
        <v>#VALUE!</v>
      </c>
      <c r="BV130" t="e">
        <f>AND('Planilla_General_07-12-2012_8_3'!O1947,"AAAAADefT0k=")</f>
        <v>#VALUE!</v>
      </c>
      <c r="BW130" t="e">
        <f>AND('Planilla_General_07-12-2012_8_3'!P1947,"AAAAADefT0o=")</f>
        <v>#VALUE!</v>
      </c>
      <c r="BX130">
        <f>IF('Planilla_General_07-12-2012_8_3'!1948:1948,"AAAAADefT0s=",0)</f>
        <v>0</v>
      </c>
      <c r="BY130" t="e">
        <f>AND('Planilla_General_07-12-2012_8_3'!A1948,"AAAAADefT0w=")</f>
        <v>#VALUE!</v>
      </c>
      <c r="BZ130" t="e">
        <f>AND('Planilla_General_07-12-2012_8_3'!B1948,"AAAAADefT00=")</f>
        <v>#VALUE!</v>
      </c>
      <c r="CA130" t="e">
        <f>AND('Planilla_General_07-12-2012_8_3'!C1948,"AAAAADefT04=")</f>
        <v>#VALUE!</v>
      </c>
      <c r="CB130" t="e">
        <f>AND('Planilla_General_07-12-2012_8_3'!D1948,"AAAAADefT08=")</f>
        <v>#VALUE!</v>
      </c>
      <c r="CC130" t="e">
        <f>AND('Planilla_General_07-12-2012_8_3'!E1948,"AAAAADefT1A=")</f>
        <v>#VALUE!</v>
      </c>
      <c r="CD130" t="e">
        <f>AND('Planilla_General_07-12-2012_8_3'!F1948,"AAAAADefT1E=")</f>
        <v>#VALUE!</v>
      </c>
      <c r="CE130" t="e">
        <f>AND('Planilla_General_07-12-2012_8_3'!G1948,"AAAAADefT1I=")</f>
        <v>#VALUE!</v>
      </c>
      <c r="CF130" t="e">
        <f>AND('Planilla_General_07-12-2012_8_3'!H1948,"AAAAADefT1M=")</f>
        <v>#VALUE!</v>
      </c>
      <c r="CG130" t="e">
        <f>AND('Planilla_General_07-12-2012_8_3'!I1948,"AAAAADefT1Q=")</f>
        <v>#VALUE!</v>
      </c>
      <c r="CH130" t="e">
        <f>AND('Planilla_General_07-12-2012_8_3'!J1948,"AAAAADefT1U=")</f>
        <v>#VALUE!</v>
      </c>
      <c r="CI130" t="e">
        <f>AND('Planilla_General_07-12-2012_8_3'!K1948,"AAAAADefT1Y=")</f>
        <v>#VALUE!</v>
      </c>
      <c r="CJ130" t="e">
        <f>AND('Planilla_General_07-12-2012_8_3'!L1948,"AAAAADefT1c=")</f>
        <v>#VALUE!</v>
      </c>
      <c r="CK130" t="e">
        <f>AND('Planilla_General_07-12-2012_8_3'!M1948,"AAAAADefT1g=")</f>
        <v>#VALUE!</v>
      </c>
      <c r="CL130" t="e">
        <f>AND('Planilla_General_07-12-2012_8_3'!N1948,"AAAAADefT1k=")</f>
        <v>#VALUE!</v>
      </c>
      <c r="CM130" t="e">
        <f>AND('Planilla_General_07-12-2012_8_3'!O1948,"AAAAADefT1o=")</f>
        <v>#VALUE!</v>
      </c>
      <c r="CN130" t="e">
        <f>AND('Planilla_General_07-12-2012_8_3'!P1948,"AAAAADefT1s=")</f>
        <v>#VALUE!</v>
      </c>
      <c r="CO130">
        <f>IF('Planilla_General_07-12-2012_8_3'!1949:1949,"AAAAADefT1w=",0)</f>
        <v>0</v>
      </c>
      <c r="CP130" t="e">
        <f>AND('Planilla_General_07-12-2012_8_3'!A1949,"AAAAADefT10=")</f>
        <v>#VALUE!</v>
      </c>
      <c r="CQ130" t="e">
        <f>AND('Planilla_General_07-12-2012_8_3'!B1949,"AAAAADefT14=")</f>
        <v>#VALUE!</v>
      </c>
      <c r="CR130" t="e">
        <f>AND('Planilla_General_07-12-2012_8_3'!C1949,"AAAAADefT18=")</f>
        <v>#VALUE!</v>
      </c>
      <c r="CS130" t="e">
        <f>AND('Planilla_General_07-12-2012_8_3'!D1949,"AAAAADefT2A=")</f>
        <v>#VALUE!</v>
      </c>
      <c r="CT130" t="e">
        <f>AND('Planilla_General_07-12-2012_8_3'!E1949,"AAAAADefT2E=")</f>
        <v>#VALUE!</v>
      </c>
      <c r="CU130" t="e">
        <f>AND('Planilla_General_07-12-2012_8_3'!F1949,"AAAAADefT2I=")</f>
        <v>#VALUE!</v>
      </c>
      <c r="CV130" t="e">
        <f>AND('Planilla_General_07-12-2012_8_3'!G1949,"AAAAADefT2M=")</f>
        <v>#VALUE!</v>
      </c>
      <c r="CW130" t="e">
        <f>AND('Planilla_General_07-12-2012_8_3'!H1949,"AAAAADefT2Q=")</f>
        <v>#VALUE!</v>
      </c>
      <c r="CX130" t="e">
        <f>AND('Planilla_General_07-12-2012_8_3'!I1949,"AAAAADefT2U=")</f>
        <v>#VALUE!</v>
      </c>
      <c r="CY130" t="e">
        <f>AND('Planilla_General_07-12-2012_8_3'!J1949,"AAAAADefT2Y=")</f>
        <v>#VALUE!</v>
      </c>
      <c r="CZ130" t="e">
        <f>AND('Planilla_General_07-12-2012_8_3'!K1949,"AAAAADefT2c=")</f>
        <v>#VALUE!</v>
      </c>
      <c r="DA130" t="e">
        <f>AND('Planilla_General_07-12-2012_8_3'!L1949,"AAAAADefT2g=")</f>
        <v>#VALUE!</v>
      </c>
      <c r="DB130" t="e">
        <f>AND('Planilla_General_07-12-2012_8_3'!M1949,"AAAAADefT2k=")</f>
        <v>#VALUE!</v>
      </c>
      <c r="DC130" t="e">
        <f>AND('Planilla_General_07-12-2012_8_3'!N1949,"AAAAADefT2o=")</f>
        <v>#VALUE!</v>
      </c>
      <c r="DD130" t="e">
        <f>AND('Planilla_General_07-12-2012_8_3'!O1949,"AAAAADefT2s=")</f>
        <v>#VALUE!</v>
      </c>
      <c r="DE130" t="e">
        <f>AND('Planilla_General_07-12-2012_8_3'!P1949,"AAAAADefT2w=")</f>
        <v>#VALUE!</v>
      </c>
      <c r="DF130">
        <f>IF('Planilla_General_07-12-2012_8_3'!1950:1950,"AAAAADefT20=",0)</f>
        <v>0</v>
      </c>
      <c r="DG130" t="e">
        <f>AND('Planilla_General_07-12-2012_8_3'!A1950,"AAAAADefT24=")</f>
        <v>#VALUE!</v>
      </c>
      <c r="DH130" t="e">
        <f>AND('Planilla_General_07-12-2012_8_3'!B1950,"AAAAADefT28=")</f>
        <v>#VALUE!</v>
      </c>
      <c r="DI130" t="e">
        <f>AND('Planilla_General_07-12-2012_8_3'!C1950,"AAAAADefT3A=")</f>
        <v>#VALUE!</v>
      </c>
      <c r="DJ130" t="e">
        <f>AND('Planilla_General_07-12-2012_8_3'!D1950,"AAAAADefT3E=")</f>
        <v>#VALUE!</v>
      </c>
      <c r="DK130" t="e">
        <f>AND('Planilla_General_07-12-2012_8_3'!E1950,"AAAAADefT3I=")</f>
        <v>#VALUE!</v>
      </c>
      <c r="DL130" t="e">
        <f>AND('Planilla_General_07-12-2012_8_3'!F1950,"AAAAADefT3M=")</f>
        <v>#VALUE!</v>
      </c>
      <c r="DM130" t="e">
        <f>AND('Planilla_General_07-12-2012_8_3'!G1950,"AAAAADefT3Q=")</f>
        <v>#VALUE!</v>
      </c>
      <c r="DN130" t="e">
        <f>AND('Planilla_General_07-12-2012_8_3'!H1950,"AAAAADefT3U=")</f>
        <v>#VALUE!</v>
      </c>
      <c r="DO130" t="e">
        <f>AND('Planilla_General_07-12-2012_8_3'!I1950,"AAAAADefT3Y=")</f>
        <v>#VALUE!</v>
      </c>
      <c r="DP130" t="e">
        <f>AND('Planilla_General_07-12-2012_8_3'!J1950,"AAAAADefT3c=")</f>
        <v>#VALUE!</v>
      </c>
      <c r="DQ130" t="e">
        <f>AND('Planilla_General_07-12-2012_8_3'!K1950,"AAAAADefT3g=")</f>
        <v>#VALUE!</v>
      </c>
      <c r="DR130" t="e">
        <f>AND('Planilla_General_07-12-2012_8_3'!L1950,"AAAAADefT3k=")</f>
        <v>#VALUE!</v>
      </c>
      <c r="DS130" t="e">
        <f>AND('Planilla_General_07-12-2012_8_3'!M1950,"AAAAADefT3o=")</f>
        <v>#VALUE!</v>
      </c>
      <c r="DT130" t="e">
        <f>AND('Planilla_General_07-12-2012_8_3'!N1950,"AAAAADefT3s=")</f>
        <v>#VALUE!</v>
      </c>
      <c r="DU130" t="e">
        <f>AND('Planilla_General_07-12-2012_8_3'!O1950,"AAAAADefT3w=")</f>
        <v>#VALUE!</v>
      </c>
      <c r="DV130" t="e">
        <f>AND('Planilla_General_07-12-2012_8_3'!P1950,"AAAAADefT30=")</f>
        <v>#VALUE!</v>
      </c>
      <c r="DW130">
        <f>IF('Planilla_General_07-12-2012_8_3'!1951:1951,"AAAAADefT34=",0)</f>
        <v>0</v>
      </c>
      <c r="DX130" t="e">
        <f>AND('Planilla_General_07-12-2012_8_3'!A1951,"AAAAADefT38=")</f>
        <v>#VALUE!</v>
      </c>
      <c r="DY130" t="e">
        <f>AND('Planilla_General_07-12-2012_8_3'!B1951,"AAAAADefT4A=")</f>
        <v>#VALUE!</v>
      </c>
      <c r="DZ130" t="e">
        <f>AND('Planilla_General_07-12-2012_8_3'!C1951,"AAAAADefT4E=")</f>
        <v>#VALUE!</v>
      </c>
      <c r="EA130" t="e">
        <f>AND('Planilla_General_07-12-2012_8_3'!D1951,"AAAAADefT4I=")</f>
        <v>#VALUE!</v>
      </c>
      <c r="EB130" t="e">
        <f>AND('Planilla_General_07-12-2012_8_3'!E1951,"AAAAADefT4M=")</f>
        <v>#VALUE!</v>
      </c>
      <c r="EC130" t="e">
        <f>AND('Planilla_General_07-12-2012_8_3'!F1951,"AAAAADefT4Q=")</f>
        <v>#VALUE!</v>
      </c>
      <c r="ED130" t="e">
        <f>AND('Planilla_General_07-12-2012_8_3'!G1951,"AAAAADefT4U=")</f>
        <v>#VALUE!</v>
      </c>
      <c r="EE130" t="e">
        <f>AND('Planilla_General_07-12-2012_8_3'!H1951,"AAAAADefT4Y=")</f>
        <v>#VALUE!</v>
      </c>
      <c r="EF130" t="e">
        <f>AND('Planilla_General_07-12-2012_8_3'!I1951,"AAAAADefT4c=")</f>
        <v>#VALUE!</v>
      </c>
      <c r="EG130" t="e">
        <f>AND('Planilla_General_07-12-2012_8_3'!J1951,"AAAAADefT4g=")</f>
        <v>#VALUE!</v>
      </c>
      <c r="EH130" t="e">
        <f>AND('Planilla_General_07-12-2012_8_3'!K1951,"AAAAADefT4k=")</f>
        <v>#VALUE!</v>
      </c>
      <c r="EI130" t="e">
        <f>AND('Planilla_General_07-12-2012_8_3'!L1951,"AAAAADefT4o=")</f>
        <v>#VALUE!</v>
      </c>
      <c r="EJ130" t="e">
        <f>AND('Planilla_General_07-12-2012_8_3'!M1951,"AAAAADefT4s=")</f>
        <v>#VALUE!</v>
      </c>
      <c r="EK130" t="e">
        <f>AND('Planilla_General_07-12-2012_8_3'!N1951,"AAAAADefT4w=")</f>
        <v>#VALUE!</v>
      </c>
      <c r="EL130" t="e">
        <f>AND('Planilla_General_07-12-2012_8_3'!O1951,"AAAAADefT40=")</f>
        <v>#VALUE!</v>
      </c>
      <c r="EM130" t="e">
        <f>AND('Planilla_General_07-12-2012_8_3'!P1951,"AAAAADefT44=")</f>
        <v>#VALUE!</v>
      </c>
      <c r="EN130">
        <f>IF('Planilla_General_07-12-2012_8_3'!1952:1952,"AAAAADefT48=",0)</f>
        <v>0</v>
      </c>
      <c r="EO130" t="e">
        <f>AND('Planilla_General_07-12-2012_8_3'!A1952,"AAAAADefT5A=")</f>
        <v>#VALUE!</v>
      </c>
      <c r="EP130" t="e">
        <f>AND('Planilla_General_07-12-2012_8_3'!B1952,"AAAAADefT5E=")</f>
        <v>#VALUE!</v>
      </c>
      <c r="EQ130" t="e">
        <f>AND('Planilla_General_07-12-2012_8_3'!C1952,"AAAAADefT5I=")</f>
        <v>#VALUE!</v>
      </c>
      <c r="ER130" t="e">
        <f>AND('Planilla_General_07-12-2012_8_3'!D1952,"AAAAADefT5M=")</f>
        <v>#VALUE!</v>
      </c>
      <c r="ES130" t="e">
        <f>AND('Planilla_General_07-12-2012_8_3'!E1952,"AAAAADefT5Q=")</f>
        <v>#VALUE!</v>
      </c>
      <c r="ET130" t="e">
        <f>AND('Planilla_General_07-12-2012_8_3'!F1952,"AAAAADefT5U=")</f>
        <v>#VALUE!</v>
      </c>
      <c r="EU130" t="e">
        <f>AND('Planilla_General_07-12-2012_8_3'!G1952,"AAAAADefT5Y=")</f>
        <v>#VALUE!</v>
      </c>
      <c r="EV130" t="e">
        <f>AND('Planilla_General_07-12-2012_8_3'!H1952,"AAAAADefT5c=")</f>
        <v>#VALUE!</v>
      </c>
      <c r="EW130" t="e">
        <f>AND('Planilla_General_07-12-2012_8_3'!I1952,"AAAAADefT5g=")</f>
        <v>#VALUE!</v>
      </c>
      <c r="EX130" t="e">
        <f>AND('Planilla_General_07-12-2012_8_3'!J1952,"AAAAADefT5k=")</f>
        <v>#VALUE!</v>
      </c>
      <c r="EY130" t="e">
        <f>AND('Planilla_General_07-12-2012_8_3'!K1952,"AAAAADefT5o=")</f>
        <v>#VALUE!</v>
      </c>
      <c r="EZ130" t="e">
        <f>AND('Planilla_General_07-12-2012_8_3'!L1952,"AAAAADefT5s=")</f>
        <v>#VALUE!</v>
      </c>
      <c r="FA130" t="e">
        <f>AND('Planilla_General_07-12-2012_8_3'!M1952,"AAAAADefT5w=")</f>
        <v>#VALUE!</v>
      </c>
      <c r="FB130" t="e">
        <f>AND('Planilla_General_07-12-2012_8_3'!N1952,"AAAAADefT50=")</f>
        <v>#VALUE!</v>
      </c>
      <c r="FC130" t="e">
        <f>AND('Planilla_General_07-12-2012_8_3'!O1952,"AAAAADefT54=")</f>
        <v>#VALUE!</v>
      </c>
      <c r="FD130" t="e">
        <f>AND('Planilla_General_07-12-2012_8_3'!P1952,"AAAAADefT58=")</f>
        <v>#VALUE!</v>
      </c>
      <c r="FE130">
        <f>IF('Planilla_General_07-12-2012_8_3'!1953:1953,"AAAAADefT6A=",0)</f>
        <v>0</v>
      </c>
      <c r="FF130" t="e">
        <f>AND('Planilla_General_07-12-2012_8_3'!A1953,"AAAAADefT6E=")</f>
        <v>#VALUE!</v>
      </c>
      <c r="FG130" t="e">
        <f>AND('Planilla_General_07-12-2012_8_3'!B1953,"AAAAADefT6I=")</f>
        <v>#VALUE!</v>
      </c>
      <c r="FH130" t="e">
        <f>AND('Planilla_General_07-12-2012_8_3'!C1953,"AAAAADefT6M=")</f>
        <v>#VALUE!</v>
      </c>
      <c r="FI130" t="e">
        <f>AND('Planilla_General_07-12-2012_8_3'!D1953,"AAAAADefT6Q=")</f>
        <v>#VALUE!</v>
      </c>
      <c r="FJ130" t="e">
        <f>AND('Planilla_General_07-12-2012_8_3'!E1953,"AAAAADefT6U=")</f>
        <v>#VALUE!</v>
      </c>
      <c r="FK130" t="e">
        <f>AND('Planilla_General_07-12-2012_8_3'!F1953,"AAAAADefT6Y=")</f>
        <v>#VALUE!</v>
      </c>
      <c r="FL130" t="e">
        <f>AND('Planilla_General_07-12-2012_8_3'!G1953,"AAAAADefT6c=")</f>
        <v>#VALUE!</v>
      </c>
      <c r="FM130" t="e">
        <f>AND('Planilla_General_07-12-2012_8_3'!H1953,"AAAAADefT6g=")</f>
        <v>#VALUE!</v>
      </c>
      <c r="FN130" t="e">
        <f>AND('Planilla_General_07-12-2012_8_3'!I1953,"AAAAADefT6k=")</f>
        <v>#VALUE!</v>
      </c>
      <c r="FO130" t="e">
        <f>AND('Planilla_General_07-12-2012_8_3'!J1953,"AAAAADefT6o=")</f>
        <v>#VALUE!</v>
      </c>
      <c r="FP130" t="e">
        <f>AND('Planilla_General_07-12-2012_8_3'!K1953,"AAAAADefT6s=")</f>
        <v>#VALUE!</v>
      </c>
      <c r="FQ130" t="e">
        <f>AND('Planilla_General_07-12-2012_8_3'!L1953,"AAAAADefT6w=")</f>
        <v>#VALUE!</v>
      </c>
      <c r="FR130" t="e">
        <f>AND('Planilla_General_07-12-2012_8_3'!M1953,"AAAAADefT60=")</f>
        <v>#VALUE!</v>
      </c>
      <c r="FS130" t="e">
        <f>AND('Planilla_General_07-12-2012_8_3'!N1953,"AAAAADefT64=")</f>
        <v>#VALUE!</v>
      </c>
      <c r="FT130" t="e">
        <f>AND('Planilla_General_07-12-2012_8_3'!O1953,"AAAAADefT68=")</f>
        <v>#VALUE!</v>
      </c>
      <c r="FU130" t="e">
        <f>AND('Planilla_General_07-12-2012_8_3'!P1953,"AAAAADefT7A=")</f>
        <v>#VALUE!</v>
      </c>
      <c r="FV130">
        <f>IF('Planilla_General_07-12-2012_8_3'!1954:1954,"AAAAADefT7E=",0)</f>
        <v>0</v>
      </c>
      <c r="FW130" t="e">
        <f>AND('Planilla_General_07-12-2012_8_3'!A1954,"AAAAADefT7I=")</f>
        <v>#VALUE!</v>
      </c>
      <c r="FX130" t="e">
        <f>AND('Planilla_General_07-12-2012_8_3'!B1954,"AAAAADefT7M=")</f>
        <v>#VALUE!</v>
      </c>
      <c r="FY130" t="e">
        <f>AND('Planilla_General_07-12-2012_8_3'!C1954,"AAAAADefT7Q=")</f>
        <v>#VALUE!</v>
      </c>
      <c r="FZ130" t="e">
        <f>AND('Planilla_General_07-12-2012_8_3'!D1954,"AAAAADefT7U=")</f>
        <v>#VALUE!</v>
      </c>
      <c r="GA130" t="e">
        <f>AND('Planilla_General_07-12-2012_8_3'!E1954,"AAAAADefT7Y=")</f>
        <v>#VALUE!</v>
      </c>
      <c r="GB130" t="e">
        <f>AND('Planilla_General_07-12-2012_8_3'!F1954,"AAAAADefT7c=")</f>
        <v>#VALUE!</v>
      </c>
      <c r="GC130" t="e">
        <f>AND('Planilla_General_07-12-2012_8_3'!G1954,"AAAAADefT7g=")</f>
        <v>#VALUE!</v>
      </c>
      <c r="GD130" t="e">
        <f>AND('Planilla_General_07-12-2012_8_3'!H1954,"AAAAADefT7k=")</f>
        <v>#VALUE!</v>
      </c>
      <c r="GE130" t="e">
        <f>AND('Planilla_General_07-12-2012_8_3'!I1954,"AAAAADefT7o=")</f>
        <v>#VALUE!</v>
      </c>
      <c r="GF130" t="e">
        <f>AND('Planilla_General_07-12-2012_8_3'!J1954,"AAAAADefT7s=")</f>
        <v>#VALUE!</v>
      </c>
      <c r="GG130" t="e">
        <f>AND('Planilla_General_07-12-2012_8_3'!K1954,"AAAAADefT7w=")</f>
        <v>#VALUE!</v>
      </c>
      <c r="GH130" t="e">
        <f>AND('Planilla_General_07-12-2012_8_3'!L1954,"AAAAADefT70=")</f>
        <v>#VALUE!</v>
      </c>
      <c r="GI130" t="e">
        <f>AND('Planilla_General_07-12-2012_8_3'!M1954,"AAAAADefT74=")</f>
        <v>#VALUE!</v>
      </c>
      <c r="GJ130" t="e">
        <f>AND('Planilla_General_07-12-2012_8_3'!N1954,"AAAAADefT78=")</f>
        <v>#VALUE!</v>
      </c>
      <c r="GK130" t="e">
        <f>AND('Planilla_General_07-12-2012_8_3'!O1954,"AAAAADefT8A=")</f>
        <v>#VALUE!</v>
      </c>
      <c r="GL130" t="e">
        <f>AND('Planilla_General_07-12-2012_8_3'!P1954,"AAAAADefT8E=")</f>
        <v>#VALUE!</v>
      </c>
      <c r="GM130">
        <f>IF('Planilla_General_07-12-2012_8_3'!1955:1955,"AAAAADefT8I=",0)</f>
        <v>0</v>
      </c>
      <c r="GN130" t="e">
        <f>AND('Planilla_General_07-12-2012_8_3'!A1955,"AAAAADefT8M=")</f>
        <v>#VALUE!</v>
      </c>
      <c r="GO130" t="e">
        <f>AND('Planilla_General_07-12-2012_8_3'!B1955,"AAAAADefT8Q=")</f>
        <v>#VALUE!</v>
      </c>
      <c r="GP130" t="e">
        <f>AND('Planilla_General_07-12-2012_8_3'!C1955,"AAAAADefT8U=")</f>
        <v>#VALUE!</v>
      </c>
      <c r="GQ130" t="e">
        <f>AND('Planilla_General_07-12-2012_8_3'!D1955,"AAAAADefT8Y=")</f>
        <v>#VALUE!</v>
      </c>
      <c r="GR130" t="e">
        <f>AND('Planilla_General_07-12-2012_8_3'!E1955,"AAAAADefT8c=")</f>
        <v>#VALUE!</v>
      </c>
      <c r="GS130" t="e">
        <f>AND('Planilla_General_07-12-2012_8_3'!F1955,"AAAAADefT8g=")</f>
        <v>#VALUE!</v>
      </c>
      <c r="GT130" t="e">
        <f>AND('Planilla_General_07-12-2012_8_3'!G1955,"AAAAADefT8k=")</f>
        <v>#VALUE!</v>
      </c>
      <c r="GU130" t="e">
        <f>AND('Planilla_General_07-12-2012_8_3'!H1955,"AAAAADefT8o=")</f>
        <v>#VALUE!</v>
      </c>
      <c r="GV130" t="e">
        <f>AND('Planilla_General_07-12-2012_8_3'!I1955,"AAAAADefT8s=")</f>
        <v>#VALUE!</v>
      </c>
      <c r="GW130" t="e">
        <f>AND('Planilla_General_07-12-2012_8_3'!J1955,"AAAAADefT8w=")</f>
        <v>#VALUE!</v>
      </c>
      <c r="GX130" t="e">
        <f>AND('Planilla_General_07-12-2012_8_3'!K1955,"AAAAADefT80=")</f>
        <v>#VALUE!</v>
      </c>
      <c r="GY130" t="e">
        <f>AND('Planilla_General_07-12-2012_8_3'!L1955,"AAAAADefT84=")</f>
        <v>#VALUE!</v>
      </c>
      <c r="GZ130" t="e">
        <f>AND('Planilla_General_07-12-2012_8_3'!M1955,"AAAAADefT88=")</f>
        <v>#VALUE!</v>
      </c>
      <c r="HA130" t="e">
        <f>AND('Planilla_General_07-12-2012_8_3'!N1955,"AAAAADefT9A=")</f>
        <v>#VALUE!</v>
      </c>
      <c r="HB130" t="e">
        <f>AND('Planilla_General_07-12-2012_8_3'!O1955,"AAAAADefT9E=")</f>
        <v>#VALUE!</v>
      </c>
      <c r="HC130" t="e">
        <f>AND('Planilla_General_07-12-2012_8_3'!P1955,"AAAAADefT9I=")</f>
        <v>#VALUE!</v>
      </c>
      <c r="HD130">
        <f>IF('Planilla_General_07-12-2012_8_3'!1956:1956,"AAAAADefT9M=",0)</f>
        <v>0</v>
      </c>
      <c r="HE130" t="e">
        <f>AND('Planilla_General_07-12-2012_8_3'!A1956,"AAAAADefT9Q=")</f>
        <v>#VALUE!</v>
      </c>
      <c r="HF130" t="e">
        <f>AND('Planilla_General_07-12-2012_8_3'!B1956,"AAAAADefT9U=")</f>
        <v>#VALUE!</v>
      </c>
      <c r="HG130" t="e">
        <f>AND('Planilla_General_07-12-2012_8_3'!C1956,"AAAAADefT9Y=")</f>
        <v>#VALUE!</v>
      </c>
      <c r="HH130" t="e">
        <f>AND('Planilla_General_07-12-2012_8_3'!D1956,"AAAAADefT9c=")</f>
        <v>#VALUE!</v>
      </c>
      <c r="HI130" t="e">
        <f>AND('Planilla_General_07-12-2012_8_3'!E1956,"AAAAADefT9g=")</f>
        <v>#VALUE!</v>
      </c>
      <c r="HJ130" t="e">
        <f>AND('Planilla_General_07-12-2012_8_3'!F1956,"AAAAADefT9k=")</f>
        <v>#VALUE!</v>
      </c>
      <c r="HK130" t="e">
        <f>AND('Planilla_General_07-12-2012_8_3'!G1956,"AAAAADefT9o=")</f>
        <v>#VALUE!</v>
      </c>
      <c r="HL130" t="e">
        <f>AND('Planilla_General_07-12-2012_8_3'!H1956,"AAAAADefT9s=")</f>
        <v>#VALUE!</v>
      </c>
      <c r="HM130" t="e">
        <f>AND('Planilla_General_07-12-2012_8_3'!I1956,"AAAAADefT9w=")</f>
        <v>#VALUE!</v>
      </c>
      <c r="HN130" t="e">
        <f>AND('Planilla_General_07-12-2012_8_3'!J1956,"AAAAADefT90=")</f>
        <v>#VALUE!</v>
      </c>
      <c r="HO130" t="e">
        <f>AND('Planilla_General_07-12-2012_8_3'!K1956,"AAAAADefT94=")</f>
        <v>#VALUE!</v>
      </c>
      <c r="HP130" t="e">
        <f>AND('Planilla_General_07-12-2012_8_3'!L1956,"AAAAADefT98=")</f>
        <v>#VALUE!</v>
      </c>
      <c r="HQ130" t="e">
        <f>AND('Planilla_General_07-12-2012_8_3'!M1956,"AAAAADefT+A=")</f>
        <v>#VALUE!</v>
      </c>
      <c r="HR130" t="e">
        <f>AND('Planilla_General_07-12-2012_8_3'!N1956,"AAAAADefT+E=")</f>
        <v>#VALUE!</v>
      </c>
      <c r="HS130" t="e">
        <f>AND('Planilla_General_07-12-2012_8_3'!O1956,"AAAAADefT+I=")</f>
        <v>#VALUE!</v>
      </c>
      <c r="HT130" t="e">
        <f>AND('Planilla_General_07-12-2012_8_3'!P1956,"AAAAADefT+M=")</f>
        <v>#VALUE!</v>
      </c>
      <c r="HU130">
        <f>IF('Planilla_General_07-12-2012_8_3'!1957:1957,"AAAAADefT+Q=",0)</f>
        <v>0</v>
      </c>
      <c r="HV130" t="e">
        <f>AND('Planilla_General_07-12-2012_8_3'!A1957,"AAAAADefT+U=")</f>
        <v>#VALUE!</v>
      </c>
      <c r="HW130" t="e">
        <f>AND('Planilla_General_07-12-2012_8_3'!B1957,"AAAAADefT+Y=")</f>
        <v>#VALUE!</v>
      </c>
      <c r="HX130" t="e">
        <f>AND('Planilla_General_07-12-2012_8_3'!C1957,"AAAAADefT+c=")</f>
        <v>#VALUE!</v>
      </c>
      <c r="HY130" t="e">
        <f>AND('Planilla_General_07-12-2012_8_3'!D1957,"AAAAADefT+g=")</f>
        <v>#VALUE!</v>
      </c>
      <c r="HZ130" t="e">
        <f>AND('Planilla_General_07-12-2012_8_3'!E1957,"AAAAADefT+k=")</f>
        <v>#VALUE!</v>
      </c>
      <c r="IA130" t="e">
        <f>AND('Planilla_General_07-12-2012_8_3'!F1957,"AAAAADefT+o=")</f>
        <v>#VALUE!</v>
      </c>
      <c r="IB130" t="e">
        <f>AND('Planilla_General_07-12-2012_8_3'!G1957,"AAAAADefT+s=")</f>
        <v>#VALUE!</v>
      </c>
      <c r="IC130" t="e">
        <f>AND('Planilla_General_07-12-2012_8_3'!H1957,"AAAAADefT+w=")</f>
        <v>#VALUE!</v>
      </c>
      <c r="ID130" t="e">
        <f>AND('Planilla_General_07-12-2012_8_3'!I1957,"AAAAADefT+0=")</f>
        <v>#VALUE!</v>
      </c>
      <c r="IE130" t="e">
        <f>AND('Planilla_General_07-12-2012_8_3'!J1957,"AAAAADefT+4=")</f>
        <v>#VALUE!</v>
      </c>
      <c r="IF130" t="e">
        <f>AND('Planilla_General_07-12-2012_8_3'!K1957,"AAAAADefT+8=")</f>
        <v>#VALUE!</v>
      </c>
      <c r="IG130" t="e">
        <f>AND('Planilla_General_07-12-2012_8_3'!L1957,"AAAAADefT/A=")</f>
        <v>#VALUE!</v>
      </c>
      <c r="IH130" t="e">
        <f>AND('Planilla_General_07-12-2012_8_3'!M1957,"AAAAADefT/E=")</f>
        <v>#VALUE!</v>
      </c>
      <c r="II130" t="e">
        <f>AND('Planilla_General_07-12-2012_8_3'!N1957,"AAAAADefT/I=")</f>
        <v>#VALUE!</v>
      </c>
      <c r="IJ130" t="e">
        <f>AND('Planilla_General_07-12-2012_8_3'!O1957,"AAAAADefT/M=")</f>
        <v>#VALUE!</v>
      </c>
      <c r="IK130" t="e">
        <f>AND('Planilla_General_07-12-2012_8_3'!P1957,"AAAAADefT/Q=")</f>
        <v>#VALUE!</v>
      </c>
      <c r="IL130">
        <f>IF('Planilla_General_07-12-2012_8_3'!1958:1958,"AAAAADefT/U=",0)</f>
        <v>0</v>
      </c>
      <c r="IM130" t="e">
        <f>AND('Planilla_General_07-12-2012_8_3'!A1958,"AAAAADefT/Y=")</f>
        <v>#VALUE!</v>
      </c>
      <c r="IN130" t="e">
        <f>AND('Planilla_General_07-12-2012_8_3'!B1958,"AAAAADefT/c=")</f>
        <v>#VALUE!</v>
      </c>
      <c r="IO130" t="e">
        <f>AND('Planilla_General_07-12-2012_8_3'!C1958,"AAAAADefT/g=")</f>
        <v>#VALUE!</v>
      </c>
      <c r="IP130" t="e">
        <f>AND('Planilla_General_07-12-2012_8_3'!D1958,"AAAAADefT/k=")</f>
        <v>#VALUE!</v>
      </c>
      <c r="IQ130" t="e">
        <f>AND('Planilla_General_07-12-2012_8_3'!E1958,"AAAAADefT/o=")</f>
        <v>#VALUE!</v>
      </c>
      <c r="IR130" t="e">
        <f>AND('Planilla_General_07-12-2012_8_3'!F1958,"AAAAADefT/s=")</f>
        <v>#VALUE!</v>
      </c>
      <c r="IS130" t="e">
        <f>AND('Planilla_General_07-12-2012_8_3'!G1958,"AAAAADefT/w=")</f>
        <v>#VALUE!</v>
      </c>
      <c r="IT130" t="e">
        <f>AND('Planilla_General_07-12-2012_8_3'!H1958,"AAAAADefT/0=")</f>
        <v>#VALUE!</v>
      </c>
      <c r="IU130" t="e">
        <f>AND('Planilla_General_07-12-2012_8_3'!I1958,"AAAAADefT/4=")</f>
        <v>#VALUE!</v>
      </c>
      <c r="IV130" t="e">
        <f>AND('Planilla_General_07-12-2012_8_3'!J1958,"AAAAADefT/8=")</f>
        <v>#VALUE!</v>
      </c>
    </row>
    <row r="131" spans="1:256" x14ac:dyDescent="0.25">
      <c r="A131" t="e">
        <f>AND('Planilla_General_07-12-2012_8_3'!K1958,"AAAAABu/8wA=")</f>
        <v>#VALUE!</v>
      </c>
      <c r="B131" t="e">
        <f>AND('Planilla_General_07-12-2012_8_3'!L1958,"AAAAABu/8wE=")</f>
        <v>#VALUE!</v>
      </c>
      <c r="C131" t="e">
        <f>AND('Planilla_General_07-12-2012_8_3'!M1958,"AAAAABu/8wI=")</f>
        <v>#VALUE!</v>
      </c>
      <c r="D131" t="e">
        <f>AND('Planilla_General_07-12-2012_8_3'!N1958,"AAAAABu/8wM=")</f>
        <v>#VALUE!</v>
      </c>
      <c r="E131" t="e">
        <f>AND('Planilla_General_07-12-2012_8_3'!O1958,"AAAAABu/8wQ=")</f>
        <v>#VALUE!</v>
      </c>
      <c r="F131" t="e">
        <f>AND('Planilla_General_07-12-2012_8_3'!P1958,"AAAAABu/8wU=")</f>
        <v>#VALUE!</v>
      </c>
      <c r="G131" t="e">
        <f>IF('Planilla_General_07-12-2012_8_3'!1959:1959,"AAAAABu/8wY=",0)</f>
        <v>#VALUE!</v>
      </c>
      <c r="H131" t="e">
        <f>AND('Planilla_General_07-12-2012_8_3'!A1959,"AAAAABu/8wc=")</f>
        <v>#VALUE!</v>
      </c>
      <c r="I131" t="e">
        <f>AND('Planilla_General_07-12-2012_8_3'!B1959,"AAAAABu/8wg=")</f>
        <v>#VALUE!</v>
      </c>
      <c r="J131" t="e">
        <f>AND('Planilla_General_07-12-2012_8_3'!C1959,"AAAAABu/8wk=")</f>
        <v>#VALUE!</v>
      </c>
      <c r="K131" t="e">
        <f>AND('Planilla_General_07-12-2012_8_3'!D1959,"AAAAABu/8wo=")</f>
        <v>#VALUE!</v>
      </c>
      <c r="L131" t="e">
        <f>AND('Planilla_General_07-12-2012_8_3'!E1959,"AAAAABu/8ws=")</f>
        <v>#VALUE!</v>
      </c>
      <c r="M131" t="e">
        <f>AND('Planilla_General_07-12-2012_8_3'!F1959,"AAAAABu/8ww=")</f>
        <v>#VALUE!</v>
      </c>
      <c r="N131" t="e">
        <f>AND('Planilla_General_07-12-2012_8_3'!G1959,"AAAAABu/8w0=")</f>
        <v>#VALUE!</v>
      </c>
      <c r="O131" t="e">
        <f>AND('Planilla_General_07-12-2012_8_3'!H1959,"AAAAABu/8w4=")</f>
        <v>#VALUE!</v>
      </c>
      <c r="P131" t="e">
        <f>AND('Planilla_General_07-12-2012_8_3'!I1959,"AAAAABu/8w8=")</f>
        <v>#VALUE!</v>
      </c>
      <c r="Q131" t="e">
        <f>AND('Planilla_General_07-12-2012_8_3'!J1959,"AAAAABu/8xA=")</f>
        <v>#VALUE!</v>
      </c>
      <c r="R131" t="e">
        <f>AND('Planilla_General_07-12-2012_8_3'!K1959,"AAAAABu/8xE=")</f>
        <v>#VALUE!</v>
      </c>
      <c r="S131" t="e">
        <f>AND('Planilla_General_07-12-2012_8_3'!L1959,"AAAAABu/8xI=")</f>
        <v>#VALUE!</v>
      </c>
      <c r="T131" t="e">
        <f>AND('Planilla_General_07-12-2012_8_3'!M1959,"AAAAABu/8xM=")</f>
        <v>#VALUE!</v>
      </c>
      <c r="U131" t="e">
        <f>AND('Planilla_General_07-12-2012_8_3'!N1959,"AAAAABu/8xQ=")</f>
        <v>#VALUE!</v>
      </c>
      <c r="V131" t="e">
        <f>AND('Planilla_General_07-12-2012_8_3'!O1959,"AAAAABu/8xU=")</f>
        <v>#VALUE!</v>
      </c>
      <c r="W131" t="e">
        <f>AND('Planilla_General_07-12-2012_8_3'!P1959,"AAAAABu/8xY=")</f>
        <v>#VALUE!</v>
      </c>
      <c r="X131">
        <f>IF('Planilla_General_07-12-2012_8_3'!1960:1960,"AAAAABu/8xc=",0)</f>
        <v>0</v>
      </c>
      <c r="Y131" t="e">
        <f>AND('Planilla_General_07-12-2012_8_3'!A1960,"AAAAABu/8xg=")</f>
        <v>#VALUE!</v>
      </c>
      <c r="Z131" t="e">
        <f>AND('Planilla_General_07-12-2012_8_3'!B1960,"AAAAABu/8xk=")</f>
        <v>#VALUE!</v>
      </c>
      <c r="AA131" t="e">
        <f>AND('Planilla_General_07-12-2012_8_3'!C1960,"AAAAABu/8xo=")</f>
        <v>#VALUE!</v>
      </c>
      <c r="AB131" t="e">
        <f>AND('Planilla_General_07-12-2012_8_3'!D1960,"AAAAABu/8xs=")</f>
        <v>#VALUE!</v>
      </c>
      <c r="AC131" t="e">
        <f>AND('Planilla_General_07-12-2012_8_3'!E1960,"AAAAABu/8xw=")</f>
        <v>#VALUE!</v>
      </c>
      <c r="AD131" t="e">
        <f>AND('Planilla_General_07-12-2012_8_3'!F1960,"AAAAABu/8x0=")</f>
        <v>#VALUE!</v>
      </c>
      <c r="AE131" t="e">
        <f>AND('Planilla_General_07-12-2012_8_3'!G1960,"AAAAABu/8x4=")</f>
        <v>#VALUE!</v>
      </c>
      <c r="AF131" t="e">
        <f>AND('Planilla_General_07-12-2012_8_3'!H1960,"AAAAABu/8x8=")</f>
        <v>#VALUE!</v>
      </c>
      <c r="AG131" t="e">
        <f>AND('Planilla_General_07-12-2012_8_3'!I1960,"AAAAABu/8yA=")</f>
        <v>#VALUE!</v>
      </c>
      <c r="AH131" t="e">
        <f>AND('Planilla_General_07-12-2012_8_3'!J1960,"AAAAABu/8yE=")</f>
        <v>#VALUE!</v>
      </c>
      <c r="AI131" t="e">
        <f>AND('Planilla_General_07-12-2012_8_3'!K1960,"AAAAABu/8yI=")</f>
        <v>#VALUE!</v>
      </c>
      <c r="AJ131" t="e">
        <f>AND('Planilla_General_07-12-2012_8_3'!L1960,"AAAAABu/8yM=")</f>
        <v>#VALUE!</v>
      </c>
      <c r="AK131" t="e">
        <f>AND('Planilla_General_07-12-2012_8_3'!M1960,"AAAAABu/8yQ=")</f>
        <v>#VALUE!</v>
      </c>
      <c r="AL131" t="e">
        <f>AND('Planilla_General_07-12-2012_8_3'!N1960,"AAAAABu/8yU=")</f>
        <v>#VALUE!</v>
      </c>
      <c r="AM131" t="e">
        <f>AND('Planilla_General_07-12-2012_8_3'!O1960,"AAAAABu/8yY=")</f>
        <v>#VALUE!</v>
      </c>
      <c r="AN131" t="e">
        <f>AND('Planilla_General_07-12-2012_8_3'!P1960,"AAAAABu/8yc=")</f>
        <v>#VALUE!</v>
      </c>
      <c r="AO131">
        <f>IF('Planilla_General_07-12-2012_8_3'!1961:1961,"AAAAABu/8yg=",0)</f>
        <v>0</v>
      </c>
      <c r="AP131" t="e">
        <f>AND('Planilla_General_07-12-2012_8_3'!A1961,"AAAAABu/8yk=")</f>
        <v>#VALUE!</v>
      </c>
      <c r="AQ131" t="e">
        <f>AND('Planilla_General_07-12-2012_8_3'!B1961,"AAAAABu/8yo=")</f>
        <v>#VALUE!</v>
      </c>
      <c r="AR131" t="e">
        <f>AND('Planilla_General_07-12-2012_8_3'!C1961,"AAAAABu/8ys=")</f>
        <v>#VALUE!</v>
      </c>
      <c r="AS131" t="e">
        <f>AND('Planilla_General_07-12-2012_8_3'!D1961,"AAAAABu/8yw=")</f>
        <v>#VALUE!</v>
      </c>
      <c r="AT131" t="e">
        <f>AND('Planilla_General_07-12-2012_8_3'!E1961,"AAAAABu/8y0=")</f>
        <v>#VALUE!</v>
      </c>
      <c r="AU131" t="e">
        <f>AND('Planilla_General_07-12-2012_8_3'!F1961,"AAAAABu/8y4=")</f>
        <v>#VALUE!</v>
      </c>
      <c r="AV131" t="e">
        <f>AND('Planilla_General_07-12-2012_8_3'!G1961,"AAAAABu/8y8=")</f>
        <v>#VALUE!</v>
      </c>
      <c r="AW131" t="e">
        <f>AND('Planilla_General_07-12-2012_8_3'!H1961,"AAAAABu/8zA=")</f>
        <v>#VALUE!</v>
      </c>
      <c r="AX131" t="e">
        <f>AND('Planilla_General_07-12-2012_8_3'!I1961,"AAAAABu/8zE=")</f>
        <v>#VALUE!</v>
      </c>
      <c r="AY131" t="e">
        <f>AND('Planilla_General_07-12-2012_8_3'!J1961,"AAAAABu/8zI=")</f>
        <v>#VALUE!</v>
      </c>
      <c r="AZ131" t="e">
        <f>AND('Planilla_General_07-12-2012_8_3'!K1961,"AAAAABu/8zM=")</f>
        <v>#VALUE!</v>
      </c>
      <c r="BA131" t="e">
        <f>AND('Planilla_General_07-12-2012_8_3'!L1961,"AAAAABu/8zQ=")</f>
        <v>#VALUE!</v>
      </c>
      <c r="BB131" t="e">
        <f>AND('Planilla_General_07-12-2012_8_3'!M1961,"AAAAABu/8zU=")</f>
        <v>#VALUE!</v>
      </c>
      <c r="BC131" t="e">
        <f>AND('Planilla_General_07-12-2012_8_3'!N1961,"AAAAABu/8zY=")</f>
        <v>#VALUE!</v>
      </c>
      <c r="BD131" t="e">
        <f>AND('Planilla_General_07-12-2012_8_3'!O1961,"AAAAABu/8zc=")</f>
        <v>#VALUE!</v>
      </c>
      <c r="BE131" t="e">
        <f>AND('Planilla_General_07-12-2012_8_3'!P1961,"AAAAABu/8zg=")</f>
        <v>#VALUE!</v>
      </c>
      <c r="BF131">
        <f>IF('Planilla_General_07-12-2012_8_3'!1962:1962,"AAAAABu/8zk=",0)</f>
        <v>0</v>
      </c>
      <c r="BG131" t="e">
        <f>AND('Planilla_General_07-12-2012_8_3'!A1962,"AAAAABu/8zo=")</f>
        <v>#VALUE!</v>
      </c>
      <c r="BH131" t="e">
        <f>AND('Planilla_General_07-12-2012_8_3'!B1962,"AAAAABu/8zs=")</f>
        <v>#VALUE!</v>
      </c>
      <c r="BI131" t="e">
        <f>AND('Planilla_General_07-12-2012_8_3'!C1962,"AAAAABu/8zw=")</f>
        <v>#VALUE!</v>
      </c>
      <c r="BJ131" t="e">
        <f>AND('Planilla_General_07-12-2012_8_3'!D1962,"AAAAABu/8z0=")</f>
        <v>#VALUE!</v>
      </c>
      <c r="BK131" t="e">
        <f>AND('Planilla_General_07-12-2012_8_3'!E1962,"AAAAABu/8z4=")</f>
        <v>#VALUE!</v>
      </c>
      <c r="BL131" t="e">
        <f>AND('Planilla_General_07-12-2012_8_3'!F1962,"AAAAABu/8z8=")</f>
        <v>#VALUE!</v>
      </c>
      <c r="BM131" t="e">
        <f>AND('Planilla_General_07-12-2012_8_3'!G1962,"AAAAABu/80A=")</f>
        <v>#VALUE!</v>
      </c>
      <c r="BN131" t="e">
        <f>AND('Planilla_General_07-12-2012_8_3'!H1962,"AAAAABu/80E=")</f>
        <v>#VALUE!</v>
      </c>
      <c r="BO131" t="e">
        <f>AND('Planilla_General_07-12-2012_8_3'!I1962,"AAAAABu/80I=")</f>
        <v>#VALUE!</v>
      </c>
      <c r="BP131" t="e">
        <f>AND('Planilla_General_07-12-2012_8_3'!J1962,"AAAAABu/80M=")</f>
        <v>#VALUE!</v>
      </c>
      <c r="BQ131" t="e">
        <f>AND('Planilla_General_07-12-2012_8_3'!K1962,"AAAAABu/80Q=")</f>
        <v>#VALUE!</v>
      </c>
      <c r="BR131" t="e">
        <f>AND('Planilla_General_07-12-2012_8_3'!L1962,"AAAAABu/80U=")</f>
        <v>#VALUE!</v>
      </c>
      <c r="BS131" t="e">
        <f>AND('Planilla_General_07-12-2012_8_3'!M1962,"AAAAABu/80Y=")</f>
        <v>#VALUE!</v>
      </c>
      <c r="BT131" t="e">
        <f>AND('Planilla_General_07-12-2012_8_3'!N1962,"AAAAABu/80c=")</f>
        <v>#VALUE!</v>
      </c>
      <c r="BU131" t="e">
        <f>AND('Planilla_General_07-12-2012_8_3'!O1962,"AAAAABu/80g=")</f>
        <v>#VALUE!</v>
      </c>
      <c r="BV131" t="e">
        <f>AND('Planilla_General_07-12-2012_8_3'!P1962,"AAAAABu/80k=")</f>
        <v>#VALUE!</v>
      </c>
      <c r="BW131">
        <f>IF('Planilla_General_07-12-2012_8_3'!1963:1963,"AAAAABu/80o=",0)</f>
        <v>0</v>
      </c>
      <c r="BX131" t="e">
        <f>AND('Planilla_General_07-12-2012_8_3'!A1963,"AAAAABu/80s=")</f>
        <v>#VALUE!</v>
      </c>
      <c r="BY131" t="e">
        <f>AND('Planilla_General_07-12-2012_8_3'!B1963,"AAAAABu/80w=")</f>
        <v>#VALUE!</v>
      </c>
      <c r="BZ131" t="e">
        <f>AND('Planilla_General_07-12-2012_8_3'!C1963,"AAAAABu/800=")</f>
        <v>#VALUE!</v>
      </c>
      <c r="CA131" t="e">
        <f>AND('Planilla_General_07-12-2012_8_3'!D1963,"AAAAABu/804=")</f>
        <v>#VALUE!</v>
      </c>
      <c r="CB131" t="e">
        <f>AND('Planilla_General_07-12-2012_8_3'!E1963,"AAAAABu/808=")</f>
        <v>#VALUE!</v>
      </c>
      <c r="CC131" t="e">
        <f>AND('Planilla_General_07-12-2012_8_3'!F1963,"AAAAABu/81A=")</f>
        <v>#VALUE!</v>
      </c>
      <c r="CD131" t="e">
        <f>AND('Planilla_General_07-12-2012_8_3'!G1963,"AAAAABu/81E=")</f>
        <v>#VALUE!</v>
      </c>
      <c r="CE131" t="e">
        <f>AND('Planilla_General_07-12-2012_8_3'!H1963,"AAAAABu/81I=")</f>
        <v>#VALUE!</v>
      </c>
      <c r="CF131" t="e">
        <f>AND('Planilla_General_07-12-2012_8_3'!I1963,"AAAAABu/81M=")</f>
        <v>#VALUE!</v>
      </c>
      <c r="CG131" t="e">
        <f>AND('Planilla_General_07-12-2012_8_3'!J1963,"AAAAABu/81Q=")</f>
        <v>#VALUE!</v>
      </c>
      <c r="CH131" t="e">
        <f>AND('Planilla_General_07-12-2012_8_3'!K1963,"AAAAABu/81U=")</f>
        <v>#VALUE!</v>
      </c>
      <c r="CI131" t="e">
        <f>AND('Planilla_General_07-12-2012_8_3'!L1963,"AAAAABu/81Y=")</f>
        <v>#VALUE!</v>
      </c>
      <c r="CJ131" t="e">
        <f>AND('Planilla_General_07-12-2012_8_3'!M1963,"AAAAABu/81c=")</f>
        <v>#VALUE!</v>
      </c>
      <c r="CK131" t="e">
        <f>AND('Planilla_General_07-12-2012_8_3'!N1963,"AAAAABu/81g=")</f>
        <v>#VALUE!</v>
      </c>
      <c r="CL131" t="e">
        <f>AND('Planilla_General_07-12-2012_8_3'!O1963,"AAAAABu/81k=")</f>
        <v>#VALUE!</v>
      </c>
      <c r="CM131" t="e">
        <f>AND('Planilla_General_07-12-2012_8_3'!P1963,"AAAAABu/81o=")</f>
        <v>#VALUE!</v>
      </c>
      <c r="CN131">
        <f>IF('Planilla_General_07-12-2012_8_3'!1964:1964,"AAAAABu/81s=",0)</f>
        <v>0</v>
      </c>
      <c r="CO131" t="e">
        <f>AND('Planilla_General_07-12-2012_8_3'!A1964,"AAAAABu/81w=")</f>
        <v>#VALUE!</v>
      </c>
      <c r="CP131" t="e">
        <f>AND('Planilla_General_07-12-2012_8_3'!B1964,"AAAAABu/810=")</f>
        <v>#VALUE!</v>
      </c>
      <c r="CQ131" t="e">
        <f>AND('Planilla_General_07-12-2012_8_3'!C1964,"AAAAABu/814=")</f>
        <v>#VALUE!</v>
      </c>
      <c r="CR131" t="e">
        <f>AND('Planilla_General_07-12-2012_8_3'!D1964,"AAAAABu/818=")</f>
        <v>#VALUE!</v>
      </c>
      <c r="CS131" t="e">
        <f>AND('Planilla_General_07-12-2012_8_3'!E1964,"AAAAABu/82A=")</f>
        <v>#VALUE!</v>
      </c>
      <c r="CT131" t="e">
        <f>AND('Planilla_General_07-12-2012_8_3'!F1964,"AAAAABu/82E=")</f>
        <v>#VALUE!</v>
      </c>
      <c r="CU131" t="e">
        <f>AND('Planilla_General_07-12-2012_8_3'!G1964,"AAAAABu/82I=")</f>
        <v>#VALUE!</v>
      </c>
      <c r="CV131" t="e">
        <f>AND('Planilla_General_07-12-2012_8_3'!H1964,"AAAAABu/82M=")</f>
        <v>#VALUE!</v>
      </c>
      <c r="CW131" t="e">
        <f>AND('Planilla_General_07-12-2012_8_3'!I1964,"AAAAABu/82Q=")</f>
        <v>#VALUE!</v>
      </c>
      <c r="CX131" t="e">
        <f>AND('Planilla_General_07-12-2012_8_3'!J1964,"AAAAABu/82U=")</f>
        <v>#VALUE!</v>
      </c>
      <c r="CY131" t="e">
        <f>AND('Planilla_General_07-12-2012_8_3'!K1964,"AAAAABu/82Y=")</f>
        <v>#VALUE!</v>
      </c>
      <c r="CZ131" t="e">
        <f>AND('Planilla_General_07-12-2012_8_3'!L1964,"AAAAABu/82c=")</f>
        <v>#VALUE!</v>
      </c>
      <c r="DA131" t="e">
        <f>AND('Planilla_General_07-12-2012_8_3'!M1964,"AAAAABu/82g=")</f>
        <v>#VALUE!</v>
      </c>
      <c r="DB131" t="e">
        <f>AND('Planilla_General_07-12-2012_8_3'!N1964,"AAAAABu/82k=")</f>
        <v>#VALUE!</v>
      </c>
      <c r="DC131" t="e">
        <f>AND('Planilla_General_07-12-2012_8_3'!O1964,"AAAAABu/82o=")</f>
        <v>#VALUE!</v>
      </c>
      <c r="DD131" t="e">
        <f>AND('Planilla_General_07-12-2012_8_3'!P1964,"AAAAABu/82s=")</f>
        <v>#VALUE!</v>
      </c>
      <c r="DE131">
        <f>IF('Planilla_General_07-12-2012_8_3'!1965:1965,"AAAAABu/82w=",0)</f>
        <v>0</v>
      </c>
      <c r="DF131" t="e">
        <f>AND('Planilla_General_07-12-2012_8_3'!A1965,"AAAAABu/820=")</f>
        <v>#VALUE!</v>
      </c>
      <c r="DG131" t="e">
        <f>AND('Planilla_General_07-12-2012_8_3'!B1965,"AAAAABu/824=")</f>
        <v>#VALUE!</v>
      </c>
      <c r="DH131" t="e">
        <f>AND('Planilla_General_07-12-2012_8_3'!C1965,"AAAAABu/828=")</f>
        <v>#VALUE!</v>
      </c>
      <c r="DI131" t="e">
        <f>AND('Planilla_General_07-12-2012_8_3'!D1965,"AAAAABu/83A=")</f>
        <v>#VALUE!</v>
      </c>
      <c r="DJ131" t="e">
        <f>AND('Planilla_General_07-12-2012_8_3'!E1965,"AAAAABu/83E=")</f>
        <v>#VALUE!</v>
      </c>
      <c r="DK131" t="e">
        <f>AND('Planilla_General_07-12-2012_8_3'!F1965,"AAAAABu/83I=")</f>
        <v>#VALUE!</v>
      </c>
      <c r="DL131" t="e">
        <f>AND('Planilla_General_07-12-2012_8_3'!G1965,"AAAAABu/83M=")</f>
        <v>#VALUE!</v>
      </c>
      <c r="DM131" t="e">
        <f>AND('Planilla_General_07-12-2012_8_3'!H1965,"AAAAABu/83Q=")</f>
        <v>#VALUE!</v>
      </c>
      <c r="DN131" t="e">
        <f>AND('Planilla_General_07-12-2012_8_3'!I1965,"AAAAABu/83U=")</f>
        <v>#VALUE!</v>
      </c>
      <c r="DO131" t="e">
        <f>AND('Planilla_General_07-12-2012_8_3'!J1965,"AAAAABu/83Y=")</f>
        <v>#VALUE!</v>
      </c>
      <c r="DP131" t="e">
        <f>AND('Planilla_General_07-12-2012_8_3'!K1965,"AAAAABu/83c=")</f>
        <v>#VALUE!</v>
      </c>
      <c r="DQ131" t="e">
        <f>AND('Planilla_General_07-12-2012_8_3'!L1965,"AAAAABu/83g=")</f>
        <v>#VALUE!</v>
      </c>
      <c r="DR131" t="e">
        <f>AND('Planilla_General_07-12-2012_8_3'!M1965,"AAAAABu/83k=")</f>
        <v>#VALUE!</v>
      </c>
      <c r="DS131" t="e">
        <f>AND('Planilla_General_07-12-2012_8_3'!N1965,"AAAAABu/83o=")</f>
        <v>#VALUE!</v>
      </c>
      <c r="DT131" t="e">
        <f>AND('Planilla_General_07-12-2012_8_3'!O1965,"AAAAABu/83s=")</f>
        <v>#VALUE!</v>
      </c>
      <c r="DU131" t="e">
        <f>AND('Planilla_General_07-12-2012_8_3'!P1965,"AAAAABu/83w=")</f>
        <v>#VALUE!</v>
      </c>
      <c r="DV131">
        <f>IF('Planilla_General_07-12-2012_8_3'!1966:1966,"AAAAABu/830=",0)</f>
        <v>0</v>
      </c>
      <c r="DW131" t="e">
        <f>AND('Planilla_General_07-12-2012_8_3'!A1966,"AAAAABu/834=")</f>
        <v>#VALUE!</v>
      </c>
      <c r="DX131" t="e">
        <f>AND('Planilla_General_07-12-2012_8_3'!B1966,"AAAAABu/838=")</f>
        <v>#VALUE!</v>
      </c>
      <c r="DY131" t="e">
        <f>AND('Planilla_General_07-12-2012_8_3'!C1966,"AAAAABu/84A=")</f>
        <v>#VALUE!</v>
      </c>
      <c r="DZ131" t="e">
        <f>AND('Planilla_General_07-12-2012_8_3'!D1966,"AAAAABu/84E=")</f>
        <v>#VALUE!</v>
      </c>
      <c r="EA131" t="e">
        <f>AND('Planilla_General_07-12-2012_8_3'!E1966,"AAAAABu/84I=")</f>
        <v>#VALUE!</v>
      </c>
      <c r="EB131" t="e">
        <f>AND('Planilla_General_07-12-2012_8_3'!F1966,"AAAAABu/84M=")</f>
        <v>#VALUE!</v>
      </c>
      <c r="EC131" t="e">
        <f>AND('Planilla_General_07-12-2012_8_3'!G1966,"AAAAABu/84Q=")</f>
        <v>#VALUE!</v>
      </c>
      <c r="ED131" t="e">
        <f>AND('Planilla_General_07-12-2012_8_3'!H1966,"AAAAABu/84U=")</f>
        <v>#VALUE!</v>
      </c>
      <c r="EE131" t="e">
        <f>AND('Planilla_General_07-12-2012_8_3'!I1966,"AAAAABu/84Y=")</f>
        <v>#VALUE!</v>
      </c>
      <c r="EF131" t="e">
        <f>AND('Planilla_General_07-12-2012_8_3'!J1966,"AAAAABu/84c=")</f>
        <v>#VALUE!</v>
      </c>
      <c r="EG131" t="e">
        <f>AND('Planilla_General_07-12-2012_8_3'!K1966,"AAAAABu/84g=")</f>
        <v>#VALUE!</v>
      </c>
      <c r="EH131" t="e">
        <f>AND('Planilla_General_07-12-2012_8_3'!L1966,"AAAAABu/84k=")</f>
        <v>#VALUE!</v>
      </c>
      <c r="EI131" t="e">
        <f>AND('Planilla_General_07-12-2012_8_3'!M1966,"AAAAABu/84o=")</f>
        <v>#VALUE!</v>
      </c>
      <c r="EJ131" t="e">
        <f>AND('Planilla_General_07-12-2012_8_3'!N1966,"AAAAABu/84s=")</f>
        <v>#VALUE!</v>
      </c>
      <c r="EK131" t="e">
        <f>AND('Planilla_General_07-12-2012_8_3'!O1966,"AAAAABu/84w=")</f>
        <v>#VALUE!</v>
      </c>
      <c r="EL131" t="e">
        <f>AND('Planilla_General_07-12-2012_8_3'!P1966,"AAAAABu/840=")</f>
        <v>#VALUE!</v>
      </c>
      <c r="EM131">
        <f>IF('Planilla_General_07-12-2012_8_3'!1967:1967,"AAAAABu/844=",0)</f>
        <v>0</v>
      </c>
      <c r="EN131" t="e">
        <f>AND('Planilla_General_07-12-2012_8_3'!A1967,"AAAAABu/848=")</f>
        <v>#VALUE!</v>
      </c>
      <c r="EO131" t="e">
        <f>AND('Planilla_General_07-12-2012_8_3'!B1967,"AAAAABu/85A=")</f>
        <v>#VALUE!</v>
      </c>
      <c r="EP131" t="e">
        <f>AND('Planilla_General_07-12-2012_8_3'!C1967,"AAAAABu/85E=")</f>
        <v>#VALUE!</v>
      </c>
      <c r="EQ131" t="e">
        <f>AND('Planilla_General_07-12-2012_8_3'!D1967,"AAAAABu/85I=")</f>
        <v>#VALUE!</v>
      </c>
      <c r="ER131" t="e">
        <f>AND('Planilla_General_07-12-2012_8_3'!E1967,"AAAAABu/85M=")</f>
        <v>#VALUE!</v>
      </c>
      <c r="ES131" t="e">
        <f>AND('Planilla_General_07-12-2012_8_3'!F1967,"AAAAABu/85Q=")</f>
        <v>#VALUE!</v>
      </c>
      <c r="ET131" t="e">
        <f>AND('Planilla_General_07-12-2012_8_3'!G1967,"AAAAABu/85U=")</f>
        <v>#VALUE!</v>
      </c>
      <c r="EU131" t="e">
        <f>AND('Planilla_General_07-12-2012_8_3'!H1967,"AAAAABu/85Y=")</f>
        <v>#VALUE!</v>
      </c>
      <c r="EV131" t="e">
        <f>AND('Planilla_General_07-12-2012_8_3'!I1967,"AAAAABu/85c=")</f>
        <v>#VALUE!</v>
      </c>
      <c r="EW131" t="e">
        <f>AND('Planilla_General_07-12-2012_8_3'!J1967,"AAAAABu/85g=")</f>
        <v>#VALUE!</v>
      </c>
      <c r="EX131" t="e">
        <f>AND('Planilla_General_07-12-2012_8_3'!K1967,"AAAAABu/85k=")</f>
        <v>#VALUE!</v>
      </c>
      <c r="EY131" t="e">
        <f>AND('Planilla_General_07-12-2012_8_3'!L1967,"AAAAABu/85o=")</f>
        <v>#VALUE!</v>
      </c>
      <c r="EZ131" t="e">
        <f>AND('Planilla_General_07-12-2012_8_3'!M1967,"AAAAABu/85s=")</f>
        <v>#VALUE!</v>
      </c>
      <c r="FA131" t="e">
        <f>AND('Planilla_General_07-12-2012_8_3'!N1967,"AAAAABu/85w=")</f>
        <v>#VALUE!</v>
      </c>
      <c r="FB131" t="e">
        <f>AND('Planilla_General_07-12-2012_8_3'!O1967,"AAAAABu/850=")</f>
        <v>#VALUE!</v>
      </c>
      <c r="FC131" t="e">
        <f>AND('Planilla_General_07-12-2012_8_3'!P1967,"AAAAABu/854=")</f>
        <v>#VALUE!</v>
      </c>
      <c r="FD131">
        <f>IF('Planilla_General_07-12-2012_8_3'!1968:1968,"AAAAABu/858=",0)</f>
        <v>0</v>
      </c>
      <c r="FE131" t="e">
        <f>AND('Planilla_General_07-12-2012_8_3'!A1968,"AAAAABu/86A=")</f>
        <v>#VALUE!</v>
      </c>
      <c r="FF131" t="e">
        <f>AND('Planilla_General_07-12-2012_8_3'!B1968,"AAAAABu/86E=")</f>
        <v>#VALUE!</v>
      </c>
      <c r="FG131" t="e">
        <f>AND('Planilla_General_07-12-2012_8_3'!C1968,"AAAAABu/86I=")</f>
        <v>#VALUE!</v>
      </c>
      <c r="FH131" t="e">
        <f>AND('Planilla_General_07-12-2012_8_3'!D1968,"AAAAABu/86M=")</f>
        <v>#VALUE!</v>
      </c>
      <c r="FI131" t="e">
        <f>AND('Planilla_General_07-12-2012_8_3'!E1968,"AAAAABu/86Q=")</f>
        <v>#VALUE!</v>
      </c>
      <c r="FJ131" t="e">
        <f>AND('Planilla_General_07-12-2012_8_3'!F1968,"AAAAABu/86U=")</f>
        <v>#VALUE!</v>
      </c>
      <c r="FK131" t="e">
        <f>AND('Planilla_General_07-12-2012_8_3'!G1968,"AAAAABu/86Y=")</f>
        <v>#VALUE!</v>
      </c>
      <c r="FL131" t="e">
        <f>AND('Planilla_General_07-12-2012_8_3'!H1968,"AAAAABu/86c=")</f>
        <v>#VALUE!</v>
      </c>
      <c r="FM131" t="e">
        <f>AND('Planilla_General_07-12-2012_8_3'!I1968,"AAAAABu/86g=")</f>
        <v>#VALUE!</v>
      </c>
      <c r="FN131" t="e">
        <f>AND('Planilla_General_07-12-2012_8_3'!J1968,"AAAAABu/86k=")</f>
        <v>#VALUE!</v>
      </c>
      <c r="FO131" t="e">
        <f>AND('Planilla_General_07-12-2012_8_3'!K1968,"AAAAABu/86o=")</f>
        <v>#VALUE!</v>
      </c>
      <c r="FP131" t="e">
        <f>AND('Planilla_General_07-12-2012_8_3'!L1968,"AAAAABu/86s=")</f>
        <v>#VALUE!</v>
      </c>
      <c r="FQ131" t="e">
        <f>AND('Planilla_General_07-12-2012_8_3'!M1968,"AAAAABu/86w=")</f>
        <v>#VALUE!</v>
      </c>
      <c r="FR131" t="e">
        <f>AND('Planilla_General_07-12-2012_8_3'!N1968,"AAAAABu/860=")</f>
        <v>#VALUE!</v>
      </c>
      <c r="FS131" t="e">
        <f>AND('Planilla_General_07-12-2012_8_3'!O1968,"AAAAABu/864=")</f>
        <v>#VALUE!</v>
      </c>
      <c r="FT131" t="e">
        <f>AND('Planilla_General_07-12-2012_8_3'!P1968,"AAAAABu/868=")</f>
        <v>#VALUE!</v>
      </c>
      <c r="FU131">
        <f>IF('Planilla_General_07-12-2012_8_3'!1969:1969,"AAAAABu/87A=",0)</f>
        <v>0</v>
      </c>
      <c r="FV131" t="e">
        <f>AND('Planilla_General_07-12-2012_8_3'!A1969,"AAAAABu/87E=")</f>
        <v>#VALUE!</v>
      </c>
      <c r="FW131" t="e">
        <f>AND('Planilla_General_07-12-2012_8_3'!B1969,"AAAAABu/87I=")</f>
        <v>#VALUE!</v>
      </c>
      <c r="FX131" t="e">
        <f>AND('Planilla_General_07-12-2012_8_3'!C1969,"AAAAABu/87M=")</f>
        <v>#VALUE!</v>
      </c>
      <c r="FY131" t="e">
        <f>AND('Planilla_General_07-12-2012_8_3'!D1969,"AAAAABu/87Q=")</f>
        <v>#VALUE!</v>
      </c>
      <c r="FZ131" t="e">
        <f>AND('Planilla_General_07-12-2012_8_3'!E1969,"AAAAABu/87U=")</f>
        <v>#VALUE!</v>
      </c>
      <c r="GA131" t="e">
        <f>AND('Planilla_General_07-12-2012_8_3'!F1969,"AAAAABu/87Y=")</f>
        <v>#VALUE!</v>
      </c>
      <c r="GB131" t="e">
        <f>AND('Planilla_General_07-12-2012_8_3'!G1969,"AAAAABu/87c=")</f>
        <v>#VALUE!</v>
      </c>
      <c r="GC131" t="e">
        <f>AND('Planilla_General_07-12-2012_8_3'!H1969,"AAAAABu/87g=")</f>
        <v>#VALUE!</v>
      </c>
      <c r="GD131" t="e">
        <f>AND('Planilla_General_07-12-2012_8_3'!I1969,"AAAAABu/87k=")</f>
        <v>#VALUE!</v>
      </c>
      <c r="GE131" t="e">
        <f>AND('Planilla_General_07-12-2012_8_3'!J1969,"AAAAABu/87o=")</f>
        <v>#VALUE!</v>
      </c>
      <c r="GF131" t="e">
        <f>AND('Planilla_General_07-12-2012_8_3'!K1969,"AAAAABu/87s=")</f>
        <v>#VALUE!</v>
      </c>
      <c r="GG131" t="e">
        <f>AND('Planilla_General_07-12-2012_8_3'!L1969,"AAAAABu/87w=")</f>
        <v>#VALUE!</v>
      </c>
      <c r="GH131" t="e">
        <f>AND('Planilla_General_07-12-2012_8_3'!M1969,"AAAAABu/870=")</f>
        <v>#VALUE!</v>
      </c>
      <c r="GI131" t="e">
        <f>AND('Planilla_General_07-12-2012_8_3'!N1969,"AAAAABu/874=")</f>
        <v>#VALUE!</v>
      </c>
      <c r="GJ131" t="e">
        <f>AND('Planilla_General_07-12-2012_8_3'!O1969,"AAAAABu/878=")</f>
        <v>#VALUE!</v>
      </c>
      <c r="GK131" t="e">
        <f>AND('Planilla_General_07-12-2012_8_3'!P1969,"AAAAABu/88A=")</f>
        <v>#VALUE!</v>
      </c>
      <c r="GL131">
        <f>IF('Planilla_General_07-12-2012_8_3'!1970:1970,"AAAAABu/88E=",0)</f>
        <v>0</v>
      </c>
      <c r="GM131" t="e">
        <f>AND('Planilla_General_07-12-2012_8_3'!A1970,"AAAAABu/88I=")</f>
        <v>#VALUE!</v>
      </c>
      <c r="GN131" t="e">
        <f>AND('Planilla_General_07-12-2012_8_3'!B1970,"AAAAABu/88M=")</f>
        <v>#VALUE!</v>
      </c>
      <c r="GO131" t="e">
        <f>AND('Planilla_General_07-12-2012_8_3'!C1970,"AAAAABu/88Q=")</f>
        <v>#VALUE!</v>
      </c>
      <c r="GP131" t="e">
        <f>AND('Planilla_General_07-12-2012_8_3'!D1970,"AAAAABu/88U=")</f>
        <v>#VALUE!</v>
      </c>
      <c r="GQ131" t="e">
        <f>AND('Planilla_General_07-12-2012_8_3'!E1970,"AAAAABu/88Y=")</f>
        <v>#VALUE!</v>
      </c>
      <c r="GR131" t="e">
        <f>AND('Planilla_General_07-12-2012_8_3'!F1970,"AAAAABu/88c=")</f>
        <v>#VALUE!</v>
      </c>
      <c r="GS131" t="e">
        <f>AND('Planilla_General_07-12-2012_8_3'!G1970,"AAAAABu/88g=")</f>
        <v>#VALUE!</v>
      </c>
      <c r="GT131" t="e">
        <f>AND('Planilla_General_07-12-2012_8_3'!H1970,"AAAAABu/88k=")</f>
        <v>#VALUE!</v>
      </c>
      <c r="GU131" t="e">
        <f>AND('Planilla_General_07-12-2012_8_3'!I1970,"AAAAABu/88o=")</f>
        <v>#VALUE!</v>
      </c>
      <c r="GV131" t="e">
        <f>AND('Planilla_General_07-12-2012_8_3'!J1970,"AAAAABu/88s=")</f>
        <v>#VALUE!</v>
      </c>
      <c r="GW131" t="e">
        <f>AND('Planilla_General_07-12-2012_8_3'!K1970,"AAAAABu/88w=")</f>
        <v>#VALUE!</v>
      </c>
      <c r="GX131" t="e">
        <f>AND('Planilla_General_07-12-2012_8_3'!L1970,"AAAAABu/880=")</f>
        <v>#VALUE!</v>
      </c>
      <c r="GY131" t="e">
        <f>AND('Planilla_General_07-12-2012_8_3'!M1970,"AAAAABu/884=")</f>
        <v>#VALUE!</v>
      </c>
      <c r="GZ131" t="e">
        <f>AND('Planilla_General_07-12-2012_8_3'!N1970,"AAAAABu/888=")</f>
        <v>#VALUE!</v>
      </c>
      <c r="HA131" t="e">
        <f>AND('Planilla_General_07-12-2012_8_3'!O1970,"AAAAABu/89A=")</f>
        <v>#VALUE!</v>
      </c>
      <c r="HB131" t="e">
        <f>AND('Planilla_General_07-12-2012_8_3'!P1970,"AAAAABu/89E=")</f>
        <v>#VALUE!</v>
      </c>
      <c r="HC131">
        <f>IF('Planilla_General_07-12-2012_8_3'!1971:1971,"AAAAABu/89I=",0)</f>
        <v>0</v>
      </c>
      <c r="HD131" t="e">
        <f>AND('Planilla_General_07-12-2012_8_3'!A1971,"AAAAABu/89M=")</f>
        <v>#VALUE!</v>
      </c>
      <c r="HE131" t="e">
        <f>AND('Planilla_General_07-12-2012_8_3'!B1971,"AAAAABu/89Q=")</f>
        <v>#VALUE!</v>
      </c>
      <c r="HF131" t="e">
        <f>AND('Planilla_General_07-12-2012_8_3'!C1971,"AAAAABu/89U=")</f>
        <v>#VALUE!</v>
      </c>
      <c r="HG131" t="e">
        <f>AND('Planilla_General_07-12-2012_8_3'!D1971,"AAAAABu/89Y=")</f>
        <v>#VALUE!</v>
      </c>
      <c r="HH131" t="e">
        <f>AND('Planilla_General_07-12-2012_8_3'!E1971,"AAAAABu/89c=")</f>
        <v>#VALUE!</v>
      </c>
      <c r="HI131" t="e">
        <f>AND('Planilla_General_07-12-2012_8_3'!F1971,"AAAAABu/89g=")</f>
        <v>#VALUE!</v>
      </c>
      <c r="HJ131" t="e">
        <f>AND('Planilla_General_07-12-2012_8_3'!G1971,"AAAAABu/89k=")</f>
        <v>#VALUE!</v>
      </c>
      <c r="HK131" t="e">
        <f>AND('Planilla_General_07-12-2012_8_3'!H1971,"AAAAABu/89o=")</f>
        <v>#VALUE!</v>
      </c>
      <c r="HL131" t="e">
        <f>AND('Planilla_General_07-12-2012_8_3'!I1971,"AAAAABu/89s=")</f>
        <v>#VALUE!</v>
      </c>
      <c r="HM131" t="e">
        <f>AND('Planilla_General_07-12-2012_8_3'!J1971,"AAAAABu/89w=")</f>
        <v>#VALUE!</v>
      </c>
      <c r="HN131" t="e">
        <f>AND('Planilla_General_07-12-2012_8_3'!K1971,"AAAAABu/890=")</f>
        <v>#VALUE!</v>
      </c>
      <c r="HO131" t="e">
        <f>AND('Planilla_General_07-12-2012_8_3'!L1971,"AAAAABu/894=")</f>
        <v>#VALUE!</v>
      </c>
      <c r="HP131" t="e">
        <f>AND('Planilla_General_07-12-2012_8_3'!M1971,"AAAAABu/898=")</f>
        <v>#VALUE!</v>
      </c>
      <c r="HQ131" t="e">
        <f>AND('Planilla_General_07-12-2012_8_3'!N1971,"AAAAABu/8+A=")</f>
        <v>#VALUE!</v>
      </c>
      <c r="HR131" t="e">
        <f>AND('Planilla_General_07-12-2012_8_3'!O1971,"AAAAABu/8+E=")</f>
        <v>#VALUE!</v>
      </c>
      <c r="HS131" t="e">
        <f>AND('Planilla_General_07-12-2012_8_3'!P1971,"AAAAABu/8+I=")</f>
        <v>#VALUE!</v>
      </c>
      <c r="HT131">
        <f>IF('Planilla_General_07-12-2012_8_3'!1972:1972,"AAAAABu/8+M=",0)</f>
        <v>0</v>
      </c>
      <c r="HU131" t="e">
        <f>AND('Planilla_General_07-12-2012_8_3'!A1972,"AAAAABu/8+Q=")</f>
        <v>#VALUE!</v>
      </c>
      <c r="HV131" t="e">
        <f>AND('Planilla_General_07-12-2012_8_3'!B1972,"AAAAABu/8+U=")</f>
        <v>#VALUE!</v>
      </c>
      <c r="HW131" t="e">
        <f>AND('Planilla_General_07-12-2012_8_3'!C1972,"AAAAABu/8+Y=")</f>
        <v>#VALUE!</v>
      </c>
      <c r="HX131" t="e">
        <f>AND('Planilla_General_07-12-2012_8_3'!D1972,"AAAAABu/8+c=")</f>
        <v>#VALUE!</v>
      </c>
      <c r="HY131" t="e">
        <f>AND('Planilla_General_07-12-2012_8_3'!E1972,"AAAAABu/8+g=")</f>
        <v>#VALUE!</v>
      </c>
      <c r="HZ131" t="e">
        <f>AND('Planilla_General_07-12-2012_8_3'!F1972,"AAAAABu/8+k=")</f>
        <v>#VALUE!</v>
      </c>
      <c r="IA131" t="e">
        <f>AND('Planilla_General_07-12-2012_8_3'!G1972,"AAAAABu/8+o=")</f>
        <v>#VALUE!</v>
      </c>
      <c r="IB131" t="e">
        <f>AND('Planilla_General_07-12-2012_8_3'!H1972,"AAAAABu/8+s=")</f>
        <v>#VALUE!</v>
      </c>
      <c r="IC131" t="e">
        <f>AND('Planilla_General_07-12-2012_8_3'!I1972,"AAAAABu/8+w=")</f>
        <v>#VALUE!</v>
      </c>
      <c r="ID131" t="e">
        <f>AND('Planilla_General_07-12-2012_8_3'!J1972,"AAAAABu/8+0=")</f>
        <v>#VALUE!</v>
      </c>
      <c r="IE131" t="e">
        <f>AND('Planilla_General_07-12-2012_8_3'!K1972,"AAAAABu/8+4=")</f>
        <v>#VALUE!</v>
      </c>
      <c r="IF131" t="e">
        <f>AND('Planilla_General_07-12-2012_8_3'!L1972,"AAAAABu/8+8=")</f>
        <v>#VALUE!</v>
      </c>
      <c r="IG131" t="e">
        <f>AND('Planilla_General_07-12-2012_8_3'!M1972,"AAAAABu/8/A=")</f>
        <v>#VALUE!</v>
      </c>
      <c r="IH131" t="e">
        <f>AND('Planilla_General_07-12-2012_8_3'!N1972,"AAAAABu/8/E=")</f>
        <v>#VALUE!</v>
      </c>
      <c r="II131" t="e">
        <f>AND('Planilla_General_07-12-2012_8_3'!O1972,"AAAAABu/8/I=")</f>
        <v>#VALUE!</v>
      </c>
      <c r="IJ131" t="e">
        <f>AND('Planilla_General_07-12-2012_8_3'!P1972,"AAAAABu/8/M=")</f>
        <v>#VALUE!</v>
      </c>
      <c r="IK131">
        <f>IF('Planilla_General_07-12-2012_8_3'!1973:1973,"AAAAABu/8/Q=",0)</f>
        <v>0</v>
      </c>
      <c r="IL131" t="e">
        <f>AND('Planilla_General_07-12-2012_8_3'!A1973,"AAAAABu/8/U=")</f>
        <v>#VALUE!</v>
      </c>
      <c r="IM131" t="e">
        <f>AND('Planilla_General_07-12-2012_8_3'!B1973,"AAAAABu/8/Y=")</f>
        <v>#VALUE!</v>
      </c>
      <c r="IN131" t="e">
        <f>AND('Planilla_General_07-12-2012_8_3'!C1973,"AAAAABu/8/c=")</f>
        <v>#VALUE!</v>
      </c>
      <c r="IO131" t="e">
        <f>AND('Planilla_General_07-12-2012_8_3'!D1973,"AAAAABu/8/g=")</f>
        <v>#VALUE!</v>
      </c>
      <c r="IP131" t="e">
        <f>AND('Planilla_General_07-12-2012_8_3'!E1973,"AAAAABu/8/k=")</f>
        <v>#VALUE!</v>
      </c>
      <c r="IQ131" t="e">
        <f>AND('Planilla_General_07-12-2012_8_3'!F1973,"AAAAABu/8/o=")</f>
        <v>#VALUE!</v>
      </c>
      <c r="IR131" t="e">
        <f>AND('Planilla_General_07-12-2012_8_3'!G1973,"AAAAABu/8/s=")</f>
        <v>#VALUE!</v>
      </c>
      <c r="IS131" t="e">
        <f>AND('Planilla_General_07-12-2012_8_3'!H1973,"AAAAABu/8/w=")</f>
        <v>#VALUE!</v>
      </c>
      <c r="IT131" t="e">
        <f>AND('Planilla_General_07-12-2012_8_3'!I1973,"AAAAABu/8/0=")</f>
        <v>#VALUE!</v>
      </c>
      <c r="IU131" t="e">
        <f>AND('Planilla_General_07-12-2012_8_3'!J1973,"AAAAABu/8/4=")</f>
        <v>#VALUE!</v>
      </c>
      <c r="IV131" t="e">
        <f>AND('Planilla_General_07-12-2012_8_3'!K1973,"AAAAABu/8/8=")</f>
        <v>#VALUE!</v>
      </c>
    </row>
    <row r="132" spans="1:256" x14ac:dyDescent="0.25">
      <c r="A132" t="e">
        <f>AND('Planilla_General_07-12-2012_8_3'!L1973,"AAAAAB9fmgA=")</f>
        <v>#VALUE!</v>
      </c>
      <c r="B132" t="e">
        <f>AND('Planilla_General_07-12-2012_8_3'!M1973,"AAAAAB9fmgE=")</f>
        <v>#VALUE!</v>
      </c>
      <c r="C132" t="e">
        <f>AND('Planilla_General_07-12-2012_8_3'!N1973,"AAAAAB9fmgI=")</f>
        <v>#VALUE!</v>
      </c>
      <c r="D132" t="e">
        <f>AND('Planilla_General_07-12-2012_8_3'!O1973,"AAAAAB9fmgM=")</f>
        <v>#VALUE!</v>
      </c>
      <c r="E132" t="e">
        <f>AND('Planilla_General_07-12-2012_8_3'!P1973,"AAAAAB9fmgQ=")</f>
        <v>#VALUE!</v>
      </c>
      <c r="F132" t="e">
        <f>IF('Planilla_General_07-12-2012_8_3'!1974:1974,"AAAAAB9fmgU=",0)</f>
        <v>#VALUE!</v>
      </c>
      <c r="G132" t="e">
        <f>AND('Planilla_General_07-12-2012_8_3'!A1974,"AAAAAB9fmgY=")</f>
        <v>#VALUE!</v>
      </c>
      <c r="H132" t="e">
        <f>AND('Planilla_General_07-12-2012_8_3'!B1974,"AAAAAB9fmgc=")</f>
        <v>#VALUE!</v>
      </c>
      <c r="I132" t="e">
        <f>AND('Planilla_General_07-12-2012_8_3'!C1974,"AAAAAB9fmgg=")</f>
        <v>#VALUE!</v>
      </c>
      <c r="J132" t="e">
        <f>AND('Planilla_General_07-12-2012_8_3'!D1974,"AAAAAB9fmgk=")</f>
        <v>#VALUE!</v>
      </c>
      <c r="K132" t="e">
        <f>AND('Planilla_General_07-12-2012_8_3'!E1974,"AAAAAB9fmgo=")</f>
        <v>#VALUE!</v>
      </c>
      <c r="L132" t="e">
        <f>AND('Planilla_General_07-12-2012_8_3'!F1974,"AAAAAB9fmgs=")</f>
        <v>#VALUE!</v>
      </c>
      <c r="M132" t="e">
        <f>AND('Planilla_General_07-12-2012_8_3'!G1974,"AAAAAB9fmgw=")</f>
        <v>#VALUE!</v>
      </c>
      <c r="N132" t="e">
        <f>AND('Planilla_General_07-12-2012_8_3'!H1974,"AAAAAB9fmg0=")</f>
        <v>#VALUE!</v>
      </c>
      <c r="O132" t="e">
        <f>AND('Planilla_General_07-12-2012_8_3'!I1974,"AAAAAB9fmg4=")</f>
        <v>#VALUE!</v>
      </c>
      <c r="P132" t="e">
        <f>AND('Planilla_General_07-12-2012_8_3'!J1974,"AAAAAB9fmg8=")</f>
        <v>#VALUE!</v>
      </c>
      <c r="Q132" t="e">
        <f>AND('Planilla_General_07-12-2012_8_3'!K1974,"AAAAAB9fmhA=")</f>
        <v>#VALUE!</v>
      </c>
      <c r="R132" t="e">
        <f>AND('Planilla_General_07-12-2012_8_3'!L1974,"AAAAAB9fmhE=")</f>
        <v>#VALUE!</v>
      </c>
      <c r="S132" t="e">
        <f>AND('Planilla_General_07-12-2012_8_3'!M1974,"AAAAAB9fmhI=")</f>
        <v>#VALUE!</v>
      </c>
      <c r="T132" t="e">
        <f>AND('Planilla_General_07-12-2012_8_3'!N1974,"AAAAAB9fmhM=")</f>
        <v>#VALUE!</v>
      </c>
      <c r="U132" t="e">
        <f>AND('Planilla_General_07-12-2012_8_3'!O1974,"AAAAAB9fmhQ=")</f>
        <v>#VALUE!</v>
      </c>
      <c r="V132" t="e">
        <f>AND('Planilla_General_07-12-2012_8_3'!P1974,"AAAAAB9fmhU=")</f>
        <v>#VALUE!</v>
      </c>
      <c r="W132">
        <f>IF('Planilla_General_07-12-2012_8_3'!1975:1975,"AAAAAB9fmhY=",0)</f>
        <v>0</v>
      </c>
      <c r="X132" t="e">
        <f>AND('Planilla_General_07-12-2012_8_3'!A1975,"AAAAAB9fmhc=")</f>
        <v>#VALUE!</v>
      </c>
      <c r="Y132" t="e">
        <f>AND('Planilla_General_07-12-2012_8_3'!B1975,"AAAAAB9fmhg=")</f>
        <v>#VALUE!</v>
      </c>
      <c r="Z132" t="e">
        <f>AND('Planilla_General_07-12-2012_8_3'!C1975,"AAAAAB9fmhk=")</f>
        <v>#VALUE!</v>
      </c>
      <c r="AA132" t="e">
        <f>AND('Planilla_General_07-12-2012_8_3'!D1975,"AAAAAB9fmho=")</f>
        <v>#VALUE!</v>
      </c>
      <c r="AB132" t="e">
        <f>AND('Planilla_General_07-12-2012_8_3'!E1975,"AAAAAB9fmhs=")</f>
        <v>#VALUE!</v>
      </c>
      <c r="AC132" t="e">
        <f>AND('Planilla_General_07-12-2012_8_3'!F1975,"AAAAAB9fmhw=")</f>
        <v>#VALUE!</v>
      </c>
      <c r="AD132" t="e">
        <f>AND('Planilla_General_07-12-2012_8_3'!G1975,"AAAAAB9fmh0=")</f>
        <v>#VALUE!</v>
      </c>
      <c r="AE132" t="e">
        <f>AND('Planilla_General_07-12-2012_8_3'!H1975,"AAAAAB9fmh4=")</f>
        <v>#VALUE!</v>
      </c>
      <c r="AF132" t="e">
        <f>AND('Planilla_General_07-12-2012_8_3'!I1975,"AAAAAB9fmh8=")</f>
        <v>#VALUE!</v>
      </c>
      <c r="AG132" t="e">
        <f>AND('Planilla_General_07-12-2012_8_3'!J1975,"AAAAAB9fmiA=")</f>
        <v>#VALUE!</v>
      </c>
      <c r="AH132" t="e">
        <f>AND('Planilla_General_07-12-2012_8_3'!K1975,"AAAAAB9fmiE=")</f>
        <v>#VALUE!</v>
      </c>
      <c r="AI132" t="e">
        <f>AND('Planilla_General_07-12-2012_8_3'!L1975,"AAAAAB9fmiI=")</f>
        <v>#VALUE!</v>
      </c>
      <c r="AJ132" t="e">
        <f>AND('Planilla_General_07-12-2012_8_3'!M1975,"AAAAAB9fmiM=")</f>
        <v>#VALUE!</v>
      </c>
      <c r="AK132" t="e">
        <f>AND('Planilla_General_07-12-2012_8_3'!N1975,"AAAAAB9fmiQ=")</f>
        <v>#VALUE!</v>
      </c>
      <c r="AL132" t="e">
        <f>AND('Planilla_General_07-12-2012_8_3'!O1975,"AAAAAB9fmiU=")</f>
        <v>#VALUE!</v>
      </c>
      <c r="AM132" t="e">
        <f>AND('Planilla_General_07-12-2012_8_3'!P1975,"AAAAAB9fmiY=")</f>
        <v>#VALUE!</v>
      </c>
      <c r="AN132">
        <f>IF('Planilla_General_07-12-2012_8_3'!1976:1976,"AAAAAB9fmic=",0)</f>
        <v>0</v>
      </c>
      <c r="AO132" t="e">
        <f>AND('Planilla_General_07-12-2012_8_3'!A1976,"AAAAAB9fmig=")</f>
        <v>#VALUE!</v>
      </c>
      <c r="AP132" t="e">
        <f>AND('Planilla_General_07-12-2012_8_3'!B1976,"AAAAAB9fmik=")</f>
        <v>#VALUE!</v>
      </c>
      <c r="AQ132" t="e">
        <f>AND('Planilla_General_07-12-2012_8_3'!C1976,"AAAAAB9fmio=")</f>
        <v>#VALUE!</v>
      </c>
      <c r="AR132" t="e">
        <f>AND('Planilla_General_07-12-2012_8_3'!D1976,"AAAAAB9fmis=")</f>
        <v>#VALUE!</v>
      </c>
      <c r="AS132" t="e">
        <f>AND('Planilla_General_07-12-2012_8_3'!E1976,"AAAAAB9fmiw=")</f>
        <v>#VALUE!</v>
      </c>
      <c r="AT132" t="e">
        <f>AND('Planilla_General_07-12-2012_8_3'!F1976,"AAAAAB9fmi0=")</f>
        <v>#VALUE!</v>
      </c>
      <c r="AU132" t="e">
        <f>AND('Planilla_General_07-12-2012_8_3'!G1976,"AAAAAB9fmi4=")</f>
        <v>#VALUE!</v>
      </c>
      <c r="AV132" t="e">
        <f>AND('Planilla_General_07-12-2012_8_3'!H1976,"AAAAAB9fmi8=")</f>
        <v>#VALUE!</v>
      </c>
      <c r="AW132" t="e">
        <f>AND('Planilla_General_07-12-2012_8_3'!I1976,"AAAAAB9fmjA=")</f>
        <v>#VALUE!</v>
      </c>
      <c r="AX132" t="e">
        <f>AND('Planilla_General_07-12-2012_8_3'!J1976,"AAAAAB9fmjE=")</f>
        <v>#VALUE!</v>
      </c>
      <c r="AY132" t="e">
        <f>AND('Planilla_General_07-12-2012_8_3'!K1976,"AAAAAB9fmjI=")</f>
        <v>#VALUE!</v>
      </c>
      <c r="AZ132" t="e">
        <f>AND('Planilla_General_07-12-2012_8_3'!L1976,"AAAAAB9fmjM=")</f>
        <v>#VALUE!</v>
      </c>
      <c r="BA132" t="e">
        <f>AND('Planilla_General_07-12-2012_8_3'!M1976,"AAAAAB9fmjQ=")</f>
        <v>#VALUE!</v>
      </c>
      <c r="BB132" t="e">
        <f>AND('Planilla_General_07-12-2012_8_3'!N1976,"AAAAAB9fmjU=")</f>
        <v>#VALUE!</v>
      </c>
      <c r="BC132" t="e">
        <f>AND('Planilla_General_07-12-2012_8_3'!O1976,"AAAAAB9fmjY=")</f>
        <v>#VALUE!</v>
      </c>
      <c r="BD132" t="e">
        <f>AND('Planilla_General_07-12-2012_8_3'!P1976,"AAAAAB9fmjc=")</f>
        <v>#VALUE!</v>
      </c>
      <c r="BE132">
        <f>IF('Planilla_General_07-12-2012_8_3'!1977:1977,"AAAAAB9fmjg=",0)</f>
        <v>0</v>
      </c>
      <c r="BF132" t="e">
        <f>AND('Planilla_General_07-12-2012_8_3'!A1977,"AAAAAB9fmjk=")</f>
        <v>#VALUE!</v>
      </c>
      <c r="BG132" t="e">
        <f>AND('Planilla_General_07-12-2012_8_3'!B1977,"AAAAAB9fmjo=")</f>
        <v>#VALUE!</v>
      </c>
      <c r="BH132" t="e">
        <f>AND('Planilla_General_07-12-2012_8_3'!C1977,"AAAAAB9fmjs=")</f>
        <v>#VALUE!</v>
      </c>
      <c r="BI132" t="e">
        <f>AND('Planilla_General_07-12-2012_8_3'!D1977,"AAAAAB9fmjw=")</f>
        <v>#VALUE!</v>
      </c>
      <c r="BJ132" t="e">
        <f>AND('Planilla_General_07-12-2012_8_3'!E1977,"AAAAAB9fmj0=")</f>
        <v>#VALUE!</v>
      </c>
      <c r="BK132" t="e">
        <f>AND('Planilla_General_07-12-2012_8_3'!F1977,"AAAAAB9fmj4=")</f>
        <v>#VALUE!</v>
      </c>
      <c r="BL132" t="e">
        <f>AND('Planilla_General_07-12-2012_8_3'!G1977,"AAAAAB9fmj8=")</f>
        <v>#VALUE!</v>
      </c>
      <c r="BM132" t="e">
        <f>AND('Planilla_General_07-12-2012_8_3'!H1977,"AAAAAB9fmkA=")</f>
        <v>#VALUE!</v>
      </c>
      <c r="BN132" t="e">
        <f>AND('Planilla_General_07-12-2012_8_3'!I1977,"AAAAAB9fmkE=")</f>
        <v>#VALUE!</v>
      </c>
      <c r="BO132" t="e">
        <f>AND('Planilla_General_07-12-2012_8_3'!J1977,"AAAAAB9fmkI=")</f>
        <v>#VALUE!</v>
      </c>
      <c r="BP132" t="e">
        <f>AND('Planilla_General_07-12-2012_8_3'!K1977,"AAAAAB9fmkM=")</f>
        <v>#VALUE!</v>
      </c>
      <c r="BQ132" t="e">
        <f>AND('Planilla_General_07-12-2012_8_3'!L1977,"AAAAAB9fmkQ=")</f>
        <v>#VALUE!</v>
      </c>
      <c r="BR132" t="e">
        <f>AND('Planilla_General_07-12-2012_8_3'!M1977,"AAAAAB9fmkU=")</f>
        <v>#VALUE!</v>
      </c>
      <c r="BS132" t="e">
        <f>AND('Planilla_General_07-12-2012_8_3'!N1977,"AAAAAB9fmkY=")</f>
        <v>#VALUE!</v>
      </c>
      <c r="BT132" t="e">
        <f>AND('Planilla_General_07-12-2012_8_3'!O1977,"AAAAAB9fmkc=")</f>
        <v>#VALUE!</v>
      </c>
      <c r="BU132" t="e">
        <f>AND('Planilla_General_07-12-2012_8_3'!P1977,"AAAAAB9fmkg=")</f>
        <v>#VALUE!</v>
      </c>
      <c r="BV132">
        <f>IF('Planilla_General_07-12-2012_8_3'!1978:1978,"AAAAAB9fmkk=",0)</f>
        <v>0</v>
      </c>
      <c r="BW132" t="e">
        <f>AND('Planilla_General_07-12-2012_8_3'!A1978,"AAAAAB9fmko=")</f>
        <v>#VALUE!</v>
      </c>
      <c r="BX132" t="e">
        <f>AND('Planilla_General_07-12-2012_8_3'!B1978,"AAAAAB9fmks=")</f>
        <v>#VALUE!</v>
      </c>
      <c r="BY132" t="e">
        <f>AND('Planilla_General_07-12-2012_8_3'!C1978,"AAAAAB9fmkw=")</f>
        <v>#VALUE!</v>
      </c>
      <c r="BZ132" t="e">
        <f>AND('Planilla_General_07-12-2012_8_3'!D1978,"AAAAAB9fmk0=")</f>
        <v>#VALUE!</v>
      </c>
      <c r="CA132" t="e">
        <f>AND('Planilla_General_07-12-2012_8_3'!E1978,"AAAAAB9fmk4=")</f>
        <v>#VALUE!</v>
      </c>
      <c r="CB132" t="e">
        <f>AND('Planilla_General_07-12-2012_8_3'!F1978,"AAAAAB9fmk8=")</f>
        <v>#VALUE!</v>
      </c>
      <c r="CC132" t="e">
        <f>AND('Planilla_General_07-12-2012_8_3'!G1978,"AAAAAB9fmlA=")</f>
        <v>#VALUE!</v>
      </c>
      <c r="CD132" t="e">
        <f>AND('Planilla_General_07-12-2012_8_3'!H1978,"AAAAAB9fmlE=")</f>
        <v>#VALUE!</v>
      </c>
      <c r="CE132" t="e">
        <f>AND('Planilla_General_07-12-2012_8_3'!I1978,"AAAAAB9fmlI=")</f>
        <v>#VALUE!</v>
      </c>
      <c r="CF132" t="e">
        <f>AND('Planilla_General_07-12-2012_8_3'!J1978,"AAAAAB9fmlM=")</f>
        <v>#VALUE!</v>
      </c>
      <c r="CG132" t="e">
        <f>AND('Planilla_General_07-12-2012_8_3'!K1978,"AAAAAB9fmlQ=")</f>
        <v>#VALUE!</v>
      </c>
      <c r="CH132" t="e">
        <f>AND('Planilla_General_07-12-2012_8_3'!L1978,"AAAAAB9fmlU=")</f>
        <v>#VALUE!</v>
      </c>
      <c r="CI132" t="e">
        <f>AND('Planilla_General_07-12-2012_8_3'!M1978,"AAAAAB9fmlY=")</f>
        <v>#VALUE!</v>
      </c>
      <c r="CJ132" t="e">
        <f>AND('Planilla_General_07-12-2012_8_3'!N1978,"AAAAAB9fmlc=")</f>
        <v>#VALUE!</v>
      </c>
      <c r="CK132" t="e">
        <f>AND('Planilla_General_07-12-2012_8_3'!O1978,"AAAAAB9fmlg=")</f>
        <v>#VALUE!</v>
      </c>
      <c r="CL132" t="e">
        <f>AND('Planilla_General_07-12-2012_8_3'!P1978,"AAAAAB9fmlk=")</f>
        <v>#VALUE!</v>
      </c>
      <c r="CM132">
        <f>IF('Planilla_General_07-12-2012_8_3'!1979:1979,"AAAAAB9fmlo=",0)</f>
        <v>0</v>
      </c>
      <c r="CN132" t="e">
        <f>AND('Planilla_General_07-12-2012_8_3'!A1979,"AAAAAB9fmls=")</f>
        <v>#VALUE!</v>
      </c>
      <c r="CO132" t="e">
        <f>AND('Planilla_General_07-12-2012_8_3'!B1979,"AAAAAB9fmlw=")</f>
        <v>#VALUE!</v>
      </c>
      <c r="CP132" t="e">
        <f>AND('Planilla_General_07-12-2012_8_3'!C1979,"AAAAAB9fml0=")</f>
        <v>#VALUE!</v>
      </c>
      <c r="CQ132" t="e">
        <f>AND('Planilla_General_07-12-2012_8_3'!D1979,"AAAAAB9fml4=")</f>
        <v>#VALUE!</v>
      </c>
      <c r="CR132" t="e">
        <f>AND('Planilla_General_07-12-2012_8_3'!E1979,"AAAAAB9fml8=")</f>
        <v>#VALUE!</v>
      </c>
      <c r="CS132" t="e">
        <f>AND('Planilla_General_07-12-2012_8_3'!F1979,"AAAAAB9fmmA=")</f>
        <v>#VALUE!</v>
      </c>
      <c r="CT132" t="e">
        <f>AND('Planilla_General_07-12-2012_8_3'!G1979,"AAAAAB9fmmE=")</f>
        <v>#VALUE!</v>
      </c>
      <c r="CU132" t="e">
        <f>AND('Planilla_General_07-12-2012_8_3'!H1979,"AAAAAB9fmmI=")</f>
        <v>#VALUE!</v>
      </c>
      <c r="CV132" t="e">
        <f>AND('Planilla_General_07-12-2012_8_3'!I1979,"AAAAAB9fmmM=")</f>
        <v>#VALUE!</v>
      </c>
      <c r="CW132" t="e">
        <f>AND('Planilla_General_07-12-2012_8_3'!J1979,"AAAAAB9fmmQ=")</f>
        <v>#VALUE!</v>
      </c>
      <c r="CX132" t="e">
        <f>AND('Planilla_General_07-12-2012_8_3'!K1979,"AAAAAB9fmmU=")</f>
        <v>#VALUE!</v>
      </c>
      <c r="CY132" t="e">
        <f>AND('Planilla_General_07-12-2012_8_3'!L1979,"AAAAAB9fmmY=")</f>
        <v>#VALUE!</v>
      </c>
      <c r="CZ132" t="e">
        <f>AND('Planilla_General_07-12-2012_8_3'!M1979,"AAAAAB9fmmc=")</f>
        <v>#VALUE!</v>
      </c>
      <c r="DA132" t="e">
        <f>AND('Planilla_General_07-12-2012_8_3'!N1979,"AAAAAB9fmmg=")</f>
        <v>#VALUE!</v>
      </c>
      <c r="DB132" t="e">
        <f>AND('Planilla_General_07-12-2012_8_3'!O1979,"AAAAAB9fmmk=")</f>
        <v>#VALUE!</v>
      </c>
      <c r="DC132" t="e">
        <f>AND('Planilla_General_07-12-2012_8_3'!P1979,"AAAAAB9fmmo=")</f>
        <v>#VALUE!</v>
      </c>
      <c r="DD132">
        <f>IF('Planilla_General_07-12-2012_8_3'!1980:1980,"AAAAAB9fmms=",0)</f>
        <v>0</v>
      </c>
      <c r="DE132" t="e">
        <f>AND('Planilla_General_07-12-2012_8_3'!A1980,"AAAAAB9fmmw=")</f>
        <v>#VALUE!</v>
      </c>
      <c r="DF132" t="e">
        <f>AND('Planilla_General_07-12-2012_8_3'!B1980,"AAAAAB9fmm0=")</f>
        <v>#VALUE!</v>
      </c>
      <c r="DG132" t="e">
        <f>AND('Planilla_General_07-12-2012_8_3'!C1980,"AAAAAB9fmm4=")</f>
        <v>#VALUE!</v>
      </c>
      <c r="DH132" t="e">
        <f>AND('Planilla_General_07-12-2012_8_3'!D1980,"AAAAAB9fmm8=")</f>
        <v>#VALUE!</v>
      </c>
      <c r="DI132" t="e">
        <f>AND('Planilla_General_07-12-2012_8_3'!E1980,"AAAAAB9fmnA=")</f>
        <v>#VALUE!</v>
      </c>
      <c r="DJ132" t="e">
        <f>AND('Planilla_General_07-12-2012_8_3'!F1980,"AAAAAB9fmnE=")</f>
        <v>#VALUE!</v>
      </c>
      <c r="DK132" t="e">
        <f>AND('Planilla_General_07-12-2012_8_3'!G1980,"AAAAAB9fmnI=")</f>
        <v>#VALUE!</v>
      </c>
      <c r="DL132" t="e">
        <f>AND('Planilla_General_07-12-2012_8_3'!H1980,"AAAAAB9fmnM=")</f>
        <v>#VALUE!</v>
      </c>
      <c r="DM132" t="e">
        <f>AND('Planilla_General_07-12-2012_8_3'!I1980,"AAAAAB9fmnQ=")</f>
        <v>#VALUE!</v>
      </c>
      <c r="DN132" t="e">
        <f>AND('Planilla_General_07-12-2012_8_3'!J1980,"AAAAAB9fmnU=")</f>
        <v>#VALUE!</v>
      </c>
      <c r="DO132" t="e">
        <f>AND('Planilla_General_07-12-2012_8_3'!K1980,"AAAAAB9fmnY=")</f>
        <v>#VALUE!</v>
      </c>
      <c r="DP132" t="e">
        <f>AND('Planilla_General_07-12-2012_8_3'!L1980,"AAAAAB9fmnc=")</f>
        <v>#VALUE!</v>
      </c>
      <c r="DQ132" t="e">
        <f>AND('Planilla_General_07-12-2012_8_3'!M1980,"AAAAAB9fmng=")</f>
        <v>#VALUE!</v>
      </c>
      <c r="DR132" t="e">
        <f>AND('Planilla_General_07-12-2012_8_3'!N1980,"AAAAAB9fmnk=")</f>
        <v>#VALUE!</v>
      </c>
      <c r="DS132" t="e">
        <f>AND('Planilla_General_07-12-2012_8_3'!O1980,"AAAAAB9fmno=")</f>
        <v>#VALUE!</v>
      </c>
      <c r="DT132" t="e">
        <f>AND('Planilla_General_07-12-2012_8_3'!P1980,"AAAAAB9fmns=")</f>
        <v>#VALUE!</v>
      </c>
      <c r="DU132">
        <f>IF('Planilla_General_07-12-2012_8_3'!1981:1981,"AAAAAB9fmnw=",0)</f>
        <v>0</v>
      </c>
      <c r="DV132" t="e">
        <f>AND('Planilla_General_07-12-2012_8_3'!A1981,"AAAAAB9fmn0=")</f>
        <v>#VALUE!</v>
      </c>
      <c r="DW132" t="e">
        <f>AND('Planilla_General_07-12-2012_8_3'!B1981,"AAAAAB9fmn4=")</f>
        <v>#VALUE!</v>
      </c>
      <c r="DX132" t="e">
        <f>AND('Planilla_General_07-12-2012_8_3'!C1981,"AAAAAB9fmn8=")</f>
        <v>#VALUE!</v>
      </c>
      <c r="DY132" t="e">
        <f>AND('Planilla_General_07-12-2012_8_3'!D1981,"AAAAAB9fmoA=")</f>
        <v>#VALUE!</v>
      </c>
      <c r="DZ132" t="e">
        <f>AND('Planilla_General_07-12-2012_8_3'!E1981,"AAAAAB9fmoE=")</f>
        <v>#VALUE!</v>
      </c>
      <c r="EA132" t="e">
        <f>AND('Planilla_General_07-12-2012_8_3'!F1981,"AAAAAB9fmoI=")</f>
        <v>#VALUE!</v>
      </c>
      <c r="EB132" t="e">
        <f>AND('Planilla_General_07-12-2012_8_3'!G1981,"AAAAAB9fmoM=")</f>
        <v>#VALUE!</v>
      </c>
      <c r="EC132" t="e">
        <f>AND('Planilla_General_07-12-2012_8_3'!H1981,"AAAAAB9fmoQ=")</f>
        <v>#VALUE!</v>
      </c>
      <c r="ED132" t="e">
        <f>AND('Planilla_General_07-12-2012_8_3'!I1981,"AAAAAB9fmoU=")</f>
        <v>#VALUE!</v>
      </c>
      <c r="EE132" t="e">
        <f>AND('Planilla_General_07-12-2012_8_3'!J1981,"AAAAAB9fmoY=")</f>
        <v>#VALUE!</v>
      </c>
      <c r="EF132" t="e">
        <f>AND('Planilla_General_07-12-2012_8_3'!K1981,"AAAAAB9fmoc=")</f>
        <v>#VALUE!</v>
      </c>
      <c r="EG132" t="e">
        <f>AND('Planilla_General_07-12-2012_8_3'!L1981,"AAAAAB9fmog=")</f>
        <v>#VALUE!</v>
      </c>
      <c r="EH132" t="e">
        <f>AND('Planilla_General_07-12-2012_8_3'!M1981,"AAAAAB9fmok=")</f>
        <v>#VALUE!</v>
      </c>
      <c r="EI132" t="e">
        <f>AND('Planilla_General_07-12-2012_8_3'!N1981,"AAAAAB9fmoo=")</f>
        <v>#VALUE!</v>
      </c>
      <c r="EJ132" t="e">
        <f>AND('Planilla_General_07-12-2012_8_3'!O1981,"AAAAAB9fmos=")</f>
        <v>#VALUE!</v>
      </c>
      <c r="EK132" t="e">
        <f>AND('Planilla_General_07-12-2012_8_3'!P1981,"AAAAAB9fmow=")</f>
        <v>#VALUE!</v>
      </c>
      <c r="EL132">
        <f>IF('Planilla_General_07-12-2012_8_3'!1982:1982,"AAAAAB9fmo0=",0)</f>
        <v>0</v>
      </c>
      <c r="EM132" t="e">
        <f>AND('Planilla_General_07-12-2012_8_3'!A1982,"AAAAAB9fmo4=")</f>
        <v>#VALUE!</v>
      </c>
      <c r="EN132" t="e">
        <f>AND('Planilla_General_07-12-2012_8_3'!B1982,"AAAAAB9fmo8=")</f>
        <v>#VALUE!</v>
      </c>
      <c r="EO132" t="e">
        <f>AND('Planilla_General_07-12-2012_8_3'!C1982,"AAAAAB9fmpA=")</f>
        <v>#VALUE!</v>
      </c>
      <c r="EP132" t="e">
        <f>AND('Planilla_General_07-12-2012_8_3'!D1982,"AAAAAB9fmpE=")</f>
        <v>#VALUE!</v>
      </c>
      <c r="EQ132" t="e">
        <f>AND('Planilla_General_07-12-2012_8_3'!E1982,"AAAAAB9fmpI=")</f>
        <v>#VALUE!</v>
      </c>
      <c r="ER132" t="e">
        <f>AND('Planilla_General_07-12-2012_8_3'!F1982,"AAAAAB9fmpM=")</f>
        <v>#VALUE!</v>
      </c>
      <c r="ES132" t="e">
        <f>AND('Planilla_General_07-12-2012_8_3'!G1982,"AAAAAB9fmpQ=")</f>
        <v>#VALUE!</v>
      </c>
      <c r="ET132" t="e">
        <f>AND('Planilla_General_07-12-2012_8_3'!H1982,"AAAAAB9fmpU=")</f>
        <v>#VALUE!</v>
      </c>
      <c r="EU132" t="e">
        <f>AND('Planilla_General_07-12-2012_8_3'!I1982,"AAAAAB9fmpY=")</f>
        <v>#VALUE!</v>
      </c>
      <c r="EV132" t="e">
        <f>AND('Planilla_General_07-12-2012_8_3'!J1982,"AAAAAB9fmpc=")</f>
        <v>#VALUE!</v>
      </c>
      <c r="EW132" t="e">
        <f>AND('Planilla_General_07-12-2012_8_3'!K1982,"AAAAAB9fmpg=")</f>
        <v>#VALUE!</v>
      </c>
      <c r="EX132" t="e">
        <f>AND('Planilla_General_07-12-2012_8_3'!L1982,"AAAAAB9fmpk=")</f>
        <v>#VALUE!</v>
      </c>
      <c r="EY132" t="e">
        <f>AND('Planilla_General_07-12-2012_8_3'!M1982,"AAAAAB9fmpo=")</f>
        <v>#VALUE!</v>
      </c>
      <c r="EZ132" t="e">
        <f>AND('Planilla_General_07-12-2012_8_3'!N1982,"AAAAAB9fmps=")</f>
        <v>#VALUE!</v>
      </c>
      <c r="FA132" t="e">
        <f>AND('Planilla_General_07-12-2012_8_3'!O1982,"AAAAAB9fmpw=")</f>
        <v>#VALUE!</v>
      </c>
      <c r="FB132" t="e">
        <f>AND('Planilla_General_07-12-2012_8_3'!P1982,"AAAAAB9fmp0=")</f>
        <v>#VALUE!</v>
      </c>
      <c r="FC132">
        <f>IF('Planilla_General_07-12-2012_8_3'!1983:1983,"AAAAAB9fmp4=",0)</f>
        <v>0</v>
      </c>
      <c r="FD132" t="e">
        <f>AND('Planilla_General_07-12-2012_8_3'!A1983,"AAAAAB9fmp8=")</f>
        <v>#VALUE!</v>
      </c>
      <c r="FE132" t="e">
        <f>AND('Planilla_General_07-12-2012_8_3'!B1983,"AAAAAB9fmqA=")</f>
        <v>#VALUE!</v>
      </c>
      <c r="FF132" t="e">
        <f>AND('Planilla_General_07-12-2012_8_3'!C1983,"AAAAAB9fmqE=")</f>
        <v>#VALUE!</v>
      </c>
      <c r="FG132" t="e">
        <f>AND('Planilla_General_07-12-2012_8_3'!D1983,"AAAAAB9fmqI=")</f>
        <v>#VALUE!</v>
      </c>
      <c r="FH132" t="e">
        <f>AND('Planilla_General_07-12-2012_8_3'!E1983,"AAAAAB9fmqM=")</f>
        <v>#VALUE!</v>
      </c>
      <c r="FI132" t="e">
        <f>AND('Planilla_General_07-12-2012_8_3'!F1983,"AAAAAB9fmqQ=")</f>
        <v>#VALUE!</v>
      </c>
      <c r="FJ132" t="e">
        <f>AND('Planilla_General_07-12-2012_8_3'!G1983,"AAAAAB9fmqU=")</f>
        <v>#VALUE!</v>
      </c>
      <c r="FK132" t="e">
        <f>AND('Planilla_General_07-12-2012_8_3'!H1983,"AAAAAB9fmqY=")</f>
        <v>#VALUE!</v>
      </c>
      <c r="FL132" t="e">
        <f>AND('Planilla_General_07-12-2012_8_3'!I1983,"AAAAAB9fmqc=")</f>
        <v>#VALUE!</v>
      </c>
      <c r="FM132" t="e">
        <f>AND('Planilla_General_07-12-2012_8_3'!J1983,"AAAAAB9fmqg=")</f>
        <v>#VALUE!</v>
      </c>
      <c r="FN132" t="e">
        <f>AND('Planilla_General_07-12-2012_8_3'!K1983,"AAAAAB9fmqk=")</f>
        <v>#VALUE!</v>
      </c>
      <c r="FO132" t="e">
        <f>AND('Planilla_General_07-12-2012_8_3'!L1983,"AAAAAB9fmqo=")</f>
        <v>#VALUE!</v>
      </c>
      <c r="FP132" t="e">
        <f>AND('Planilla_General_07-12-2012_8_3'!M1983,"AAAAAB9fmqs=")</f>
        <v>#VALUE!</v>
      </c>
      <c r="FQ132" t="e">
        <f>AND('Planilla_General_07-12-2012_8_3'!N1983,"AAAAAB9fmqw=")</f>
        <v>#VALUE!</v>
      </c>
      <c r="FR132" t="e">
        <f>AND('Planilla_General_07-12-2012_8_3'!O1983,"AAAAAB9fmq0=")</f>
        <v>#VALUE!</v>
      </c>
      <c r="FS132" t="e">
        <f>AND('Planilla_General_07-12-2012_8_3'!P1983,"AAAAAB9fmq4=")</f>
        <v>#VALUE!</v>
      </c>
      <c r="FT132">
        <f>IF('Planilla_General_07-12-2012_8_3'!1984:1984,"AAAAAB9fmq8=",0)</f>
        <v>0</v>
      </c>
      <c r="FU132" t="e">
        <f>AND('Planilla_General_07-12-2012_8_3'!A1984,"AAAAAB9fmrA=")</f>
        <v>#VALUE!</v>
      </c>
      <c r="FV132" t="e">
        <f>AND('Planilla_General_07-12-2012_8_3'!B1984,"AAAAAB9fmrE=")</f>
        <v>#VALUE!</v>
      </c>
      <c r="FW132" t="e">
        <f>AND('Planilla_General_07-12-2012_8_3'!C1984,"AAAAAB9fmrI=")</f>
        <v>#VALUE!</v>
      </c>
      <c r="FX132" t="e">
        <f>AND('Planilla_General_07-12-2012_8_3'!D1984,"AAAAAB9fmrM=")</f>
        <v>#VALUE!</v>
      </c>
      <c r="FY132" t="e">
        <f>AND('Planilla_General_07-12-2012_8_3'!E1984,"AAAAAB9fmrQ=")</f>
        <v>#VALUE!</v>
      </c>
      <c r="FZ132" t="e">
        <f>AND('Planilla_General_07-12-2012_8_3'!F1984,"AAAAAB9fmrU=")</f>
        <v>#VALUE!</v>
      </c>
      <c r="GA132" t="e">
        <f>AND('Planilla_General_07-12-2012_8_3'!G1984,"AAAAAB9fmrY=")</f>
        <v>#VALUE!</v>
      </c>
      <c r="GB132" t="e">
        <f>AND('Planilla_General_07-12-2012_8_3'!H1984,"AAAAAB9fmrc=")</f>
        <v>#VALUE!</v>
      </c>
      <c r="GC132" t="e">
        <f>AND('Planilla_General_07-12-2012_8_3'!I1984,"AAAAAB9fmrg=")</f>
        <v>#VALUE!</v>
      </c>
      <c r="GD132" t="e">
        <f>AND('Planilla_General_07-12-2012_8_3'!J1984,"AAAAAB9fmrk=")</f>
        <v>#VALUE!</v>
      </c>
      <c r="GE132" t="e">
        <f>AND('Planilla_General_07-12-2012_8_3'!K1984,"AAAAAB9fmro=")</f>
        <v>#VALUE!</v>
      </c>
      <c r="GF132" t="e">
        <f>AND('Planilla_General_07-12-2012_8_3'!L1984,"AAAAAB9fmrs=")</f>
        <v>#VALUE!</v>
      </c>
      <c r="GG132" t="e">
        <f>AND('Planilla_General_07-12-2012_8_3'!M1984,"AAAAAB9fmrw=")</f>
        <v>#VALUE!</v>
      </c>
      <c r="GH132" t="e">
        <f>AND('Planilla_General_07-12-2012_8_3'!N1984,"AAAAAB9fmr0=")</f>
        <v>#VALUE!</v>
      </c>
      <c r="GI132" t="e">
        <f>AND('Planilla_General_07-12-2012_8_3'!O1984,"AAAAAB9fmr4=")</f>
        <v>#VALUE!</v>
      </c>
      <c r="GJ132" t="e">
        <f>AND('Planilla_General_07-12-2012_8_3'!P1984,"AAAAAB9fmr8=")</f>
        <v>#VALUE!</v>
      </c>
      <c r="GK132">
        <f>IF('Planilla_General_07-12-2012_8_3'!1985:1985,"AAAAAB9fmsA=",0)</f>
        <v>0</v>
      </c>
      <c r="GL132" t="e">
        <f>AND('Planilla_General_07-12-2012_8_3'!A1985,"AAAAAB9fmsE=")</f>
        <v>#VALUE!</v>
      </c>
      <c r="GM132" t="e">
        <f>AND('Planilla_General_07-12-2012_8_3'!B1985,"AAAAAB9fmsI=")</f>
        <v>#VALUE!</v>
      </c>
      <c r="GN132" t="e">
        <f>AND('Planilla_General_07-12-2012_8_3'!C1985,"AAAAAB9fmsM=")</f>
        <v>#VALUE!</v>
      </c>
      <c r="GO132" t="e">
        <f>AND('Planilla_General_07-12-2012_8_3'!D1985,"AAAAAB9fmsQ=")</f>
        <v>#VALUE!</v>
      </c>
      <c r="GP132" t="e">
        <f>AND('Planilla_General_07-12-2012_8_3'!E1985,"AAAAAB9fmsU=")</f>
        <v>#VALUE!</v>
      </c>
      <c r="GQ132" t="e">
        <f>AND('Planilla_General_07-12-2012_8_3'!F1985,"AAAAAB9fmsY=")</f>
        <v>#VALUE!</v>
      </c>
      <c r="GR132" t="e">
        <f>AND('Planilla_General_07-12-2012_8_3'!G1985,"AAAAAB9fmsc=")</f>
        <v>#VALUE!</v>
      </c>
      <c r="GS132" t="e">
        <f>AND('Planilla_General_07-12-2012_8_3'!H1985,"AAAAAB9fmsg=")</f>
        <v>#VALUE!</v>
      </c>
      <c r="GT132" t="e">
        <f>AND('Planilla_General_07-12-2012_8_3'!I1985,"AAAAAB9fmsk=")</f>
        <v>#VALUE!</v>
      </c>
      <c r="GU132" t="e">
        <f>AND('Planilla_General_07-12-2012_8_3'!J1985,"AAAAAB9fmso=")</f>
        <v>#VALUE!</v>
      </c>
      <c r="GV132" t="e">
        <f>AND('Planilla_General_07-12-2012_8_3'!K1985,"AAAAAB9fmss=")</f>
        <v>#VALUE!</v>
      </c>
      <c r="GW132" t="e">
        <f>AND('Planilla_General_07-12-2012_8_3'!L1985,"AAAAAB9fmsw=")</f>
        <v>#VALUE!</v>
      </c>
      <c r="GX132" t="e">
        <f>AND('Planilla_General_07-12-2012_8_3'!M1985,"AAAAAB9fms0=")</f>
        <v>#VALUE!</v>
      </c>
      <c r="GY132" t="e">
        <f>AND('Planilla_General_07-12-2012_8_3'!N1985,"AAAAAB9fms4=")</f>
        <v>#VALUE!</v>
      </c>
      <c r="GZ132" t="e">
        <f>AND('Planilla_General_07-12-2012_8_3'!O1985,"AAAAAB9fms8=")</f>
        <v>#VALUE!</v>
      </c>
      <c r="HA132" t="e">
        <f>AND('Planilla_General_07-12-2012_8_3'!P1985,"AAAAAB9fmtA=")</f>
        <v>#VALUE!</v>
      </c>
      <c r="HB132">
        <f>IF('Planilla_General_07-12-2012_8_3'!1986:1986,"AAAAAB9fmtE=",0)</f>
        <v>0</v>
      </c>
      <c r="HC132" t="e">
        <f>AND('Planilla_General_07-12-2012_8_3'!A1986,"AAAAAB9fmtI=")</f>
        <v>#VALUE!</v>
      </c>
      <c r="HD132" t="e">
        <f>AND('Planilla_General_07-12-2012_8_3'!B1986,"AAAAAB9fmtM=")</f>
        <v>#VALUE!</v>
      </c>
      <c r="HE132" t="e">
        <f>AND('Planilla_General_07-12-2012_8_3'!C1986,"AAAAAB9fmtQ=")</f>
        <v>#VALUE!</v>
      </c>
      <c r="HF132" t="e">
        <f>AND('Planilla_General_07-12-2012_8_3'!D1986,"AAAAAB9fmtU=")</f>
        <v>#VALUE!</v>
      </c>
      <c r="HG132" t="e">
        <f>AND('Planilla_General_07-12-2012_8_3'!E1986,"AAAAAB9fmtY=")</f>
        <v>#VALUE!</v>
      </c>
      <c r="HH132" t="e">
        <f>AND('Planilla_General_07-12-2012_8_3'!F1986,"AAAAAB9fmtc=")</f>
        <v>#VALUE!</v>
      </c>
      <c r="HI132" t="e">
        <f>AND('Planilla_General_07-12-2012_8_3'!G1986,"AAAAAB9fmtg=")</f>
        <v>#VALUE!</v>
      </c>
      <c r="HJ132" t="e">
        <f>AND('Planilla_General_07-12-2012_8_3'!H1986,"AAAAAB9fmtk=")</f>
        <v>#VALUE!</v>
      </c>
      <c r="HK132" t="e">
        <f>AND('Planilla_General_07-12-2012_8_3'!I1986,"AAAAAB9fmto=")</f>
        <v>#VALUE!</v>
      </c>
      <c r="HL132" t="e">
        <f>AND('Planilla_General_07-12-2012_8_3'!J1986,"AAAAAB9fmts=")</f>
        <v>#VALUE!</v>
      </c>
      <c r="HM132" t="e">
        <f>AND('Planilla_General_07-12-2012_8_3'!K1986,"AAAAAB9fmtw=")</f>
        <v>#VALUE!</v>
      </c>
      <c r="HN132" t="e">
        <f>AND('Planilla_General_07-12-2012_8_3'!L1986,"AAAAAB9fmt0=")</f>
        <v>#VALUE!</v>
      </c>
      <c r="HO132" t="e">
        <f>AND('Planilla_General_07-12-2012_8_3'!M1986,"AAAAAB9fmt4=")</f>
        <v>#VALUE!</v>
      </c>
      <c r="HP132" t="e">
        <f>AND('Planilla_General_07-12-2012_8_3'!N1986,"AAAAAB9fmt8=")</f>
        <v>#VALUE!</v>
      </c>
      <c r="HQ132" t="e">
        <f>AND('Planilla_General_07-12-2012_8_3'!O1986,"AAAAAB9fmuA=")</f>
        <v>#VALUE!</v>
      </c>
      <c r="HR132" t="e">
        <f>AND('Planilla_General_07-12-2012_8_3'!P1986,"AAAAAB9fmuE=")</f>
        <v>#VALUE!</v>
      </c>
      <c r="HS132">
        <f>IF('Planilla_General_07-12-2012_8_3'!1987:1987,"AAAAAB9fmuI=",0)</f>
        <v>0</v>
      </c>
      <c r="HT132" t="e">
        <f>AND('Planilla_General_07-12-2012_8_3'!A1987,"AAAAAB9fmuM=")</f>
        <v>#VALUE!</v>
      </c>
      <c r="HU132" t="e">
        <f>AND('Planilla_General_07-12-2012_8_3'!B1987,"AAAAAB9fmuQ=")</f>
        <v>#VALUE!</v>
      </c>
      <c r="HV132" t="e">
        <f>AND('Planilla_General_07-12-2012_8_3'!C1987,"AAAAAB9fmuU=")</f>
        <v>#VALUE!</v>
      </c>
      <c r="HW132" t="e">
        <f>AND('Planilla_General_07-12-2012_8_3'!D1987,"AAAAAB9fmuY=")</f>
        <v>#VALUE!</v>
      </c>
      <c r="HX132" t="e">
        <f>AND('Planilla_General_07-12-2012_8_3'!E1987,"AAAAAB9fmuc=")</f>
        <v>#VALUE!</v>
      </c>
      <c r="HY132" t="e">
        <f>AND('Planilla_General_07-12-2012_8_3'!F1987,"AAAAAB9fmug=")</f>
        <v>#VALUE!</v>
      </c>
      <c r="HZ132" t="e">
        <f>AND('Planilla_General_07-12-2012_8_3'!G1987,"AAAAAB9fmuk=")</f>
        <v>#VALUE!</v>
      </c>
      <c r="IA132" t="e">
        <f>AND('Planilla_General_07-12-2012_8_3'!H1987,"AAAAAB9fmuo=")</f>
        <v>#VALUE!</v>
      </c>
      <c r="IB132" t="e">
        <f>AND('Planilla_General_07-12-2012_8_3'!I1987,"AAAAAB9fmus=")</f>
        <v>#VALUE!</v>
      </c>
      <c r="IC132" t="e">
        <f>AND('Planilla_General_07-12-2012_8_3'!J1987,"AAAAAB9fmuw=")</f>
        <v>#VALUE!</v>
      </c>
      <c r="ID132" t="e">
        <f>AND('Planilla_General_07-12-2012_8_3'!K1987,"AAAAAB9fmu0=")</f>
        <v>#VALUE!</v>
      </c>
      <c r="IE132" t="e">
        <f>AND('Planilla_General_07-12-2012_8_3'!L1987,"AAAAAB9fmu4=")</f>
        <v>#VALUE!</v>
      </c>
      <c r="IF132" t="e">
        <f>AND('Planilla_General_07-12-2012_8_3'!M1987,"AAAAAB9fmu8=")</f>
        <v>#VALUE!</v>
      </c>
      <c r="IG132" t="e">
        <f>AND('Planilla_General_07-12-2012_8_3'!N1987,"AAAAAB9fmvA=")</f>
        <v>#VALUE!</v>
      </c>
      <c r="IH132" t="e">
        <f>AND('Planilla_General_07-12-2012_8_3'!O1987,"AAAAAB9fmvE=")</f>
        <v>#VALUE!</v>
      </c>
      <c r="II132" t="e">
        <f>AND('Planilla_General_07-12-2012_8_3'!P1987,"AAAAAB9fmvI=")</f>
        <v>#VALUE!</v>
      </c>
      <c r="IJ132">
        <f>IF('Planilla_General_07-12-2012_8_3'!1988:1988,"AAAAAB9fmvM=",0)</f>
        <v>0</v>
      </c>
      <c r="IK132" t="e">
        <f>AND('Planilla_General_07-12-2012_8_3'!A1988,"AAAAAB9fmvQ=")</f>
        <v>#VALUE!</v>
      </c>
      <c r="IL132" t="e">
        <f>AND('Planilla_General_07-12-2012_8_3'!B1988,"AAAAAB9fmvU=")</f>
        <v>#VALUE!</v>
      </c>
      <c r="IM132" t="e">
        <f>AND('Planilla_General_07-12-2012_8_3'!C1988,"AAAAAB9fmvY=")</f>
        <v>#VALUE!</v>
      </c>
      <c r="IN132" t="e">
        <f>AND('Planilla_General_07-12-2012_8_3'!D1988,"AAAAAB9fmvc=")</f>
        <v>#VALUE!</v>
      </c>
      <c r="IO132" t="e">
        <f>AND('Planilla_General_07-12-2012_8_3'!E1988,"AAAAAB9fmvg=")</f>
        <v>#VALUE!</v>
      </c>
      <c r="IP132" t="e">
        <f>AND('Planilla_General_07-12-2012_8_3'!F1988,"AAAAAB9fmvk=")</f>
        <v>#VALUE!</v>
      </c>
      <c r="IQ132" t="e">
        <f>AND('Planilla_General_07-12-2012_8_3'!G1988,"AAAAAB9fmvo=")</f>
        <v>#VALUE!</v>
      </c>
      <c r="IR132" t="e">
        <f>AND('Planilla_General_07-12-2012_8_3'!H1988,"AAAAAB9fmvs=")</f>
        <v>#VALUE!</v>
      </c>
      <c r="IS132" t="e">
        <f>AND('Planilla_General_07-12-2012_8_3'!I1988,"AAAAAB9fmvw=")</f>
        <v>#VALUE!</v>
      </c>
      <c r="IT132" t="e">
        <f>AND('Planilla_General_07-12-2012_8_3'!J1988,"AAAAAB9fmv0=")</f>
        <v>#VALUE!</v>
      </c>
      <c r="IU132" t="e">
        <f>AND('Planilla_General_07-12-2012_8_3'!K1988,"AAAAAB9fmv4=")</f>
        <v>#VALUE!</v>
      </c>
      <c r="IV132" t="e">
        <f>AND('Planilla_General_07-12-2012_8_3'!L1988,"AAAAAB9fmv8=")</f>
        <v>#VALUE!</v>
      </c>
    </row>
    <row r="133" spans="1:256" x14ac:dyDescent="0.25">
      <c r="A133" t="e">
        <f>AND('Planilla_General_07-12-2012_8_3'!M1988,"AAAAAHlfzQA=")</f>
        <v>#VALUE!</v>
      </c>
      <c r="B133" t="e">
        <f>AND('Planilla_General_07-12-2012_8_3'!N1988,"AAAAAHlfzQE=")</f>
        <v>#VALUE!</v>
      </c>
      <c r="C133" t="e">
        <f>AND('Planilla_General_07-12-2012_8_3'!O1988,"AAAAAHlfzQI=")</f>
        <v>#VALUE!</v>
      </c>
      <c r="D133" t="e">
        <f>AND('Planilla_General_07-12-2012_8_3'!P1988,"AAAAAHlfzQM=")</f>
        <v>#VALUE!</v>
      </c>
      <c r="E133" t="e">
        <f>IF('Planilla_General_07-12-2012_8_3'!1989:1989,"AAAAAHlfzQQ=",0)</f>
        <v>#VALUE!</v>
      </c>
      <c r="F133" t="e">
        <f>AND('Planilla_General_07-12-2012_8_3'!A1989,"AAAAAHlfzQU=")</f>
        <v>#VALUE!</v>
      </c>
      <c r="G133" t="e">
        <f>AND('Planilla_General_07-12-2012_8_3'!B1989,"AAAAAHlfzQY=")</f>
        <v>#VALUE!</v>
      </c>
      <c r="H133" t="e">
        <f>AND('Planilla_General_07-12-2012_8_3'!C1989,"AAAAAHlfzQc=")</f>
        <v>#VALUE!</v>
      </c>
      <c r="I133" t="e">
        <f>AND('Planilla_General_07-12-2012_8_3'!D1989,"AAAAAHlfzQg=")</f>
        <v>#VALUE!</v>
      </c>
      <c r="J133" t="e">
        <f>AND('Planilla_General_07-12-2012_8_3'!E1989,"AAAAAHlfzQk=")</f>
        <v>#VALUE!</v>
      </c>
      <c r="K133" t="e">
        <f>AND('Planilla_General_07-12-2012_8_3'!F1989,"AAAAAHlfzQo=")</f>
        <v>#VALUE!</v>
      </c>
      <c r="L133" t="e">
        <f>AND('Planilla_General_07-12-2012_8_3'!G1989,"AAAAAHlfzQs=")</f>
        <v>#VALUE!</v>
      </c>
      <c r="M133" t="e">
        <f>AND('Planilla_General_07-12-2012_8_3'!H1989,"AAAAAHlfzQw=")</f>
        <v>#VALUE!</v>
      </c>
      <c r="N133" t="e">
        <f>AND('Planilla_General_07-12-2012_8_3'!I1989,"AAAAAHlfzQ0=")</f>
        <v>#VALUE!</v>
      </c>
      <c r="O133" t="e">
        <f>AND('Planilla_General_07-12-2012_8_3'!J1989,"AAAAAHlfzQ4=")</f>
        <v>#VALUE!</v>
      </c>
      <c r="P133" t="e">
        <f>AND('Planilla_General_07-12-2012_8_3'!K1989,"AAAAAHlfzQ8=")</f>
        <v>#VALUE!</v>
      </c>
      <c r="Q133" t="e">
        <f>AND('Planilla_General_07-12-2012_8_3'!L1989,"AAAAAHlfzRA=")</f>
        <v>#VALUE!</v>
      </c>
      <c r="R133" t="e">
        <f>AND('Planilla_General_07-12-2012_8_3'!M1989,"AAAAAHlfzRE=")</f>
        <v>#VALUE!</v>
      </c>
      <c r="S133" t="e">
        <f>AND('Planilla_General_07-12-2012_8_3'!N1989,"AAAAAHlfzRI=")</f>
        <v>#VALUE!</v>
      </c>
      <c r="T133" t="e">
        <f>AND('Planilla_General_07-12-2012_8_3'!O1989,"AAAAAHlfzRM=")</f>
        <v>#VALUE!</v>
      </c>
      <c r="U133" t="e">
        <f>AND('Planilla_General_07-12-2012_8_3'!P1989,"AAAAAHlfzRQ=")</f>
        <v>#VALUE!</v>
      </c>
      <c r="V133">
        <f>IF('Planilla_General_07-12-2012_8_3'!1990:1990,"AAAAAHlfzRU=",0)</f>
        <v>0</v>
      </c>
      <c r="W133" t="e">
        <f>AND('Planilla_General_07-12-2012_8_3'!A1990,"AAAAAHlfzRY=")</f>
        <v>#VALUE!</v>
      </c>
      <c r="X133" t="e">
        <f>AND('Planilla_General_07-12-2012_8_3'!B1990,"AAAAAHlfzRc=")</f>
        <v>#VALUE!</v>
      </c>
      <c r="Y133" t="e">
        <f>AND('Planilla_General_07-12-2012_8_3'!C1990,"AAAAAHlfzRg=")</f>
        <v>#VALUE!</v>
      </c>
      <c r="Z133" t="e">
        <f>AND('Planilla_General_07-12-2012_8_3'!D1990,"AAAAAHlfzRk=")</f>
        <v>#VALUE!</v>
      </c>
      <c r="AA133" t="e">
        <f>AND('Planilla_General_07-12-2012_8_3'!E1990,"AAAAAHlfzRo=")</f>
        <v>#VALUE!</v>
      </c>
      <c r="AB133" t="e">
        <f>AND('Planilla_General_07-12-2012_8_3'!F1990,"AAAAAHlfzRs=")</f>
        <v>#VALUE!</v>
      </c>
      <c r="AC133" t="e">
        <f>AND('Planilla_General_07-12-2012_8_3'!G1990,"AAAAAHlfzRw=")</f>
        <v>#VALUE!</v>
      </c>
      <c r="AD133" t="e">
        <f>AND('Planilla_General_07-12-2012_8_3'!H1990,"AAAAAHlfzR0=")</f>
        <v>#VALUE!</v>
      </c>
      <c r="AE133" t="e">
        <f>AND('Planilla_General_07-12-2012_8_3'!I1990,"AAAAAHlfzR4=")</f>
        <v>#VALUE!</v>
      </c>
      <c r="AF133" t="e">
        <f>AND('Planilla_General_07-12-2012_8_3'!J1990,"AAAAAHlfzR8=")</f>
        <v>#VALUE!</v>
      </c>
      <c r="AG133" t="e">
        <f>AND('Planilla_General_07-12-2012_8_3'!K1990,"AAAAAHlfzSA=")</f>
        <v>#VALUE!</v>
      </c>
      <c r="AH133" t="e">
        <f>AND('Planilla_General_07-12-2012_8_3'!L1990,"AAAAAHlfzSE=")</f>
        <v>#VALUE!</v>
      </c>
      <c r="AI133" t="e">
        <f>AND('Planilla_General_07-12-2012_8_3'!M1990,"AAAAAHlfzSI=")</f>
        <v>#VALUE!</v>
      </c>
      <c r="AJ133" t="e">
        <f>AND('Planilla_General_07-12-2012_8_3'!N1990,"AAAAAHlfzSM=")</f>
        <v>#VALUE!</v>
      </c>
      <c r="AK133" t="e">
        <f>AND('Planilla_General_07-12-2012_8_3'!O1990,"AAAAAHlfzSQ=")</f>
        <v>#VALUE!</v>
      </c>
      <c r="AL133" t="e">
        <f>AND('Planilla_General_07-12-2012_8_3'!P1990,"AAAAAHlfzSU=")</f>
        <v>#VALUE!</v>
      </c>
      <c r="AM133">
        <f>IF('Planilla_General_07-12-2012_8_3'!1991:1991,"AAAAAHlfzSY=",0)</f>
        <v>0</v>
      </c>
      <c r="AN133" t="e">
        <f>AND('Planilla_General_07-12-2012_8_3'!A1991,"AAAAAHlfzSc=")</f>
        <v>#VALUE!</v>
      </c>
      <c r="AO133" t="e">
        <f>AND('Planilla_General_07-12-2012_8_3'!B1991,"AAAAAHlfzSg=")</f>
        <v>#VALUE!</v>
      </c>
      <c r="AP133" t="e">
        <f>AND('Planilla_General_07-12-2012_8_3'!C1991,"AAAAAHlfzSk=")</f>
        <v>#VALUE!</v>
      </c>
      <c r="AQ133" t="e">
        <f>AND('Planilla_General_07-12-2012_8_3'!D1991,"AAAAAHlfzSo=")</f>
        <v>#VALUE!</v>
      </c>
      <c r="AR133" t="e">
        <f>AND('Planilla_General_07-12-2012_8_3'!E1991,"AAAAAHlfzSs=")</f>
        <v>#VALUE!</v>
      </c>
      <c r="AS133" t="e">
        <f>AND('Planilla_General_07-12-2012_8_3'!F1991,"AAAAAHlfzSw=")</f>
        <v>#VALUE!</v>
      </c>
      <c r="AT133" t="e">
        <f>AND('Planilla_General_07-12-2012_8_3'!G1991,"AAAAAHlfzS0=")</f>
        <v>#VALUE!</v>
      </c>
      <c r="AU133" t="e">
        <f>AND('Planilla_General_07-12-2012_8_3'!H1991,"AAAAAHlfzS4=")</f>
        <v>#VALUE!</v>
      </c>
      <c r="AV133" t="e">
        <f>AND('Planilla_General_07-12-2012_8_3'!I1991,"AAAAAHlfzS8=")</f>
        <v>#VALUE!</v>
      </c>
      <c r="AW133" t="e">
        <f>AND('Planilla_General_07-12-2012_8_3'!J1991,"AAAAAHlfzTA=")</f>
        <v>#VALUE!</v>
      </c>
      <c r="AX133" t="e">
        <f>AND('Planilla_General_07-12-2012_8_3'!K1991,"AAAAAHlfzTE=")</f>
        <v>#VALUE!</v>
      </c>
      <c r="AY133" t="e">
        <f>AND('Planilla_General_07-12-2012_8_3'!L1991,"AAAAAHlfzTI=")</f>
        <v>#VALUE!</v>
      </c>
      <c r="AZ133" t="e">
        <f>AND('Planilla_General_07-12-2012_8_3'!M1991,"AAAAAHlfzTM=")</f>
        <v>#VALUE!</v>
      </c>
      <c r="BA133" t="e">
        <f>AND('Planilla_General_07-12-2012_8_3'!N1991,"AAAAAHlfzTQ=")</f>
        <v>#VALUE!</v>
      </c>
      <c r="BB133" t="e">
        <f>AND('Planilla_General_07-12-2012_8_3'!O1991,"AAAAAHlfzTU=")</f>
        <v>#VALUE!</v>
      </c>
      <c r="BC133" t="e">
        <f>AND('Planilla_General_07-12-2012_8_3'!P1991,"AAAAAHlfzTY=")</f>
        <v>#VALUE!</v>
      </c>
      <c r="BD133">
        <f>IF('Planilla_General_07-12-2012_8_3'!1992:1992,"AAAAAHlfzTc=",0)</f>
        <v>0</v>
      </c>
      <c r="BE133" t="e">
        <f>AND('Planilla_General_07-12-2012_8_3'!A1992,"AAAAAHlfzTg=")</f>
        <v>#VALUE!</v>
      </c>
      <c r="BF133" t="e">
        <f>AND('Planilla_General_07-12-2012_8_3'!B1992,"AAAAAHlfzTk=")</f>
        <v>#VALUE!</v>
      </c>
      <c r="BG133" t="e">
        <f>AND('Planilla_General_07-12-2012_8_3'!C1992,"AAAAAHlfzTo=")</f>
        <v>#VALUE!</v>
      </c>
      <c r="BH133" t="e">
        <f>AND('Planilla_General_07-12-2012_8_3'!D1992,"AAAAAHlfzTs=")</f>
        <v>#VALUE!</v>
      </c>
      <c r="BI133" t="e">
        <f>AND('Planilla_General_07-12-2012_8_3'!E1992,"AAAAAHlfzTw=")</f>
        <v>#VALUE!</v>
      </c>
      <c r="BJ133" t="e">
        <f>AND('Planilla_General_07-12-2012_8_3'!F1992,"AAAAAHlfzT0=")</f>
        <v>#VALUE!</v>
      </c>
      <c r="BK133" t="e">
        <f>AND('Planilla_General_07-12-2012_8_3'!G1992,"AAAAAHlfzT4=")</f>
        <v>#VALUE!</v>
      </c>
      <c r="BL133" t="e">
        <f>AND('Planilla_General_07-12-2012_8_3'!H1992,"AAAAAHlfzT8=")</f>
        <v>#VALUE!</v>
      </c>
      <c r="BM133" t="e">
        <f>AND('Planilla_General_07-12-2012_8_3'!I1992,"AAAAAHlfzUA=")</f>
        <v>#VALUE!</v>
      </c>
      <c r="BN133" t="e">
        <f>AND('Planilla_General_07-12-2012_8_3'!J1992,"AAAAAHlfzUE=")</f>
        <v>#VALUE!</v>
      </c>
      <c r="BO133" t="e">
        <f>AND('Planilla_General_07-12-2012_8_3'!K1992,"AAAAAHlfzUI=")</f>
        <v>#VALUE!</v>
      </c>
      <c r="BP133" t="e">
        <f>AND('Planilla_General_07-12-2012_8_3'!L1992,"AAAAAHlfzUM=")</f>
        <v>#VALUE!</v>
      </c>
      <c r="BQ133" t="e">
        <f>AND('Planilla_General_07-12-2012_8_3'!M1992,"AAAAAHlfzUQ=")</f>
        <v>#VALUE!</v>
      </c>
      <c r="BR133" t="e">
        <f>AND('Planilla_General_07-12-2012_8_3'!N1992,"AAAAAHlfzUU=")</f>
        <v>#VALUE!</v>
      </c>
      <c r="BS133" t="e">
        <f>AND('Planilla_General_07-12-2012_8_3'!O1992,"AAAAAHlfzUY=")</f>
        <v>#VALUE!</v>
      </c>
      <c r="BT133" t="e">
        <f>AND('Planilla_General_07-12-2012_8_3'!P1992,"AAAAAHlfzUc=")</f>
        <v>#VALUE!</v>
      </c>
      <c r="BU133">
        <f>IF('Planilla_General_07-12-2012_8_3'!1993:1993,"AAAAAHlfzUg=",0)</f>
        <v>0</v>
      </c>
      <c r="BV133" t="e">
        <f>AND('Planilla_General_07-12-2012_8_3'!A1993,"AAAAAHlfzUk=")</f>
        <v>#VALUE!</v>
      </c>
      <c r="BW133" t="e">
        <f>AND('Planilla_General_07-12-2012_8_3'!B1993,"AAAAAHlfzUo=")</f>
        <v>#VALUE!</v>
      </c>
      <c r="BX133" t="e">
        <f>AND('Planilla_General_07-12-2012_8_3'!C1993,"AAAAAHlfzUs=")</f>
        <v>#VALUE!</v>
      </c>
      <c r="BY133" t="e">
        <f>AND('Planilla_General_07-12-2012_8_3'!D1993,"AAAAAHlfzUw=")</f>
        <v>#VALUE!</v>
      </c>
      <c r="BZ133" t="e">
        <f>AND('Planilla_General_07-12-2012_8_3'!E1993,"AAAAAHlfzU0=")</f>
        <v>#VALUE!</v>
      </c>
      <c r="CA133" t="e">
        <f>AND('Planilla_General_07-12-2012_8_3'!F1993,"AAAAAHlfzU4=")</f>
        <v>#VALUE!</v>
      </c>
      <c r="CB133" t="e">
        <f>AND('Planilla_General_07-12-2012_8_3'!G1993,"AAAAAHlfzU8=")</f>
        <v>#VALUE!</v>
      </c>
      <c r="CC133" t="e">
        <f>AND('Planilla_General_07-12-2012_8_3'!H1993,"AAAAAHlfzVA=")</f>
        <v>#VALUE!</v>
      </c>
      <c r="CD133" t="e">
        <f>AND('Planilla_General_07-12-2012_8_3'!I1993,"AAAAAHlfzVE=")</f>
        <v>#VALUE!</v>
      </c>
      <c r="CE133" t="e">
        <f>AND('Planilla_General_07-12-2012_8_3'!J1993,"AAAAAHlfzVI=")</f>
        <v>#VALUE!</v>
      </c>
      <c r="CF133" t="e">
        <f>AND('Planilla_General_07-12-2012_8_3'!K1993,"AAAAAHlfzVM=")</f>
        <v>#VALUE!</v>
      </c>
      <c r="CG133" t="e">
        <f>AND('Planilla_General_07-12-2012_8_3'!L1993,"AAAAAHlfzVQ=")</f>
        <v>#VALUE!</v>
      </c>
      <c r="CH133" t="e">
        <f>AND('Planilla_General_07-12-2012_8_3'!M1993,"AAAAAHlfzVU=")</f>
        <v>#VALUE!</v>
      </c>
      <c r="CI133" t="e">
        <f>AND('Planilla_General_07-12-2012_8_3'!N1993,"AAAAAHlfzVY=")</f>
        <v>#VALUE!</v>
      </c>
      <c r="CJ133" t="e">
        <f>AND('Planilla_General_07-12-2012_8_3'!O1993,"AAAAAHlfzVc=")</f>
        <v>#VALUE!</v>
      </c>
      <c r="CK133" t="e">
        <f>AND('Planilla_General_07-12-2012_8_3'!P1993,"AAAAAHlfzVg=")</f>
        <v>#VALUE!</v>
      </c>
      <c r="CL133">
        <f>IF('Planilla_General_07-12-2012_8_3'!1994:1994,"AAAAAHlfzVk=",0)</f>
        <v>0</v>
      </c>
      <c r="CM133" t="e">
        <f>AND('Planilla_General_07-12-2012_8_3'!A1994,"AAAAAHlfzVo=")</f>
        <v>#VALUE!</v>
      </c>
      <c r="CN133" t="e">
        <f>AND('Planilla_General_07-12-2012_8_3'!B1994,"AAAAAHlfzVs=")</f>
        <v>#VALUE!</v>
      </c>
      <c r="CO133" t="e">
        <f>AND('Planilla_General_07-12-2012_8_3'!C1994,"AAAAAHlfzVw=")</f>
        <v>#VALUE!</v>
      </c>
      <c r="CP133" t="e">
        <f>AND('Planilla_General_07-12-2012_8_3'!D1994,"AAAAAHlfzV0=")</f>
        <v>#VALUE!</v>
      </c>
      <c r="CQ133" t="e">
        <f>AND('Planilla_General_07-12-2012_8_3'!E1994,"AAAAAHlfzV4=")</f>
        <v>#VALUE!</v>
      </c>
      <c r="CR133" t="e">
        <f>AND('Planilla_General_07-12-2012_8_3'!F1994,"AAAAAHlfzV8=")</f>
        <v>#VALUE!</v>
      </c>
      <c r="CS133" t="e">
        <f>AND('Planilla_General_07-12-2012_8_3'!G1994,"AAAAAHlfzWA=")</f>
        <v>#VALUE!</v>
      </c>
      <c r="CT133" t="e">
        <f>AND('Planilla_General_07-12-2012_8_3'!H1994,"AAAAAHlfzWE=")</f>
        <v>#VALUE!</v>
      </c>
      <c r="CU133" t="e">
        <f>AND('Planilla_General_07-12-2012_8_3'!I1994,"AAAAAHlfzWI=")</f>
        <v>#VALUE!</v>
      </c>
      <c r="CV133" t="e">
        <f>AND('Planilla_General_07-12-2012_8_3'!J1994,"AAAAAHlfzWM=")</f>
        <v>#VALUE!</v>
      </c>
      <c r="CW133" t="e">
        <f>AND('Planilla_General_07-12-2012_8_3'!K1994,"AAAAAHlfzWQ=")</f>
        <v>#VALUE!</v>
      </c>
      <c r="CX133" t="e">
        <f>AND('Planilla_General_07-12-2012_8_3'!L1994,"AAAAAHlfzWU=")</f>
        <v>#VALUE!</v>
      </c>
      <c r="CY133" t="e">
        <f>AND('Planilla_General_07-12-2012_8_3'!M1994,"AAAAAHlfzWY=")</f>
        <v>#VALUE!</v>
      </c>
      <c r="CZ133" t="e">
        <f>AND('Planilla_General_07-12-2012_8_3'!N1994,"AAAAAHlfzWc=")</f>
        <v>#VALUE!</v>
      </c>
      <c r="DA133" t="e">
        <f>AND('Planilla_General_07-12-2012_8_3'!O1994,"AAAAAHlfzWg=")</f>
        <v>#VALUE!</v>
      </c>
      <c r="DB133" t="e">
        <f>AND('Planilla_General_07-12-2012_8_3'!P1994,"AAAAAHlfzWk=")</f>
        <v>#VALUE!</v>
      </c>
      <c r="DC133">
        <f>IF('Planilla_General_07-12-2012_8_3'!1995:1995,"AAAAAHlfzWo=",0)</f>
        <v>0</v>
      </c>
      <c r="DD133" t="e">
        <f>AND('Planilla_General_07-12-2012_8_3'!A1995,"AAAAAHlfzWs=")</f>
        <v>#VALUE!</v>
      </c>
      <c r="DE133" t="e">
        <f>AND('Planilla_General_07-12-2012_8_3'!B1995,"AAAAAHlfzWw=")</f>
        <v>#VALUE!</v>
      </c>
      <c r="DF133" t="e">
        <f>AND('Planilla_General_07-12-2012_8_3'!C1995,"AAAAAHlfzW0=")</f>
        <v>#VALUE!</v>
      </c>
      <c r="DG133" t="e">
        <f>AND('Planilla_General_07-12-2012_8_3'!D1995,"AAAAAHlfzW4=")</f>
        <v>#VALUE!</v>
      </c>
      <c r="DH133" t="e">
        <f>AND('Planilla_General_07-12-2012_8_3'!E1995,"AAAAAHlfzW8=")</f>
        <v>#VALUE!</v>
      </c>
      <c r="DI133" t="e">
        <f>AND('Planilla_General_07-12-2012_8_3'!F1995,"AAAAAHlfzXA=")</f>
        <v>#VALUE!</v>
      </c>
      <c r="DJ133" t="e">
        <f>AND('Planilla_General_07-12-2012_8_3'!G1995,"AAAAAHlfzXE=")</f>
        <v>#VALUE!</v>
      </c>
      <c r="DK133" t="e">
        <f>AND('Planilla_General_07-12-2012_8_3'!H1995,"AAAAAHlfzXI=")</f>
        <v>#VALUE!</v>
      </c>
      <c r="DL133" t="e">
        <f>AND('Planilla_General_07-12-2012_8_3'!I1995,"AAAAAHlfzXM=")</f>
        <v>#VALUE!</v>
      </c>
      <c r="DM133" t="e">
        <f>AND('Planilla_General_07-12-2012_8_3'!J1995,"AAAAAHlfzXQ=")</f>
        <v>#VALUE!</v>
      </c>
      <c r="DN133" t="e">
        <f>AND('Planilla_General_07-12-2012_8_3'!K1995,"AAAAAHlfzXU=")</f>
        <v>#VALUE!</v>
      </c>
      <c r="DO133" t="e">
        <f>AND('Planilla_General_07-12-2012_8_3'!L1995,"AAAAAHlfzXY=")</f>
        <v>#VALUE!</v>
      </c>
      <c r="DP133" t="e">
        <f>AND('Planilla_General_07-12-2012_8_3'!M1995,"AAAAAHlfzXc=")</f>
        <v>#VALUE!</v>
      </c>
      <c r="DQ133" t="e">
        <f>AND('Planilla_General_07-12-2012_8_3'!N1995,"AAAAAHlfzXg=")</f>
        <v>#VALUE!</v>
      </c>
      <c r="DR133" t="e">
        <f>AND('Planilla_General_07-12-2012_8_3'!O1995,"AAAAAHlfzXk=")</f>
        <v>#VALUE!</v>
      </c>
      <c r="DS133" t="e">
        <f>AND('Planilla_General_07-12-2012_8_3'!P1995,"AAAAAHlfzXo=")</f>
        <v>#VALUE!</v>
      </c>
      <c r="DT133">
        <f>IF('Planilla_General_07-12-2012_8_3'!1996:1996,"AAAAAHlfzXs=",0)</f>
        <v>0</v>
      </c>
      <c r="DU133" t="e">
        <f>AND('Planilla_General_07-12-2012_8_3'!A1996,"AAAAAHlfzXw=")</f>
        <v>#VALUE!</v>
      </c>
      <c r="DV133" t="e">
        <f>AND('Planilla_General_07-12-2012_8_3'!B1996,"AAAAAHlfzX0=")</f>
        <v>#VALUE!</v>
      </c>
      <c r="DW133" t="e">
        <f>AND('Planilla_General_07-12-2012_8_3'!C1996,"AAAAAHlfzX4=")</f>
        <v>#VALUE!</v>
      </c>
      <c r="DX133" t="e">
        <f>AND('Planilla_General_07-12-2012_8_3'!D1996,"AAAAAHlfzX8=")</f>
        <v>#VALUE!</v>
      </c>
      <c r="DY133" t="e">
        <f>AND('Planilla_General_07-12-2012_8_3'!E1996,"AAAAAHlfzYA=")</f>
        <v>#VALUE!</v>
      </c>
      <c r="DZ133" t="e">
        <f>AND('Planilla_General_07-12-2012_8_3'!F1996,"AAAAAHlfzYE=")</f>
        <v>#VALUE!</v>
      </c>
      <c r="EA133" t="e">
        <f>AND('Planilla_General_07-12-2012_8_3'!G1996,"AAAAAHlfzYI=")</f>
        <v>#VALUE!</v>
      </c>
      <c r="EB133" t="e">
        <f>AND('Planilla_General_07-12-2012_8_3'!H1996,"AAAAAHlfzYM=")</f>
        <v>#VALUE!</v>
      </c>
      <c r="EC133" t="e">
        <f>AND('Planilla_General_07-12-2012_8_3'!I1996,"AAAAAHlfzYQ=")</f>
        <v>#VALUE!</v>
      </c>
      <c r="ED133" t="e">
        <f>AND('Planilla_General_07-12-2012_8_3'!J1996,"AAAAAHlfzYU=")</f>
        <v>#VALUE!</v>
      </c>
      <c r="EE133" t="e">
        <f>AND('Planilla_General_07-12-2012_8_3'!K1996,"AAAAAHlfzYY=")</f>
        <v>#VALUE!</v>
      </c>
      <c r="EF133" t="e">
        <f>AND('Planilla_General_07-12-2012_8_3'!L1996,"AAAAAHlfzYc=")</f>
        <v>#VALUE!</v>
      </c>
      <c r="EG133" t="e">
        <f>AND('Planilla_General_07-12-2012_8_3'!M1996,"AAAAAHlfzYg=")</f>
        <v>#VALUE!</v>
      </c>
      <c r="EH133" t="e">
        <f>AND('Planilla_General_07-12-2012_8_3'!N1996,"AAAAAHlfzYk=")</f>
        <v>#VALUE!</v>
      </c>
      <c r="EI133" t="e">
        <f>AND('Planilla_General_07-12-2012_8_3'!O1996,"AAAAAHlfzYo=")</f>
        <v>#VALUE!</v>
      </c>
      <c r="EJ133" t="e">
        <f>AND('Planilla_General_07-12-2012_8_3'!P1996,"AAAAAHlfzYs=")</f>
        <v>#VALUE!</v>
      </c>
      <c r="EK133">
        <f>IF('Planilla_General_07-12-2012_8_3'!1997:1997,"AAAAAHlfzYw=",0)</f>
        <v>0</v>
      </c>
      <c r="EL133" t="e">
        <f>AND('Planilla_General_07-12-2012_8_3'!A1997,"AAAAAHlfzY0=")</f>
        <v>#VALUE!</v>
      </c>
      <c r="EM133" t="e">
        <f>AND('Planilla_General_07-12-2012_8_3'!B1997,"AAAAAHlfzY4=")</f>
        <v>#VALUE!</v>
      </c>
      <c r="EN133" t="e">
        <f>AND('Planilla_General_07-12-2012_8_3'!C1997,"AAAAAHlfzY8=")</f>
        <v>#VALUE!</v>
      </c>
      <c r="EO133" t="e">
        <f>AND('Planilla_General_07-12-2012_8_3'!D1997,"AAAAAHlfzZA=")</f>
        <v>#VALUE!</v>
      </c>
      <c r="EP133" t="e">
        <f>AND('Planilla_General_07-12-2012_8_3'!E1997,"AAAAAHlfzZE=")</f>
        <v>#VALUE!</v>
      </c>
      <c r="EQ133" t="e">
        <f>AND('Planilla_General_07-12-2012_8_3'!F1997,"AAAAAHlfzZI=")</f>
        <v>#VALUE!</v>
      </c>
      <c r="ER133" t="e">
        <f>AND('Planilla_General_07-12-2012_8_3'!G1997,"AAAAAHlfzZM=")</f>
        <v>#VALUE!</v>
      </c>
      <c r="ES133" t="e">
        <f>AND('Planilla_General_07-12-2012_8_3'!H1997,"AAAAAHlfzZQ=")</f>
        <v>#VALUE!</v>
      </c>
      <c r="ET133" t="e">
        <f>AND('Planilla_General_07-12-2012_8_3'!I1997,"AAAAAHlfzZU=")</f>
        <v>#VALUE!</v>
      </c>
      <c r="EU133" t="e">
        <f>AND('Planilla_General_07-12-2012_8_3'!J1997,"AAAAAHlfzZY=")</f>
        <v>#VALUE!</v>
      </c>
      <c r="EV133" t="e">
        <f>AND('Planilla_General_07-12-2012_8_3'!K1997,"AAAAAHlfzZc=")</f>
        <v>#VALUE!</v>
      </c>
      <c r="EW133" t="e">
        <f>AND('Planilla_General_07-12-2012_8_3'!L1997,"AAAAAHlfzZg=")</f>
        <v>#VALUE!</v>
      </c>
      <c r="EX133" t="e">
        <f>AND('Planilla_General_07-12-2012_8_3'!M1997,"AAAAAHlfzZk=")</f>
        <v>#VALUE!</v>
      </c>
      <c r="EY133" t="e">
        <f>AND('Planilla_General_07-12-2012_8_3'!N1997,"AAAAAHlfzZo=")</f>
        <v>#VALUE!</v>
      </c>
      <c r="EZ133" t="e">
        <f>AND('Planilla_General_07-12-2012_8_3'!O1997,"AAAAAHlfzZs=")</f>
        <v>#VALUE!</v>
      </c>
      <c r="FA133" t="e">
        <f>AND('Planilla_General_07-12-2012_8_3'!P1997,"AAAAAHlfzZw=")</f>
        <v>#VALUE!</v>
      </c>
      <c r="FB133">
        <f>IF('Planilla_General_07-12-2012_8_3'!1998:1998,"AAAAAHlfzZ0=",0)</f>
        <v>0</v>
      </c>
      <c r="FC133" t="e">
        <f>AND('Planilla_General_07-12-2012_8_3'!A1998,"AAAAAHlfzZ4=")</f>
        <v>#VALUE!</v>
      </c>
      <c r="FD133" t="e">
        <f>AND('Planilla_General_07-12-2012_8_3'!B1998,"AAAAAHlfzZ8=")</f>
        <v>#VALUE!</v>
      </c>
      <c r="FE133" t="e">
        <f>AND('Planilla_General_07-12-2012_8_3'!C1998,"AAAAAHlfzaA=")</f>
        <v>#VALUE!</v>
      </c>
      <c r="FF133" t="e">
        <f>AND('Planilla_General_07-12-2012_8_3'!D1998,"AAAAAHlfzaE=")</f>
        <v>#VALUE!</v>
      </c>
      <c r="FG133" t="e">
        <f>AND('Planilla_General_07-12-2012_8_3'!E1998,"AAAAAHlfzaI=")</f>
        <v>#VALUE!</v>
      </c>
      <c r="FH133" t="e">
        <f>AND('Planilla_General_07-12-2012_8_3'!F1998,"AAAAAHlfzaM=")</f>
        <v>#VALUE!</v>
      </c>
      <c r="FI133" t="e">
        <f>AND('Planilla_General_07-12-2012_8_3'!G1998,"AAAAAHlfzaQ=")</f>
        <v>#VALUE!</v>
      </c>
      <c r="FJ133" t="e">
        <f>AND('Planilla_General_07-12-2012_8_3'!H1998,"AAAAAHlfzaU=")</f>
        <v>#VALUE!</v>
      </c>
      <c r="FK133" t="e">
        <f>AND('Planilla_General_07-12-2012_8_3'!I1998,"AAAAAHlfzaY=")</f>
        <v>#VALUE!</v>
      </c>
      <c r="FL133" t="e">
        <f>AND('Planilla_General_07-12-2012_8_3'!J1998,"AAAAAHlfzac=")</f>
        <v>#VALUE!</v>
      </c>
      <c r="FM133" t="e">
        <f>AND('Planilla_General_07-12-2012_8_3'!K1998,"AAAAAHlfzag=")</f>
        <v>#VALUE!</v>
      </c>
      <c r="FN133" t="e">
        <f>AND('Planilla_General_07-12-2012_8_3'!L1998,"AAAAAHlfzak=")</f>
        <v>#VALUE!</v>
      </c>
      <c r="FO133" t="e">
        <f>AND('Planilla_General_07-12-2012_8_3'!M1998,"AAAAAHlfzao=")</f>
        <v>#VALUE!</v>
      </c>
      <c r="FP133" t="e">
        <f>AND('Planilla_General_07-12-2012_8_3'!N1998,"AAAAAHlfzas=")</f>
        <v>#VALUE!</v>
      </c>
      <c r="FQ133" t="e">
        <f>AND('Planilla_General_07-12-2012_8_3'!O1998,"AAAAAHlfzaw=")</f>
        <v>#VALUE!</v>
      </c>
      <c r="FR133" t="e">
        <f>AND('Planilla_General_07-12-2012_8_3'!P1998,"AAAAAHlfza0=")</f>
        <v>#VALUE!</v>
      </c>
      <c r="FS133">
        <f>IF('Planilla_General_07-12-2012_8_3'!1999:1999,"AAAAAHlfza4=",0)</f>
        <v>0</v>
      </c>
      <c r="FT133" t="e">
        <f>AND('Planilla_General_07-12-2012_8_3'!A1999,"AAAAAHlfza8=")</f>
        <v>#VALUE!</v>
      </c>
      <c r="FU133" t="e">
        <f>AND('Planilla_General_07-12-2012_8_3'!B1999,"AAAAAHlfzbA=")</f>
        <v>#VALUE!</v>
      </c>
      <c r="FV133" t="e">
        <f>AND('Planilla_General_07-12-2012_8_3'!C1999,"AAAAAHlfzbE=")</f>
        <v>#VALUE!</v>
      </c>
      <c r="FW133" t="e">
        <f>AND('Planilla_General_07-12-2012_8_3'!D1999,"AAAAAHlfzbI=")</f>
        <v>#VALUE!</v>
      </c>
      <c r="FX133" t="e">
        <f>AND('Planilla_General_07-12-2012_8_3'!E1999,"AAAAAHlfzbM=")</f>
        <v>#VALUE!</v>
      </c>
      <c r="FY133" t="e">
        <f>AND('Planilla_General_07-12-2012_8_3'!F1999,"AAAAAHlfzbQ=")</f>
        <v>#VALUE!</v>
      </c>
      <c r="FZ133" t="e">
        <f>AND('Planilla_General_07-12-2012_8_3'!G1999,"AAAAAHlfzbU=")</f>
        <v>#VALUE!</v>
      </c>
      <c r="GA133" t="e">
        <f>AND('Planilla_General_07-12-2012_8_3'!H1999,"AAAAAHlfzbY=")</f>
        <v>#VALUE!</v>
      </c>
      <c r="GB133" t="e">
        <f>AND('Planilla_General_07-12-2012_8_3'!I1999,"AAAAAHlfzbc=")</f>
        <v>#VALUE!</v>
      </c>
      <c r="GC133" t="e">
        <f>AND('Planilla_General_07-12-2012_8_3'!J1999,"AAAAAHlfzbg=")</f>
        <v>#VALUE!</v>
      </c>
      <c r="GD133" t="e">
        <f>AND('Planilla_General_07-12-2012_8_3'!K1999,"AAAAAHlfzbk=")</f>
        <v>#VALUE!</v>
      </c>
      <c r="GE133" t="e">
        <f>AND('Planilla_General_07-12-2012_8_3'!L1999,"AAAAAHlfzbo=")</f>
        <v>#VALUE!</v>
      </c>
      <c r="GF133" t="e">
        <f>AND('Planilla_General_07-12-2012_8_3'!M1999,"AAAAAHlfzbs=")</f>
        <v>#VALUE!</v>
      </c>
      <c r="GG133" t="e">
        <f>AND('Planilla_General_07-12-2012_8_3'!N1999,"AAAAAHlfzbw=")</f>
        <v>#VALUE!</v>
      </c>
      <c r="GH133" t="e">
        <f>AND('Planilla_General_07-12-2012_8_3'!O1999,"AAAAAHlfzb0=")</f>
        <v>#VALUE!</v>
      </c>
      <c r="GI133" t="e">
        <f>AND('Planilla_General_07-12-2012_8_3'!P1999,"AAAAAHlfzb4=")</f>
        <v>#VALUE!</v>
      </c>
      <c r="GJ133">
        <f>IF('Planilla_General_07-12-2012_8_3'!2000:2000,"AAAAAHlfzb8=",0)</f>
        <v>0</v>
      </c>
      <c r="GK133" t="e">
        <f>AND('Planilla_General_07-12-2012_8_3'!A2000,"AAAAAHlfzcA=")</f>
        <v>#VALUE!</v>
      </c>
      <c r="GL133" t="e">
        <f>AND('Planilla_General_07-12-2012_8_3'!B2000,"AAAAAHlfzcE=")</f>
        <v>#VALUE!</v>
      </c>
      <c r="GM133" t="e">
        <f>AND('Planilla_General_07-12-2012_8_3'!C2000,"AAAAAHlfzcI=")</f>
        <v>#VALUE!</v>
      </c>
      <c r="GN133" t="e">
        <f>AND('Planilla_General_07-12-2012_8_3'!D2000,"AAAAAHlfzcM=")</f>
        <v>#VALUE!</v>
      </c>
      <c r="GO133" t="e">
        <f>AND('Planilla_General_07-12-2012_8_3'!E2000,"AAAAAHlfzcQ=")</f>
        <v>#VALUE!</v>
      </c>
      <c r="GP133" t="e">
        <f>AND('Planilla_General_07-12-2012_8_3'!F2000,"AAAAAHlfzcU=")</f>
        <v>#VALUE!</v>
      </c>
      <c r="GQ133" t="e">
        <f>AND('Planilla_General_07-12-2012_8_3'!G2000,"AAAAAHlfzcY=")</f>
        <v>#VALUE!</v>
      </c>
      <c r="GR133" t="e">
        <f>AND('Planilla_General_07-12-2012_8_3'!H2000,"AAAAAHlfzcc=")</f>
        <v>#VALUE!</v>
      </c>
      <c r="GS133" t="e">
        <f>AND('Planilla_General_07-12-2012_8_3'!I2000,"AAAAAHlfzcg=")</f>
        <v>#VALUE!</v>
      </c>
      <c r="GT133" t="e">
        <f>AND('Planilla_General_07-12-2012_8_3'!J2000,"AAAAAHlfzck=")</f>
        <v>#VALUE!</v>
      </c>
      <c r="GU133" t="e">
        <f>AND('Planilla_General_07-12-2012_8_3'!K2000,"AAAAAHlfzco=")</f>
        <v>#VALUE!</v>
      </c>
      <c r="GV133" t="e">
        <f>AND('Planilla_General_07-12-2012_8_3'!L2000,"AAAAAHlfzcs=")</f>
        <v>#VALUE!</v>
      </c>
      <c r="GW133" t="e">
        <f>AND('Planilla_General_07-12-2012_8_3'!M2000,"AAAAAHlfzcw=")</f>
        <v>#VALUE!</v>
      </c>
      <c r="GX133" t="e">
        <f>AND('Planilla_General_07-12-2012_8_3'!N2000,"AAAAAHlfzc0=")</f>
        <v>#VALUE!</v>
      </c>
      <c r="GY133" t="e">
        <f>AND('Planilla_General_07-12-2012_8_3'!O2000,"AAAAAHlfzc4=")</f>
        <v>#VALUE!</v>
      </c>
      <c r="GZ133" t="e">
        <f>AND('Planilla_General_07-12-2012_8_3'!P2000,"AAAAAHlfzc8=")</f>
        <v>#VALUE!</v>
      </c>
      <c r="HA133">
        <f>IF('Planilla_General_07-12-2012_8_3'!2001:2001,"AAAAAHlfzdA=",0)</f>
        <v>0</v>
      </c>
      <c r="HB133" t="e">
        <f>AND('Planilla_General_07-12-2012_8_3'!A2001,"AAAAAHlfzdE=")</f>
        <v>#VALUE!</v>
      </c>
      <c r="HC133" t="e">
        <f>AND('Planilla_General_07-12-2012_8_3'!B2001,"AAAAAHlfzdI=")</f>
        <v>#VALUE!</v>
      </c>
      <c r="HD133" t="e">
        <f>AND('Planilla_General_07-12-2012_8_3'!C2001,"AAAAAHlfzdM=")</f>
        <v>#VALUE!</v>
      </c>
      <c r="HE133" t="e">
        <f>AND('Planilla_General_07-12-2012_8_3'!D2001,"AAAAAHlfzdQ=")</f>
        <v>#VALUE!</v>
      </c>
      <c r="HF133" t="e">
        <f>AND('Planilla_General_07-12-2012_8_3'!E2001,"AAAAAHlfzdU=")</f>
        <v>#VALUE!</v>
      </c>
      <c r="HG133" t="e">
        <f>AND('Planilla_General_07-12-2012_8_3'!F2001,"AAAAAHlfzdY=")</f>
        <v>#VALUE!</v>
      </c>
      <c r="HH133" t="e">
        <f>AND('Planilla_General_07-12-2012_8_3'!G2001,"AAAAAHlfzdc=")</f>
        <v>#VALUE!</v>
      </c>
      <c r="HI133" t="e">
        <f>AND('Planilla_General_07-12-2012_8_3'!H2001,"AAAAAHlfzdg=")</f>
        <v>#VALUE!</v>
      </c>
      <c r="HJ133" t="e">
        <f>AND('Planilla_General_07-12-2012_8_3'!I2001,"AAAAAHlfzdk=")</f>
        <v>#VALUE!</v>
      </c>
      <c r="HK133" t="e">
        <f>AND('Planilla_General_07-12-2012_8_3'!J2001,"AAAAAHlfzdo=")</f>
        <v>#VALUE!</v>
      </c>
      <c r="HL133" t="e">
        <f>AND('Planilla_General_07-12-2012_8_3'!K2001,"AAAAAHlfzds=")</f>
        <v>#VALUE!</v>
      </c>
      <c r="HM133" t="e">
        <f>AND('Planilla_General_07-12-2012_8_3'!L2001,"AAAAAHlfzdw=")</f>
        <v>#VALUE!</v>
      </c>
      <c r="HN133" t="e">
        <f>AND('Planilla_General_07-12-2012_8_3'!M2001,"AAAAAHlfzd0=")</f>
        <v>#VALUE!</v>
      </c>
      <c r="HO133" t="e">
        <f>AND('Planilla_General_07-12-2012_8_3'!N2001,"AAAAAHlfzd4=")</f>
        <v>#VALUE!</v>
      </c>
      <c r="HP133" t="e">
        <f>AND('Planilla_General_07-12-2012_8_3'!O2001,"AAAAAHlfzd8=")</f>
        <v>#VALUE!</v>
      </c>
      <c r="HQ133" t="e">
        <f>AND('Planilla_General_07-12-2012_8_3'!P2001,"AAAAAHlfzeA=")</f>
        <v>#VALUE!</v>
      </c>
      <c r="HR133">
        <f>IF('Planilla_General_07-12-2012_8_3'!2002:2002,"AAAAAHlfzeE=",0)</f>
        <v>0</v>
      </c>
      <c r="HS133" t="e">
        <f>AND('Planilla_General_07-12-2012_8_3'!A2002,"AAAAAHlfzeI=")</f>
        <v>#VALUE!</v>
      </c>
      <c r="HT133" t="e">
        <f>AND('Planilla_General_07-12-2012_8_3'!B2002,"AAAAAHlfzeM=")</f>
        <v>#VALUE!</v>
      </c>
      <c r="HU133" t="e">
        <f>AND('Planilla_General_07-12-2012_8_3'!C2002,"AAAAAHlfzeQ=")</f>
        <v>#VALUE!</v>
      </c>
      <c r="HV133" t="e">
        <f>AND('Planilla_General_07-12-2012_8_3'!D2002,"AAAAAHlfzeU=")</f>
        <v>#VALUE!</v>
      </c>
      <c r="HW133" t="e">
        <f>AND('Planilla_General_07-12-2012_8_3'!E2002,"AAAAAHlfzeY=")</f>
        <v>#VALUE!</v>
      </c>
      <c r="HX133" t="e">
        <f>AND('Planilla_General_07-12-2012_8_3'!F2002,"AAAAAHlfzec=")</f>
        <v>#VALUE!</v>
      </c>
      <c r="HY133" t="e">
        <f>AND('Planilla_General_07-12-2012_8_3'!G2002,"AAAAAHlfzeg=")</f>
        <v>#VALUE!</v>
      </c>
      <c r="HZ133" t="e">
        <f>AND('Planilla_General_07-12-2012_8_3'!H2002,"AAAAAHlfzek=")</f>
        <v>#VALUE!</v>
      </c>
      <c r="IA133" t="e">
        <f>AND('Planilla_General_07-12-2012_8_3'!I2002,"AAAAAHlfzeo=")</f>
        <v>#VALUE!</v>
      </c>
      <c r="IB133" t="e">
        <f>AND('Planilla_General_07-12-2012_8_3'!J2002,"AAAAAHlfzes=")</f>
        <v>#VALUE!</v>
      </c>
      <c r="IC133" t="e">
        <f>AND('Planilla_General_07-12-2012_8_3'!K2002,"AAAAAHlfzew=")</f>
        <v>#VALUE!</v>
      </c>
      <c r="ID133" t="e">
        <f>AND('Planilla_General_07-12-2012_8_3'!L2002,"AAAAAHlfze0=")</f>
        <v>#VALUE!</v>
      </c>
      <c r="IE133" t="e">
        <f>AND('Planilla_General_07-12-2012_8_3'!M2002,"AAAAAHlfze4=")</f>
        <v>#VALUE!</v>
      </c>
      <c r="IF133" t="e">
        <f>AND('Planilla_General_07-12-2012_8_3'!N2002,"AAAAAHlfze8=")</f>
        <v>#VALUE!</v>
      </c>
      <c r="IG133" t="e">
        <f>AND('Planilla_General_07-12-2012_8_3'!O2002,"AAAAAHlfzfA=")</f>
        <v>#VALUE!</v>
      </c>
      <c r="IH133" t="e">
        <f>AND('Planilla_General_07-12-2012_8_3'!P2002,"AAAAAHlfzfE=")</f>
        <v>#VALUE!</v>
      </c>
      <c r="II133">
        <f>IF('Planilla_General_07-12-2012_8_3'!2003:2003,"AAAAAHlfzfI=",0)</f>
        <v>0</v>
      </c>
      <c r="IJ133" t="e">
        <f>AND('Planilla_General_07-12-2012_8_3'!A2003,"AAAAAHlfzfM=")</f>
        <v>#VALUE!</v>
      </c>
      <c r="IK133" t="e">
        <f>AND('Planilla_General_07-12-2012_8_3'!B2003,"AAAAAHlfzfQ=")</f>
        <v>#VALUE!</v>
      </c>
      <c r="IL133" t="e">
        <f>AND('Planilla_General_07-12-2012_8_3'!C2003,"AAAAAHlfzfU=")</f>
        <v>#VALUE!</v>
      </c>
      <c r="IM133" t="e">
        <f>AND('Planilla_General_07-12-2012_8_3'!D2003,"AAAAAHlfzfY=")</f>
        <v>#VALUE!</v>
      </c>
      <c r="IN133" t="e">
        <f>AND('Planilla_General_07-12-2012_8_3'!E2003,"AAAAAHlfzfc=")</f>
        <v>#VALUE!</v>
      </c>
      <c r="IO133" t="e">
        <f>AND('Planilla_General_07-12-2012_8_3'!F2003,"AAAAAHlfzfg=")</f>
        <v>#VALUE!</v>
      </c>
      <c r="IP133" t="e">
        <f>AND('Planilla_General_07-12-2012_8_3'!G2003,"AAAAAHlfzfk=")</f>
        <v>#VALUE!</v>
      </c>
      <c r="IQ133" t="e">
        <f>AND('Planilla_General_07-12-2012_8_3'!H2003,"AAAAAHlfzfo=")</f>
        <v>#VALUE!</v>
      </c>
      <c r="IR133" t="e">
        <f>AND('Planilla_General_07-12-2012_8_3'!I2003,"AAAAAHlfzfs=")</f>
        <v>#VALUE!</v>
      </c>
      <c r="IS133" t="e">
        <f>AND('Planilla_General_07-12-2012_8_3'!J2003,"AAAAAHlfzfw=")</f>
        <v>#VALUE!</v>
      </c>
      <c r="IT133" t="e">
        <f>AND('Planilla_General_07-12-2012_8_3'!K2003,"AAAAAHlfzf0=")</f>
        <v>#VALUE!</v>
      </c>
      <c r="IU133" t="e">
        <f>AND('Planilla_General_07-12-2012_8_3'!L2003,"AAAAAHlfzf4=")</f>
        <v>#VALUE!</v>
      </c>
      <c r="IV133" t="e">
        <f>AND('Planilla_General_07-12-2012_8_3'!M2003,"AAAAAHlfzf8=")</f>
        <v>#VALUE!</v>
      </c>
    </row>
    <row r="134" spans="1:256" x14ac:dyDescent="0.25">
      <c r="A134" t="e">
        <f>AND('Planilla_General_07-12-2012_8_3'!N2003,"AAAAAEzP3gA=")</f>
        <v>#VALUE!</v>
      </c>
      <c r="B134" t="e">
        <f>AND('Planilla_General_07-12-2012_8_3'!O2003,"AAAAAEzP3gE=")</f>
        <v>#VALUE!</v>
      </c>
      <c r="C134" t="e">
        <f>AND('Planilla_General_07-12-2012_8_3'!P2003,"AAAAAEzP3gI=")</f>
        <v>#VALUE!</v>
      </c>
      <c r="D134" t="e">
        <f>IF('Planilla_General_07-12-2012_8_3'!2004:2004,"AAAAAEzP3gM=",0)</f>
        <v>#VALUE!</v>
      </c>
      <c r="E134" t="e">
        <f>AND('Planilla_General_07-12-2012_8_3'!A2004,"AAAAAEzP3gQ=")</f>
        <v>#VALUE!</v>
      </c>
      <c r="F134" t="e">
        <f>AND('Planilla_General_07-12-2012_8_3'!B2004,"AAAAAEzP3gU=")</f>
        <v>#VALUE!</v>
      </c>
      <c r="G134" t="e">
        <f>AND('Planilla_General_07-12-2012_8_3'!C2004,"AAAAAEzP3gY=")</f>
        <v>#VALUE!</v>
      </c>
      <c r="H134" t="e">
        <f>AND('Planilla_General_07-12-2012_8_3'!D2004,"AAAAAEzP3gc=")</f>
        <v>#VALUE!</v>
      </c>
      <c r="I134" t="e">
        <f>AND('Planilla_General_07-12-2012_8_3'!E2004,"AAAAAEzP3gg=")</f>
        <v>#VALUE!</v>
      </c>
      <c r="J134" t="e">
        <f>AND('Planilla_General_07-12-2012_8_3'!F2004,"AAAAAEzP3gk=")</f>
        <v>#VALUE!</v>
      </c>
      <c r="K134" t="e">
        <f>AND('Planilla_General_07-12-2012_8_3'!G2004,"AAAAAEzP3go=")</f>
        <v>#VALUE!</v>
      </c>
      <c r="L134" t="e">
        <f>AND('Planilla_General_07-12-2012_8_3'!H2004,"AAAAAEzP3gs=")</f>
        <v>#VALUE!</v>
      </c>
      <c r="M134" t="e">
        <f>AND('Planilla_General_07-12-2012_8_3'!I2004,"AAAAAEzP3gw=")</f>
        <v>#VALUE!</v>
      </c>
      <c r="N134" t="e">
        <f>AND('Planilla_General_07-12-2012_8_3'!J2004,"AAAAAEzP3g0=")</f>
        <v>#VALUE!</v>
      </c>
      <c r="O134" t="e">
        <f>AND('Planilla_General_07-12-2012_8_3'!K2004,"AAAAAEzP3g4=")</f>
        <v>#VALUE!</v>
      </c>
      <c r="P134" t="e">
        <f>AND('Planilla_General_07-12-2012_8_3'!L2004,"AAAAAEzP3g8=")</f>
        <v>#VALUE!</v>
      </c>
      <c r="Q134" t="e">
        <f>AND('Planilla_General_07-12-2012_8_3'!M2004,"AAAAAEzP3hA=")</f>
        <v>#VALUE!</v>
      </c>
      <c r="R134" t="e">
        <f>AND('Planilla_General_07-12-2012_8_3'!N2004,"AAAAAEzP3hE=")</f>
        <v>#VALUE!</v>
      </c>
      <c r="S134" t="e">
        <f>AND('Planilla_General_07-12-2012_8_3'!O2004,"AAAAAEzP3hI=")</f>
        <v>#VALUE!</v>
      </c>
      <c r="T134" t="e">
        <f>AND('Planilla_General_07-12-2012_8_3'!P2004,"AAAAAEzP3hM=")</f>
        <v>#VALUE!</v>
      </c>
      <c r="U134">
        <f>IF('Planilla_General_07-12-2012_8_3'!2005:2005,"AAAAAEzP3hQ=",0)</f>
        <v>0</v>
      </c>
      <c r="V134" t="e">
        <f>AND('Planilla_General_07-12-2012_8_3'!A2005,"AAAAAEzP3hU=")</f>
        <v>#VALUE!</v>
      </c>
      <c r="W134" t="e">
        <f>AND('Planilla_General_07-12-2012_8_3'!B2005,"AAAAAEzP3hY=")</f>
        <v>#VALUE!</v>
      </c>
      <c r="X134" t="e">
        <f>AND('Planilla_General_07-12-2012_8_3'!C2005,"AAAAAEzP3hc=")</f>
        <v>#VALUE!</v>
      </c>
      <c r="Y134" t="e">
        <f>AND('Planilla_General_07-12-2012_8_3'!D2005,"AAAAAEzP3hg=")</f>
        <v>#VALUE!</v>
      </c>
      <c r="Z134" t="e">
        <f>AND('Planilla_General_07-12-2012_8_3'!E2005,"AAAAAEzP3hk=")</f>
        <v>#VALUE!</v>
      </c>
      <c r="AA134" t="e">
        <f>AND('Planilla_General_07-12-2012_8_3'!F2005,"AAAAAEzP3ho=")</f>
        <v>#VALUE!</v>
      </c>
      <c r="AB134" t="e">
        <f>AND('Planilla_General_07-12-2012_8_3'!G2005,"AAAAAEzP3hs=")</f>
        <v>#VALUE!</v>
      </c>
      <c r="AC134" t="e">
        <f>AND('Planilla_General_07-12-2012_8_3'!H2005,"AAAAAEzP3hw=")</f>
        <v>#VALUE!</v>
      </c>
      <c r="AD134" t="e">
        <f>AND('Planilla_General_07-12-2012_8_3'!I2005,"AAAAAEzP3h0=")</f>
        <v>#VALUE!</v>
      </c>
      <c r="AE134" t="e">
        <f>AND('Planilla_General_07-12-2012_8_3'!J2005,"AAAAAEzP3h4=")</f>
        <v>#VALUE!</v>
      </c>
      <c r="AF134" t="e">
        <f>AND('Planilla_General_07-12-2012_8_3'!K2005,"AAAAAEzP3h8=")</f>
        <v>#VALUE!</v>
      </c>
      <c r="AG134" t="e">
        <f>AND('Planilla_General_07-12-2012_8_3'!L2005,"AAAAAEzP3iA=")</f>
        <v>#VALUE!</v>
      </c>
      <c r="AH134" t="e">
        <f>AND('Planilla_General_07-12-2012_8_3'!M2005,"AAAAAEzP3iE=")</f>
        <v>#VALUE!</v>
      </c>
      <c r="AI134" t="e">
        <f>AND('Planilla_General_07-12-2012_8_3'!N2005,"AAAAAEzP3iI=")</f>
        <v>#VALUE!</v>
      </c>
      <c r="AJ134" t="e">
        <f>AND('Planilla_General_07-12-2012_8_3'!O2005,"AAAAAEzP3iM=")</f>
        <v>#VALUE!</v>
      </c>
      <c r="AK134" t="e">
        <f>AND('Planilla_General_07-12-2012_8_3'!P2005,"AAAAAEzP3iQ=")</f>
        <v>#VALUE!</v>
      </c>
      <c r="AL134">
        <f>IF('Planilla_General_07-12-2012_8_3'!2006:2006,"AAAAAEzP3iU=",0)</f>
        <v>0</v>
      </c>
      <c r="AM134" t="e">
        <f>AND('Planilla_General_07-12-2012_8_3'!A2006,"AAAAAEzP3iY=")</f>
        <v>#VALUE!</v>
      </c>
      <c r="AN134" t="e">
        <f>AND('Planilla_General_07-12-2012_8_3'!B2006,"AAAAAEzP3ic=")</f>
        <v>#VALUE!</v>
      </c>
      <c r="AO134" t="e">
        <f>AND('Planilla_General_07-12-2012_8_3'!C2006,"AAAAAEzP3ig=")</f>
        <v>#VALUE!</v>
      </c>
      <c r="AP134" t="e">
        <f>AND('Planilla_General_07-12-2012_8_3'!D2006,"AAAAAEzP3ik=")</f>
        <v>#VALUE!</v>
      </c>
      <c r="AQ134" t="e">
        <f>AND('Planilla_General_07-12-2012_8_3'!E2006,"AAAAAEzP3io=")</f>
        <v>#VALUE!</v>
      </c>
      <c r="AR134" t="e">
        <f>AND('Planilla_General_07-12-2012_8_3'!F2006,"AAAAAEzP3is=")</f>
        <v>#VALUE!</v>
      </c>
      <c r="AS134" t="e">
        <f>AND('Planilla_General_07-12-2012_8_3'!G2006,"AAAAAEzP3iw=")</f>
        <v>#VALUE!</v>
      </c>
      <c r="AT134" t="e">
        <f>AND('Planilla_General_07-12-2012_8_3'!H2006,"AAAAAEzP3i0=")</f>
        <v>#VALUE!</v>
      </c>
      <c r="AU134" t="e">
        <f>AND('Planilla_General_07-12-2012_8_3'!I2006,"AAAAAEzP3i4=")</f>
        <v>#VALUE!</v>
      </c>
      <c r="AV134" t="e">
        <f>AND('Planilla_General_07-12-2012_8_3'!J2006,"AAAAAEzP3i8=")</f>
        <v>#VALUE!</v>
      </c>
      <c r="AW134" t="e">
        <f>AND('Planilla_General_07-12-2012_8_3'!K2006,"AAAAAEzP3jA=")</f>
        <v>#VALUE!</v>
      </c>
      <c r="AX134" t="e">
        <f>AND('Planilla_General_07-12-2012_8_3'!L2006,"AAAAAEzP3jE=")</f>
        <v>#VALUE!</v>
      </c>
      <c r="AY134" t="e">
        <f>AND('Planilla_General_07-12-2012_8_3'!M2006,"AAAAAEzP3jI=")</f>
        <v>#VALUE!</v>
      </c>
      <c r="AZ134" t="e">
        <f>AND('Planilla_General_07-12-2012_8_3'!N2006,"AAAAAEzP3jM=")</f>
        <v>#VALUE!</v>
      </c>
      <c r="BA134" t="e">
        <f>AND('Planilla_General_07-12-2012_8_3'!O2006,"AAAAAEzP3jQ=")</f>
        <v>#VALUE!</v>
      </c>
      <c r="BB134" t="e">
        <f>AND('Planilla_General_07-12-2012_8_3'!P2006,"AAAAAEzP3jU=")</f>
        <v>#VALUE!</v>
      </c>
      <c r="BC134">
        <f>IF('Planilla_General_07-12-2012_8_3'!2007:2007,"AAAAAEzP3jY=",0)</f>
        <v>0</v>
      </c>
      <c r="BD134" t="e">
        <f>AND('Planilla_General_07-12-2012_8_3'!A2007,"AAAAAEzP3jc=")</f>
        <v>#VALUE!</v>
      </c>
      <c r="BE134" t="e">
        <f>AND('Planilla_General_07-12-2012_8_3'!B2007,"AAAAAEzP3jg=")</f>
        <v>#VALUE!</v>
      </c>
      <c r="BF134" t="e">
        <f>AND('Planilla_General_07-12-2012_8_3'!C2007,"AAAAAEzP3jk=")</f>
        <v>#VALUE!</v>
      </c>
      <c r="BG134" t="e">
        <f>AND('Planilla_General_07-12-2012_8_3'!D2007,"AAAAAEzP3jo=")</f>
        <v>#VALUE!</v>
      </c>
      <c r="BH134" t="e">
        <f>AND('Planilla_General_07-12-2012_8_3'!E2007,"AAAAAEzP3js=")</f>
        <v>#VALUE!</v>
      </c>
      <c r="BI134" t="e">
        <f>AND('Planilla_General_07-12-2012_8_3'!F2007,"AAAAAEzP3jw=")</f>
        <v>#VALUE!</v>
      </c>
      <c r="BJ134" t="e">
        <f>AND('Planilla_General_07-12-2012_8_3'!G2007,"AAAAAEzP3j0=")</f>
        <v>#VALUE!</v>
      </c>
      <c r="BK134" t="e">
        <f>AND('Planilla_General_07-12-2012_8_3'!H2007,"AAAAAEzP3j4=")</f>
        <v>#VALUE!</v>
      </c>
      <c r="BL134" t="e">
        <f>AND('Planilla_General_07-12-2012_8_3'!I2007,"AAAAAEzP3j8=")</f>
        <v>#VALUE!</v>
      </c>
      <c r="BM134" t="e">
        <f>AND('Planilla_General_07-12-2012_8_3'!J2007,"AAAAAEzP3kA=")</f>
        <v>#VALUE!</v>
      </c>
      <c r="BN134" t="e">
        <f>AND('Planilla_General_07-12-2012_8_3'!K2007,"AAAAAEzP3kE=")</f>
        <v>#VALUE!</v>
      </c>
      <c r="BO134" t="e">
        <f>AND('Planilla_General_07-12-2012_8_3'!L2007,"AAAAAEzP3kI=")</f>
        <v>#VALUE!</v>
      </c>
      <c r="BP134" t="e">
        <f>AND('Planilla_General_07-12-2012_8_3'!M2007,"AAAAAEzP3kM=")</f>
        <v>#VALUE!</v>
      </c>
      <c r="BQ134" t="e">
        <f>AND('Planilla_General_07-12-2012_8_3'!N2007,"AAAAAEzP3kQ=")</f>
        <v>#VALUE!</v>
      </c>
      <c r="BR134" t="e">
        <f>AND('Planilla_General_07-12-2012_8_3'!O2007,"AAAAAEzP3kU=")</f>
        <v>#VALUE!</v>
      </c>
      <c r="BS134" t="e">
        <f>AND('Planilla_General_07-12-2012_8_3'!P2007,"AAAAAEzP3kY=")</f>
        <v>#VALUE!</v>
      </c>
      <c r="BT134">
        <f>IF('Planilla_General_07-12-2012_8_3'!2008:2008,"AAAAAEzP3kc=",0)</f>
        <v>0</v>
      </c>
      <c r="BU134" t="e">
        <f>AND('Planilla_General_07-12-2012_8_3'!A2008,"AAAAAEzP3kg=")</f>
        <v>#VALUE!</v>
      </c>
      <c r="BV134" t="e">
        <f>AND('Planilla_General_07-12-2012_8_3'!B2008,"AAAAAEzP3kk=")</f>
        <v>#VALUE!</v>
      </c>
      <c r="BW134" t="e">
        <f>AND('Planilla_General_07-12-2012_8_3'!C2008,"AAAAAEzP3ko=")</f>
        <v>#VALUE!</v>
      </c>
      <c r="BX134" t="e">
        <f>AND('Planilla_General_07-12-2012_8_3'!D2008,"AAAAAEzP3ks=")</f>
        <v>#VALUE!</v>
      </c>
      <c r="BY134" t="e">
        <f>AND('Planilla_General_07-12-2012_8_3'!E2008,"AAAAAEzP3kw=")</f>
        <v>#VALUE!</v>
      </c>
      <c r="BZ134" t="e">
        <f>AND('Planilla_General_07-12-2012_8_3'!F2008,"AAAAAEzP3k0=")</f>
        <v>#VALUE!</v>
      </c>
      <c r="CA134" t="e">
        <f>AND('Planilla_General_07-12-2012_8_3'!G2008,"AAAAAEzP3k4=")</f>
        <v>#VALUE!</v>
      </c>
      <c r="CB134" t="e">
        <f>AND('Planilla_General_07-12-2012_8_3'!H2008,"AAAAAEzP3k8=")</f>
        <v>#VALUE!</v>
      </c>
      <c r="CC134" t="e">
        <f>AND('Planilla_General_07-12-2012_8_3'!I2008,"AAAAAEzP3lA=")</f>
        <v>#VALUE!</v>
      </c>
      <c r="CD134" t="e">
        <f>AND('Planilla_General_07-12-2012_8_3'!J2008,"AAAAAEzP3lE=")</f>
        <v>#VALUE!</v>
      </c>
      <c r="CE134" t="e">
        <f>AND('Planilla_General_07-12-2012_8_3'!K2008,"AAAAAEzP3lI=")</f>
        <v>#VALUE!</v>
      </c>
      <c r="CF134" t="e">
        <f>AND('Planilla_General_07-12-2012_8_3'!L2008,"AAAAAEzP3lM=")</f>
        <v>#VALUE!</v>
      </c>
      <c r="CG134" t="e">
        <f>AND('Planilla_General_07-12-2012_8_3'!M2008,"AAAAAEzP3lQ=")</f>
        <v>#VALUE!</v>
      </c>
      <c r="CH134" t="e">
        <f>AND('Planilla_General_07-12-2012_8_3'!N2008,"AAAAAEzP3lU=")</f>
        <v>#VALUE!</v>
      </c>
      <c r="CI134" t="e">
        <f>AND('Planilla_General_07-12-2012_8_3'!O2008,"AAAAAEzP3lY=")</f>
        <v>#VALUE!</v>
      </c>
      <c r="CJ134" t="e">
        <f>AND('Planilla_General_07-12-2012_8_3'!P2008,"AAAAAEzP3lc=")</f>
        <v>#VALUE!</v>
      </c>
      <c r="CK134">
        <f>IF('Planilla_General_07-12-2012_8_3'!2009:2009,"AAAAAEzP3lg=",0)</f>
        <v>0</v>
      </c>
      <c r="CL134" t="e">
        <f>AND('Planilla_General_07-12-2012_8_3'!A2009,"AAAAAEzP3lk=")</f>
        <v>#VALUE!</v>
      </c>
      <c r="CM134" t="e">
        <f>AND('Planilla_General_07-12-2012_8_3'!B2009,"AAAAAEzP3lo=")</f>
        <v>#VALUE!</v>
      </c>
      <c r="CN134" t="e">
        <f>AND('Planilla_General_07-12-2012_8_3'!C2009,"AAAAAEzP3ls=")</f>
        <v>#VALUE!</v>
      </c>
      <c r="CO134" t="e">
        <f>AND('Planilla_General_07-12-2012_8_3'!D2009,"AAAAAEzP3lw=")</f>
        <v>#VALUE!</v>
      </c>
      <c r="CP134" t="e">
        <f>AND('Planilla_General_07-12-2012_8_3'!E2009,"AAAAAEzP3l0=")</f>
        <v>#VALUE!</v>
      </c>
      <c r="CQ134" t="e">
        <f>AND('Planilla_General_07-12-2012_8_3'!F2009,"AAAAAEzP3l4=")</f>
        <v>#VALUE!</v>
      </c>
      <c r="CR134" t="e">
        <f>AND('Planilla_General_07-12-2012_8_3'!G2009,"AAAAAEzP3l8=")</f>
        <v>#VALUE!</v>
      </c>
      <c r="CS134" t="e">
        <f>AND('Planilla_General_07-12-2012_8_3'!H2009,"AAAAAEzP3mA=")</f>
        <v>#VALUE!</v>
      </c>
      <c r="CT134" t="e">
        <f>AND('Planilla_General_07-12-2012_8_3'!I2009,"AAAAAEzP3mE=")</f>
        <v>#VALUE!</v>
      </c>
      <c r="CU134" t="e">
        <f>AND('Planilla_General_07-12-2012_8_3'!J2009,"AAAAAEzP3mI=")</f>
        <v>#VALUE!</v>
      </c>
      <c r="CV134" t="e">
        <f>AND('Planilla_General_07-12-2012_8_3'!K2009,"AAAAAEzP3mM=")</f>
        <v>#VALUE!</v>
      </c>
      <c r="CW134" t="e">
        <f>AND('Planilla_General_07-12-2012_8_3'!L2009,"AAAAAEzP3mQ=")</f>
        <v>#VALUE!</v>
      </c>
      <c r="CX134" t="e">
        <f>AND('Planilla_General_07-12-2012_8_3'!M2009,"AAAAAEzP3mU=")</f>
        <v>#VALUE!</v>
      </c>
      <c r="CY134" t="e">
        <f>AND('Planilla_General_07-12-2012_8_3'!N2009,"AAAAAEzP3mY=")</f>
        <v>#VALUE!</v>
      </c>
      <c r="CZ134" t="e">
        <f>AND('Planilla_General_07-12-2012_8_3'!O2009,"AAAAAEzP3mc=")</f>
        <v>#VALUE!</v>
      </c>
      <c r="DA134" t="e">
        <f>AND('Planilla_General_07-12-2012_8_3'!P2009,"AAAAAEzP3mg=")</f>
        <v>#VALUE!</v>
      </c>
      <c r="DB134">
        <f>IF('Planilla_General_07-12-2012_8_3'!2010:2010,"AAAAAEzP3mk=",0)</f>
        <v>0</v>
      </c>
      <c r="DC134" t="e">
        <f>AND('Planilla_General_07-12-2012_8_3'!A2010,"AAAAAEzP3mo=")</f>
        <v>#VALUE!</v>
      </c>
      <c r="DD134" t="e">
        <f>AND('Planilla_General_07-12-2012_8_3'!B2010,"AAAAAEzP3ms=")</f>
        <v>#VALUE!</v>
      </c>
      <c r="DE134" t="e">
        <f>AND('Planilla_General_07-12-2012_8_3'!C2010,"AAAAAEzP3mw=")</f>
        <v>#VALUE!</v>
      </c>
      <c r="DF134" t="e">
        <f>AND('Planilla_General_07-12-2012_8_3'!D2010,"AAAAAEzP3m0=")</f>
        <v>#VALUE!</v>
      </c>
      <c r="DG134" t="e">
        <f>AND('Planilla_General_07-12-2012_8_3'!E2010,"AAAAAEzP3m4=")</f>
        <v>#VALUE!</v>
      </c>
      <c r="DH134" t="e">
        <f>AND('Planilla_General_07-12-2012_8_3'!F2010,"AAAAAEzP3m8=")</f>
        <v>#VALUE!</v>
      </c>
      <c r="DI134" t="e">
        <f>AND('Planilla_General_07-12-2012_8_3'!G2010,"AAAAAEzP3nA=")</f>
        <v>#VALUE!</v>
      </c>
      <c r="DJ134" t="e">
        <f>AND('Planilla_General_07-12-2012_8_3'!H2010,"AAAAAEzP3nE=")</f>
        <v>#VALUE!</v>
      </c>
      <c r="DK134" t="e">
        <f>AND('Planilla_General_07-12-2012_8_3'!I2010,"AAAAAEzP3nI=")</f>
        <v>#VALUE!</v>
      </c>
      <c r="DL134" t="e">
        <f>AND('Planilla_General_07-12-2012_8_3'!J2010,"AAAAAEzP3nM=")</f>
        <v>#VALUE!</v>
      </c>
      <c r="DM134" t="e">
        <f>AND('Planilla_General_07-12-2012_8_3'!K2010,"AAAAAEzP3nQ=")</f>
        <v>#VALUE!</v>
      </c>
      <c r="DN134" t="e">
        <f>AND('Planilla_General_07-12-2012_8_3'!L2010,"AAAAAEzP3nU=")</f>
        <v>#VALUE!</v>
      </c>
      <c r="DO134" t="e">
        <f>AND('Planilla_General_07-12-2012_8_3'!M2010,"AAAAAEzP3nY=")</f>
        <v>#VALUE!</v>
      </c>
      <c r="DP134" t="e">
        <f>AND('Planilla_General_07-12-2012_8_3'!N2010,"AAAAAEzP3nc=")</f>
        <v>#VALUE!</v>
      </c>
      <c r="DQ134" t="e">
        <f>AND('Planilla_General_07-12-2012_8_3'!O2010,"AAAAAEzP3ng=")</f>
        <v>#VALUE!</v>
      </c>
      <c r="DR134" t="e">
        <f>AND('Planilla_General_07-12-2012_8_3'!P2010,"AAAAAEzP3nk=")</f>
        <v>#VALUE!</v>
      </c>
      <c r="DS134">
        <f>IF('Planilla_General_07-12-2012_8_3'!2011:2011,"AAAAAEzP3no=",0)</f>
        <v>0</v>
      </c>
      <c r="DT134" t="e">
        <f>AND('Planilla_General_07-12-2012_8_3'!A2011,"AAAAAEzP3ns=")</f>
        <v>#VALUE!</v>
      </c>
      <c r="DU134" t="e">
        <f>AND('Planilla_General_07-12-2012_8_3'!B2011,"AAAAAEzP3nw=")</f>
        <v>#VALUE!</v>
      </c>
      <c r="DV134" t="e">
        <f>AND('Planilla_General_07-12-2012_8_3'!C2011,"AAAAAEzP3n0=")</f>
        <v>#VALUE!</v>
      </c>
      <c r="DW134" t="e">
        <f>AND('Planilla_General_07-12-2012_8_3'!D2011,"AAAAAEzP3n4=")</f>
        <v>#VALUE!</v>
      </c>
      <c r="DX134" t="e">
        <f>AND('Planilla_General_07-12-2012_8_3'!E2011,"AAAAAEzP3n8=")</f>
        <v>#VALUE!</v>
      </c>
      <c r="DY134" t="e">
        <f>AND('Planilla_General_07-12-2012_8_3'!F2011,"AAAAAEzP3oA=")</f>
        <v>#VALUE!</v>
      </c>
      <c r="DZ134" t="e">
        <f>AND('Planilla_General_07-12-2012_8_3'!G2011,"AAAAAEzP3oE=")</f>
        <v>#VALUE!</v>
      </c>
      <c r="EA134" t="e">
        <f>AND('Planilla_General_07-12-2012_8_3'!H2011,"AAAAAEzP3oI=")</f>
        <v>#VALUE!</v>
      </c>
      <c r="EB134" t="e">
        <f>AND('Planilla_General_07-12-2012_8_3'!I2011,"AAAAAEzP3oM=")</f>
        <v>#VALUE!</v>
      </c>
      <c r="EC134" t="e">
        <f>AND('Planilla_General_07-12-2012_8_3'!J2011,"AAAAAEzP3oQ=")</f>
        <v>#VALUE!</v>
      </c>
      <c r="ED134" t="e">
        <f>AND('Planilla_General_07-12-2012_8_3'!K2011,"AAAAAEzP3oU=")</f>
        <v>#VALUE!</v>
      </c>
      <c r="EE134" t="e">
        <f>AND('Planilla_General_07-12-2012_8_3'!L2011,"AAAAAEzP3oY=")</f>
        <v>#VALUE!</v>
      </c>
      <c r="EF134" t="e">
        <f>AND('Planilla_General_07-12-2012_8_3'!M2011,"AAAAAEzP3oc=")</f>
        <v>#VALUE!</v>
      </c>
      <c r="EG134" t="e">
        <f>AND('Planilla_General_07-12-2012_8_3'!N2011,"AAAAAEzP3og=")</f>
        <v>#VALUE!</v>
      </c>
      <c r="EH134" t="e">
        <f>AND('Planilla_General_07-12-2012_8_3'!O2011,"AAAAAEzP3ok=")</f>
        <v>#VALUE!</v>
      </c>
      <c r="EI134" t="e">
        <f>AND('Planilla_General_07-12-2012_8_3'!P2011,"AAAAAEzP3oo=")</f>
        <v>#VALUE!</v>
      </c>
      <c r="EJ134">
        <f>IF('Planilla_General_07-12-2012_8_3'!2012:2012,"AAAAAEzP3os=",0)</f>
        <v>0</v>
      </c>
      <c r="EK134" t="e">
        <f>AND('Planilla_General_07-12-2012_8_3'!A2012,"AAAAAEzP3ow=")</f>
        <v>#VALUE!</v>
      </c>
      <c r="EL134" t="e">
        <f>AND('Planilla_General_07-12-2012_8_3'!B2012,"AAAAAEzP3o0=")</f>
        <v>#VALUE!</v>
      </c>
      <c r="EM134" t="e">
        <f>AND('Planilla_General_07-12-2012_8_3'!C2012,"AAAAAEzP3o4=")</f>
        <v>#VALUE!</v>
      </c>
      <c r="EN134" t="e">
        <f>AND('Planilla_General_07-12-2012_8_3'!D2012,"AAAAAEzP3o8=")</f>
        <v>#VALUE!</v>
      </c>
      <c r="EO134" t="e">
        <f>AND('Planilla_General_07-12-2012_8_3'!E2012,"AAAAAEzP3pA=")</f>
        <v>#VALUE!</v>
      </c>
      <c r="EP134" t="e">
        <f>AND('Planilla_General_07-12-2012_8_3'!F2012,"AAAAAEzP3pE=")</f>
        <v>#VALUE!</v>
      </c>
      <c r="EQ134" t="e">
        <f>AND('Planilla_General_07-12-2012_8_3'!G2012,"AAAAAEzP3pI=")</f>
        <v>#VALUE!</v>
      </c>
      <c r="ER134" t="e">
        <f>AND('Planilla_General_07-12-2012_8_3'!H2012,"AAAAAEzP3pM=")</f>
        <v>#VALUE!</v>
      </c>
      <c r="ES134" t="e">
        <f>AND('Planilla_General_07-12-2012_8_3'!I2012,"AAAAAEzP3pQ=")</f>
        <v>#VALUE!</v>
      </c>
      <c r="ET134" t="e">
        <f>AND('Planilla_General_07-12-2012_8_3'!J2012,"AAAAAEzP3pU=")</f>
        <v>#VALUE!</v>
      </c>
      <c r="EU134" t="e">
        <f>AND('Planilla_General_07-12-2012_8_3'!K2012,"AAAAAEzP3pY=")</f>
        <v>#VALUE!</v>
      </c>
      <c r="EV134" t="e">
        <f>AND('Planilla_General_07-12-2012_8_3'!L2012,"AAAAAEzP3pc=")</f>
        <v>#VALUE!</v>
      </c>
      <c r="EW134" t="e">
        <f>AND('Planilla_General_07-12-2012_8_3'!M2012,"AAAAAEzP3pg=")</f>
        <v>#VALUE!</v>
      </c>
      <c r="EX134" t="e">
        <f>AND('Planilla_General_07-12-2012_8_3'!N2012,"AAAAAEzP3pk=")</f>
        <v>#VALUE!</v>
      </c>
      <c r="EY134" t="e">
        <f>AND('Planilla_General_07-12-2012_8_3'!O2012,"AAAAAEzP3po=")</f>
        <v>#VALUE!</v>
      </c>
      <c r="EZ134" t="e">
        <f>AND('Planilla_General_07-12-2012_8_3'!P2012,"AAAAAEzP3ps=")</f>
        <v>#VALUE!</v>
      </c>
      <c r="FA134">
        <f>IF('Planilla_General_07-12-2012_8_3'!2013:2013,"AAAAAEzP3pw=",0)</f>
        <v>0</v>
      </c>
      <c r="FB134" t="e">
        <f>AND('Planilla_General_07-12-2012_8_3'!A2013,"AAAAAEzP3p0=")</f>
        <v>#VALUE!</v>
      </c>
      <c r="FC134" t="e">
        <f>AND('Planilla_General_07-12-2012_8_3'!B2013,"AAAAAEzP3p4=")</f>
        <v>#VALUE!</v>
      </c>
      <c r="FD134" t="e">
        <f>AND('Planilla_General_07-12-2012_8_3'!C2013,"AAAAAEzP3p8=")</f>
        <v>#VALUE!</v>
      </c>
      <c r="FE134" t="e">
        <f>AND('Planilla_General_07-12-2012_8_3'!D2013,"AAAAAEzP3qA=")</f>
        <v>#VALUE!</v>
      </c>
      <c r="FF134" t="e">
        <f>AND('Planilla_General_07-12-2012_8_3'!E2013,"AAAAAEzP3qE=")</f>
        <v>#VALUE!</v>
      </c>
      <c r="FG134" t="e">
        <f>AND('Planilla_General_07-12-2012_8_3'!F2013,"AAAAAEzP3qI=")</f>
        <v>#VALUE!</v>
      </c>
      <c r="FH134" t="e">
        <f>AND('Planilla_General_07-12-2012_8_3'!G2013,"AAAAAEzP3qM=")</f>
        <v>#VALUE!</v>
      </c>
      <c r="FI134" t="e">
        <f>AND('Planilla_General_07-12-2012_8_3'!H2013,"AAAAAEzP3qQ=")</f>
        <v>#VALUE!</v>
      </c>
      <c r="FJ134" t="e">
        <f>AND('Planilla_General_07-12-2012_8_3'!I2013,"AAAAAEzP3qU=")</f>
        <v>#VALUE!</v>
      </c>
      <c r="FK134" t="e">
        <f>AND('Planilla_General_07-12-2012_8_3'!J2013,"AAAAAEzP3qY=")</f>
        <v>#VALUE!</v>
      </c>
      <c r="FL134" t="e">
        <f>AND('Planilla_General_07-12-2012_8_3'!K2013,"AAAAAEzP3qc=")</f>
        <v>#VALUE!</v>
      </c>
      <c r="FM134" t="e">
        <f>AND('Planilla_General_07-12-2012_8_3'!L2013,"AAAAAEzP3qg=")</f>
        <v>#VALUE!</v>
      </c>
      <c r="FN134" t="e">
        <f>AND('Planilla_General_07-12-2012_8_3'!M2013,"AAAAAEzP3qk=")</f>
        <v>#VALUE!</v>
      </c>
      <c r="FO134" t="e">
        <f>AND('Planilla_General_07-12-2012_8_3'!N2013,"AAAAAEzP3qo=")</f>
        <v>#VALUE!</v>
      </c>
      <c r="FP134" t="e">
        <f>AND('Planilla_General_07-12-2012_8_3'!O2013,"AAAAAEzP3qs=")</f>
        <v>#VALUE!</v>
      </c>
      <c r="FQ134" t="e">
        <f>AND('Planilla_General_07-12-2012_8_3'!P2013,"AAAAAEzP3qw=")</f>
        <v>#VALUE!</v>
      </c>
      <c r="FR134">
        <f>IF('Planilla_General_07-12-2012_8_3'!2014:2014,"AAAAAEzP3q0=",0)</f>
        <v>0</v>
      </c>
      <c r="FS134" t="e">
        <f>AND('Planilla_General_07-12-2012_8_3'!A2014,"AAAAAEzP3q4=")</f>
        <v>#VALUE!</v>
      </c>
      <c r="FT134" t="e">
        <f>AND('Planilla_General_07-12-2012_8_3'!B2014,"AAAAAEzP3q8=")</f>
        <v>#VALUE!</v>
      </c>
      <c r="FU134" t="e">
        <f>AND('Planilla_General_07-12-2012_8_3'!C2014,"AAAAAEzP3rA=")</f>
        <v>#VALUE!</v>
      </c>
      <c r="FV134" t="e">
        <f>AND('Planilla_General_07-12-2012_8_3'!D2014,"AAAAAEzP3rE=")</f>
        <v>#VALUE!</v>
      </c>
      <c r="FW134" t="e">
        <f>AND('Planilla_General_07-12-2012_8_3'!E2014,"AAAAAEzP3rI=")</f>
        <v>#VALUE!</v>
      </c>
      <c r="FX134" t="e">
        <f>AND('Planilla_General_07-12-2012_8_3'!F2014,"AAAAAEzP3rM=")</f>
        <v>#VALUE!</v>
      </c>
      <c r="FY134" t="e">
        <f>AND('Planilla_General_07-12-2012_8_3'!G2014,"AAAAAEzP3rQ=")</f>
        <v>#VALUE!</v>
      </c>
      <c r="FZ134" t="e">
        <f>AND('Planilla_General_07-12-2012_8_3'!H2014,"AAAAAEzP3rU=")</f>
        <v>#VALUE!</v>
      </c>
      <c r="GA134" t="e">
        <f>AND('Planilla_General_07-12-2012_8_3'!I2014,"AAAAAEzP3rY=")</f>
        <v>#VALUE!</v>
      </c>
      <c r="GB134" t="e">
        <f>AND('Planilla_General_07-12-2012_8_3'!J2014,"AAAAAEzP3rc=")</f>
        <v>#VALUE!</v>
      </c>
      <c r="GC134" t="e">
        <f>AND('Planilla_General_07-12-2012_8_3'!K2014,"AAAAAEzP3rg=")</f>
        <v>#VALUE!</v>
      </c>
      <c r="GD134" t="e">
        <f>AND('Planilla_General_07-12-2012_8_3'!L2014,"AAAAAEzP3rk=")</f>
        <v>#VALUE!</v>
      </c>
      <c r="GE134" t="e">
        <f>AND('Planilla_General_07-12-2012_8_3'!M2014,"AAAAAEzP3ro=")</f>
        <v>#VALUE!</v>
      </c>
      <c r="GF134" t="e">
        <f>AND('Planilla_General_07-12-2012_8_3'!N2014,"AAAAAEzP3rs=")</f>
        <v>#VALUE!</v>
      </c>
      <c r="GG134" t="e">
        <f>AND('Planilla_General_07-12-2012_8_3'!O2014,"AAAAAEzP3rw=")</f>
        <v>#VALUE!</v>
      </c>
      <c r="GH134" t="e">
        <f>AND('Planilla_General_07-12-2012_8_3'!P2014,"AAAAAEzP3r0=")</f>
        <v>#VALUE!</v>
      </c>
      <c r="GI134">
        <f>IF('Planilla_General_07-12-2012_8_3'!2015:2015,"AAAAAEzP3r4=",0)</f>
        <v>0</v>
      </c>
      <c r="GJ134" t="e">
        <f>AND('Planilla_General_07-12-2012_8_3'!A2015,"AAAAAEzP3r8=")</f>
        <v>#VALUE!</v>
      </c>
      <c r="GK134" t="e">
        <f>AND('Planilla_General_07-12-2012_8_3'!B2015,"AAAAAEzP3sA=")</f>
        <v>#VALUE!</v>
      </c>
      <c r="GL134" t="e">
        <f>AND('Planilla_General_07-12-2012_8_3'!C2015,"AAAAAEzP3sE=")</f>
        <v>#VALUE!</v>
      </c>
      <c r="GM134" t="e">
        <f>AND('Planilla_General_07-12-2012_8_3'!D2015,"AAAAAEzP3sI=")</f>
        <v>#VALUE!</v>
      </c>
      <c r="GN134" t="e">
        <f>AND('Planilla_General_07-12-2012_8_3'!E2015,"AAAAAEzP3sM=")</f>
        <v>#VALUE!</v>
      </c>
      <c r="GO134" t="e">
        <f>AND('Planilla_General_07-12-2012_8_3'!F2015,"AAAAAEzP3sQ=")</f>
        <v>#VALUE!</v>
      </c>
      <c r="GP134" t="e">
        <f>AND('Planilla_General_07-12-2012_8_3'!G2015,"AAAAAEzP3sU=")</f>
        <v>#VALUE!</v>
      </c>
      <c r="GQ134" t="e">
        <f>AND('Planilla_General_07-12-2012_8_3'!H2015,"AAAAAEzP3sY=")</f>
        <v>#VALUE!</v>
      </c>
      <c r="GR134" t="e">
        <f>AND('Planilla_General_07-12-2012_8_3'!I2015,"AAAAAEzP3sc=")</f>
        <v>#VALUE!</v>
      </c>
      <c r="GS134" t="e">
        <f>AND('Planilla_General_07-12-2012_8_3'!J2015,"AAAAAEzP3sg=")</f>
        <v>#VALUE!</v>
      </c>
      <c r="GT134" t="e">
        <f>AND('Planilla_General_07-12-2012_8_3'!K2015,"AAAAAEzP3sk=")</f>
        <v>#VALUE!</v>
      </c>
      <c r="GU134" t="e">
        <f>AND('Planilla_General_07-12-2012_8_3'!L2015,"AAAAAEzP3so=")</f>
        <v>#VALUE!</v>
      </c>
      <c r="GV134" t="e">
        <f>AND('Planilla_General_07-12-2012_8_3'!M2015,"AAAAAEzP3ss=")</f>
        <v>#VALUE!</v>
      </c>
      <c r="GW134" t="e">
        <f>AND('Planilla_General_07-12-2012_8_3'!N2015,"AAAAAEzP3sw=")</f>
        <v>#VALUE!</v>
      </c>
      <c r="GX134" t="e">
        <f>AND('Planilla_General_07-12-2012_8_3'!O2015,"AAAAAEzP3s0=")</f>
        <v>#VALUE!</v>
      </c>
      <c r="GY134" t="e">
        <f>AND('Planilla_General_07-12-2012_8_3'!P2015,"AAAAAEzP3s4=")</f>
        <v>#VALUE!</v>
      </c>
      <c r="GZ134">
        <f>IF('Planilla_General_07-12-2012_8_3'!2016:2016,"AAAAAEzP3s8=",0)</f>
        <v>0</v>
      </c>
      <c r="HA134" t="e">
        <f>AND('Planilla_General_07-12-2012_8_3'!A2016,"AAAAAEzP3tA=")</f>
        <v>#VALUE!</v>
      </c>
      <c r="HB134" t="e">
        <f>AND('Planilla_General_07-12-2012_8_3'!B2016,"AAAAAEzP3tE=")</f>
        <v>#VALUE!</v>
      </c>
      <c r="HC134" t="e">
        <f>AND('Planilla_General_07-12-2012_8_3'!C2016,"AAAAAEzP3tI=")</f>
        <v>#VALUE!</v>
      </c>
      <c r="HD134" t="e">
        <f>AND('Planilla_General_07-12-2012_8_3'!D2016,"AAAAAEzP3tM=")</f>
        <v>#VALUE!</v>
      </c>
      <c r="HE134" t="e">
        <f>AND('Planilla_General_07-12-2012_8_3'!E2016,"AAAAAEzP3tQ=")</f>
        <v>#VALUE!</v>
      </c>
      <c r="HF134" t="e">
        <f>AND('Planilla_General_07-12-2012_8_3'!F2016,"AAAAAEzP3tU=")</f>
        <v>#VALUE!</v>
      </c>
      <c r="HG134" t="e">
        <f>AND('Planilla_General_07-12-2012_8_3'!G2016,"AAAAAEzP3tY=")</f>
        <v>#VALUE!</v>
      </c>
      <c r="HH134" t="e">
        <f>AND('Planilla_General_07-12-2012_8_3'!H2016,"AAAAAEzP3tc=")</f>
        <v>#VALUE!</v>
      </c>
      <c r="HI134" t="e">
        <f>AND('Planilla_General_07-12-2012_8_3'!I2016,"AAAAAEzP3tg=")</f>
        <v>#VALUE!</v>
      </c>
      <c r="HJ134" t="e">
        <f>AND('Planilla_General_07-12-2012_8_3'!J2016,"AAAAAEzP3tk=")</f>
        <v>#VALUE!</v>
      </c>
      <c r="HK134" t="e">
        <f>AND('Planilla_General_07-12-2012_8_3'!K2016,"AAAAAEzP3to=")</f>
        <v>#VALUE!</v>
      </c>
      <c r="HL134" t="e">
        <f>AND('Planilla_General_07-12-2012_8_3'!L2016,"AAAAAEzP3ts=")</f>
        <v>#VALUE!</v>
      </c>
      <c r="HM134" t="e">
        <f>AND('Planilla_General_07-12-2012_8_3'!M2016,"AAAAAEzP3tw=")</f>
        <v>#VALUE!</v>
      </c>
      <c r="HN134" t="e">
        <f>AND('Planilla_General_07-12-2012_8_3'!N2016,"AAAAAEzP3t0=")</f>
        <v>#VALUE!</v>
      </c>
      <c r="HO134" t="e">
        <f>AND('Planilla_General_07-12-2012_8_3'!O2016,"AAAAAEzP3t4=")</f>
        <v>#VALUE!</v>
      </c>
      <c r="HP134" t="e">
        <f>AND('Planilla_General_07-12-2012_8_3'!P2016,"AAAAAEzP3t8=")</f>
        <v>#VALUE!</v>
      </c>
      <c r="HQ134">
        <f>IF('Planilla_General_07-12-2012_8_3'!2017:2017,"AAAAAEzP3uA=",0)</f>
        <v>0</v>
      </c>
      <c r="HR134" t="e">
        <f>AND('Planilla_General_07-12-2012_8_3'!A2017,"AAAAAEzP3uE=")</f>
        <v>#VALUE!</v>
      </c>
      <c r="HS134" t="e">
        <f>AND('Planilla_General_07-12-2012_8_3'!B2017,"AAAAAEzP3uI=")</f>
        <v>#VALUE!</v>
      </c>
      <c r="HT134" t="e">
        <f>AND('Planilla_General_07-12-2012_8_3'!C2017,"AAAAAEzP3uM=")</f>
        <v>#VALUE!</v>
      </c>
      <c r="HU134" t="e">
        <f>AND('Planilla_General_07-12-2012_8_3'!D2017,"AAAAAEzP3uQ=")</f>
        <v>#VALUE!</v>
      </c>
      <c r="HV134" t="e">
        <f>AND('Planilla_General_07-12-2012_8_3'!E2017,"AAAAAEzP3uU=")</f>
        <v>#VALUE!</v>
      </c>
      <c r="HW134" t="e">
        <f>AND('Planilla_General_07-12-2012_8_3'!F2017,"AAAAAEzP3uY=")</f>
        <v>#VALUE!</v>
      </c>
      <c r="HX134" t="e">
        <f>AND('Planilla_General_07-12-2012_8_3'!G2017,"AAAAAEzP3uc=")</f>
        <v>#VALUE!</v>
      </c>
      <c r="HY134" t="e">
        <f>AND('Planilla_General_07-12-2012_8_3'!H2017,"AAAAAEzP3ug=")</f>
        <v>#VALUE!</v>
      </c>
      <c r="HZ134" t="e">
        <f>AND('Planilla_General_07-12-2012_8_3'!I2017,"AAAAAEzP3uk=")</f>
        <v>#VALUE!</v>
      </c>
      <c r="IA134" t="e">
        <f>AND('Planilla_General_07-12-2012_8_3'!J2017,"AAAAAEzP3uo=")</f>
        <v>#VALUE!</v>
      </c>
      <c r="IB134" t="e">
        <f>AND('Planilla_General_07-12-2012_8_3'!K2017,"AAAAAEzP3us=")</f>
        <v>#VALUE!</v>
      </c>
      <c r="IC134" t="e">
        <f>AND('Planilla_General_07-12-2012_8_3'!L2017,"AAAAAEzP3uw=")</f>
        <v>#VALUE!</v>
      </c>
      <c r="ID134" t="e">
        <f>AND('Planilla_General_07-12-2012_8_3'!M2017,"AAAAAEzP3u0=")</f>
        <v>#VALUE!</v>
      </c>
      <c r="IE134" t="e">
        <f>AND('Planilla_General_07-12-2012_8_3'!N2017,"AAAAAEzP3u4=")</f>
        <v>#VALUE!</v>
      </c>
      <c r="IF134" t="e">
        <f>AND('Planilla_General_07-12-2012_8_3'!O2017,"AAAAAEzP3u8=")</f>
        <v>#VALUE!</v>
      </c>
      <c r="IG134" t="e">
        <f>AND('Planilla_General_07-12-2012_8_3'!P2017,"AAAAAEzP3vA=")</f>
        <v>#VALUE!</v>
      </c>
      <c r="IH134">
        <f>IF('Planilla_General_07-12-2012_8_3'!2018:2018,"AAAAAEzP3vE=",0)</f>
        <v>0</v>
      </c>
      <c r="II134" t="e">
        <f>AND('Planilla_General_07-12-2012_8_3'!A2018,"AAAAAEzP3vI=")</f>
        <v>#VALUE!</v>
      </c>
      <c r="IJ134" t="e">
        <f>AND('Planilla_General_07-12-2012_8_3'!B2018,"AAAAAEzP3vM=")</f>
        <v>#VALUE!</v>
      </c>
      <c r="IK134" t="e">
        <f>AND('Planilla_General_07-12-2012_8_3'!C2018,"AAAAAEzP3vQ=")</f>
        <v>#VALUE!</v>
      </c>
      <c r="IL134" t="e">
        <f>AND('Planilla_General_07-12-2012_8_3'!D2018,"AAAAAEzP3vU=")</f>
        <v>#VALUE!</v>
      </c>
      <c r="IM134" t="e">
        <f>AND('Planilla_General_07-12-2012_8_3'!E2018,"AAAAAEzP3vY=")</f>
        <v>#VALUE!</v>
      </c>
      <c r="IN134" t="e">
        <f>AND('Planilla_General_07-12-2012_8_3'!F2018,"AAAAAEzP3vc=")</f>
        <v>#VALUE!</v>
      </c>
      <c r="IO134" t="e">
        <f>AND('Planilla_General_07-12-2012_8_3'!G2018,"AAAAAEzP3vg=")</f>
        <v>#VALUE!</v>
      </c>
      <c r="IP134" t="e">
        <f>AND('Planilla_General_07-12-2012_8_3'!H2018,"AAAAAEzP3vk=")</f>
        <v>#VALUE!</v>
      </c>
      <c r="IQ134" t="e">
        <f>AND('Planilla_General_07-12-2012_8_3'!I2018,"AAAAAEzP3vo=")</f>
        <v>#VALUE!</v>
      </c>
      <c r="IR134" t="e">
        <f>AND('Planilla_General_07-12-2012_8_3'!J2018,"AAAAAEzP3vs=")</f>
        <v>#VALUE!</v>
      </c>
      <c r="IS134" t="e">
        <f>AND('Planilla_General_07-12-2012_8_3'!K2018,"AAAAAEzP3vw=")</f>
        <v>#VALUE!</v>
      </c>
      <c r="IT134" t="e">
        <f>AND('Planilla_General_07-12-2012_8_3'!L2018,"AAAAAEzP3v0=")</f>
        <v>#VALUE!</v>
      </c>
      <c r="IU134" t="e">
        <f>AND('Planilla_General_07-12-2012_8_3'!M2018,"AAAAAEzP3v4=")</f>
        <v>#VALUE!</v>
      </c>
      <c r="IV134" t="e">
        <f>AND('Planilla_General_07-12-2012_8_3'!N2018,"AAAAAEzP3v8=")</f>
        <v>#VALUE!</v>
      </c>
    </row>
    <row r="135" spans="1:256" x14ac:dyDescent="0.25">
      <c r="A135" t="e">
        <f>AND('Planilla_General_07-12-2012_8_3'!O2018,"AAAAAH/XewA=")</f>
        <v>#VALUE!</v>
      </c>
      <c r="B135" t="e">
        <f>AND('Planilla_General_07-12-2012_8_3'!P2018,"AAAAAH/XewE=")</f>
        <v>#VALUE!</v>
      </c>
      <c r="C135" t="str">
        <f>IF('Planilla_General_07-12-2012_8_3'!2019:2019,"AAAAAH/XewI=",0)</f>
        <v>AAAAAH/XewI=</v>
      </c>
      <c r="D135" t="e">
        <f>AND('Planilla_General_07-12-2012_8_3'!A2019,"AAAAAH/XewM=")</f>
        <v>#VALUE!</v>
      </c>
      <c r="E135" t="e">
        <f>AND('Planilla_General_07-12-2012_8_3'!B2019,"AAAAAH/XewQ=")</f>
        <v>#VALUE!</v>
      </c>
      <c r="F135" t="e">
        <f>AND('Planilla_General_07-12-2012_8_3'!C2019,"AAAAAH/XewU=")</f>
        <v>#VALUE!</v>
      </c>
      <c r="G135" t="e">
        <f>AND('Planilla_General_07-12-2012_8_3'!D2019,"AAAAAH/XewY=")</f>
        <v>#VALUE!</v>
      </c>
      <c r="H135" t="e">
        <f>AND('Planilla_General_07-12-2012_8_3'!E2019,"AAAAAH/Xewc=")</f>
        <v>#VALUE!</v>
      </c>
      <c r="I135" t="e">
        <f>AND('Planilla_General_07-12-2012_8_3'!F2019,"AAAAAH/Xewg=")</f>
        <v>#VALUE!</v>
      </c>
      <c r="J135" t="e">
        <f>AND('Planilla_General_07-12-2012_8_3'!G2019,"AAAAAH/Xewk=")</f>
        <v>#VALUE!</v>
      </c>
      <c r="K135" t="e">
        <f>AND('Planilla_General_07-12-2012_8_3'!H2019,"AAAAAH/Xewo=")</f>
        <v>#VALUE!</v>
      </c>
      <c r="L135" t="e">
        <f>AND('Planilla_General_07-12-2012_8_3'!I2019,"AAAAAH/Xews=")</f>
        <v>#VALUE!</v>
      </c>
      <c r="M135" t="e">
        <f>AND('Planilla_General_07-12-2012_8_3'!J2019,"AAAAAH/Xeww=")</f>
        <v>#VALUE!</v>
      </c>
      <c r="N135" t="e">
        <f>AND('Planilla_General_07-12-2012_8_3'!K2019,"AAAAAH/Xew0=")</f>
        <v>#VALUE!</v>
      </c>
      <c r="O135" t="e">
        <f>AND('Planilla_General_07-12-2012_8_3'!L2019,"AAAAAH/Xew4=")</f>
        <v>#VALUE!</v>
      </c>
      <c r="P135" t="e">
        <f>AND('Planilla_General_07-12-2012_8_3'!M2019,"AAAAAH/Xew8=")</f>
        <v>#VALUE!</v>
      </c>
      <c r="Q135" t="e">
        <f>AND('Planilla_General_07-12-2012_8_3'!N2019,"AAAAAH/XexA=")</f>
        <v>#VALUE!</v>
      </c>
      <c r="R135" t="e">
        <f>AND('Planilla_General_07-12-2012_8_3'!O2019,"AAAAAH/XexE=")</f>
        <v>#VALUE!</v>
      </c>
      <c r="S135" t="e">
        <f>AND('Planilla_General_07-12-2012_8_3'!P2019,"AAAAAH/XexI=")</f>
        <v>#VALUE!</v>
      </c>
      <c r="T135">
        <f>IF('Planilla_General_07-12-2012_8_3'!2020:2020,"AAAAAH/XexM=",0)</f>
        <v>0</v>
      </c>
      <c r="U135" t="e">
        <f>AND('Planilla_General_07-12-2012_8_3'!A2020,"AAAAAH/XexQ=")</f>
        <v>#VALUE!</v>
      </c>
      <c r="V135" t="e">
        <f>AND('Planilla_General_07-12-2012_8_3'!B2020,"AAAAAH/XexU=")</f>
        <v>#VALUE!</v>
      </c>
      <c r="W135" t="e">
        <f>AND('Planilla_General_07-12-2012_8_3'!C2020,"AAAAAH/XexY=")</f>
        <v>#VALUE!</v>
      </c>
      <c r="X135" t="e">
        <f>AND('Planilla_General_07-12-2012_8_3'!D2020,"AAAAAH/Xexc=")</f>
        <v>#VALUE!</v>
      </c>
      <c r="Y135" t="e">
        <f>AND('Planilla_General_07-12-2012_8_3'!E2020,"AAAAAH/Xexg=")</f>
        <v>#VALUE!</v>
      </c>
      <c r="Z135" t="e">
        <f>AND('Planilla_General_07-12-2012_8_3'!F2020,"AAAAAH/Xexk=")</f>
        <v>#VALUE!</v>
      </c>
      <c r="AA135" t="e">
        <f>AND('Planilla_General_07-12-2012_8_3'!G2020,"AAAAAH/Xexo=")</f>
        <v>#VALUE!</v>
      </c>
      <c r="AB135" t="e">
        <f>AND('Planilla_General_07-12-2012_8_3'!H2020,"AAAAAH/Xexs=")</f>
        <v>#VALUE!</v>
      </c>
      <c r="AC135" t="e">
        <f>AND('Planilla_General_07-12-2012_8_3'!I2020,"AAAAAH/Xexw=")</f>
        <v>#VALUE!</v>
      </c>
      <c r="AD135" t="e">
        <f>AND('Planilla_General_07-12-2012_8_3'!J2020,"AAAAAH/Xex0=")</f>
        <v>#VALUE!</v>
      </c>
      <c r="AE135" t="e">
        <f>AND('Planilla_General_07-12-2012_8_3'!K2020,"AAAAAH/Xex4=")</f>
        <v>#VALUE!</v>
      </c>
      <c r="AF135" t="e">
        <f>AND('Planilla_General_07-12-2012_8_3'!L2020,"AAAAAH/Xex8=")</f>
        <v>#VALUE!</v>
      </c>
      <c r="AG135" t="e">
        <f>AND('Planilla_General_07-12-2012_8_3'!M2020,"AAAAAH/XeyA=")</f>
        <v>#VALUE!</v>
      </c>
      <c r="AH135" t="e">
        <f>AND('Planilla_General_07-12-2012_8_3'!N2020,"AAAAAH/XeyE=")</f>
        <v>#VALUE!</v>
      </c>
      <c r="AI135" t="e">
        <f>AND('Planilla_General_07-12-2012_8_3'!O2020,"AAAAAH/XeyI=")</f>
        <v>#VALUE!</v>
      </c>
      <c r="AJ135" t="e">
        <f>AND('Planilla_General_07-12-2012_8_3'!P2020,"AAAAAH/XeyM=")</f>
        <v>#VALUE!</v>
      </c>
      <c r="AK135">
        <f>IF('Planilla_General_07-12-2012_8_3'!2021:2021,"AAAAAH/XeyQ=",0)</f>
        <v>0</v>
      </c>
      <c r="AL135" t="e">
        <f>AND('Planilla_General_07-12-2012_8_3'!A2021,"AAAAAH/XeyU=")</f>
        <v>#VALUE!</v>
      </c>
      <c r="AM135" t="e">
        <f>AND('Planilla_General_07-12-2012_8_3'!B2021,"AAAAAH/XeyY=")</f>
        <v>#VALUE!</v>
      </c>
      <c r="AN135" t="e">
        <f>AND('Planilla_General_07-12-2012_8_3'!C2021,"AAAAAH/Xeyc=")</f>
        <v>#VALUE!</v>
      </c>
      <c r="AO135" t="e">
        <f>AND('Planilla_General_07-12-2012_8_3'!D2021,"AAAAAH/Xeyg=")</f>
        <v>#VALUE!</v>
      </c>
      <c r="AP135" t="e">
        <f>AND('Planilla_General_07-12-2012_8_3'!E2021,"AAAAAH/Xeyk=")</f>
        <v>#VALUE!</v>
      </c>
      <c r="AQ135" t="e">
        <f>AND('Planilla_General_07-12-2012_8_3'!F2021,"AAAAAH/Xeyo=")</f>
        <v>#VALUE!</v>
      </c>
      <c r="AR135" t="e">
        <f>AND('Planilla_General_07-12-2012_8_3'!G2021,"AAAAAH/Xeys=")</f>
        <v>#VALUE!</v>
      </c>
      <c r="AS135" t="e">
        <f>AND('Planilla_General_07-12-2012_8_3'!H2021,"AAAAAH/Xeyw=")</f>
        <v>#VALUE!</v>
      </c>
      <c r="AT135" t="e">
        <f>AND('Planilla_General_07-12-2012_8_3'!I2021,"AAAAAH/Xey0=")</f>
        <v>#VALUE!</v>
      </c>
      <c r="AU135" t="e">
        <f>AND('Planilla_General_07-12-2012_8_3'!J2021,"AAAAAH/Xey4=")</f>
        <v>#VALUE!</v>
      </c>
      <c r="AV135" t="e">
        <f>AND('Planilla_General_07-12-2012_8_3'!K2021,"AAAAAH/Xey8=")</f>
        <v>#VALUE!</v>
      </c>
      <c r="AW135" t="e">
        <f>AND('Planilla_General_07-12-2012_8_3'!L2021,"AAAAAH/XezA=")</f>
        <v>#VALUE!</v>
      </c>
      <c r="AX135" t="e">
        <f>AND('Planilla_General_07-12-2012_8_3'!M2021,"AAAAAH/XezE=")</f>
        <v>#VALUE!</v>
      </c>
      <c r="AY135" t="e">
        <f>AND('Planilla_General_07-12-2012_8_3'!N2021,"AAAAAH/XezI=")</f>
        <v>#VALUE!</v>
      </c>
      <c r="AZ135" t="e">
        <f>AND('Planilla_General_07-12-2012_8_3'!O2021,"AAAAAH/XezM=")</f>
        <v>#VALUE!</v>
      </c>
      <c r="BA135" t="e">
        <f>AND('Planilla_General_07-12-2012_8_3'!P2021,"AAAAAH/XezQ=")</f>
        <v>#VALUE!</v>
      </c>
      <c r="BB135">
        <f>IF('Planilla_General_07-12-2012_8_3'!2022:2022,"AAAAAH/XezU=",0)</f>
        <v>0</v>
      </c>
      <c r="BC135" t="e">
        <f>AND('Planilla_General_07-12-2012_8_3'!A2022,"AAAAAH/XezY=")</f>
        <v>#VALUE!</v>
      </c>
      <c r="BD135" t="e">
        <f>AND('Planilla_General_07-12-2012_8_3'!B2022,"AAAAAH/Xezc=")</f>
        <v>#VALUE!</v>
      </c>
      <c r="BE135" t="e">
        <f>AND('Planilla_General_07-12-2012_8_3'!C2022,"AAAAAH/Xezg=")</f>
        <v>#VALUE!</v>
      </c>
      <c r="BF135" t="e">
        <f>AND('Planilla_General_07-12-2012_8_3'!D2022,"AAAAAH/Xezk=")</f>
        <v>#VALUE!</v>
      </c>
      <c r="BG135" t="e">
        <f>AND('Planilla_General_07-12-2012_8_3'!E2022,"AAAAAH/Xezo=")</f>
        <v>#VALUE!</v>
      </c>
      <c r="BH135" t="e">
        <f>AND('Planilla_General_07-12-2012_8_3'!F2022,"AAAAAH/Xezs=")</f>
        <v>#VALUE!</v>
      </c>
      <c r="BI135" t="e">
        <f>AND('Planilla_General_07-12-2012_8_3'!G2022,"AAAAAH/Xezw=")</f>
        <v>#VALUE!</v>
      </c>
      <c r="BJ135" t="e">
        <f>AND('Planilla_General_07-12-2012_8_3'!H2022,"AAAAAH/Xez0=")</f>
        <v>#VALUE!</v>
      </c>
      <c r="BK135" t="e">
        <f>AND('Planilla_General_07-12-2012_8_3'!I2022,"AAAAAH/Xez4=")</f>
        <v>#VALUE!</v>
      </c>
      <c r="BL135" t="e">
        <f>AND('Planilla_General_07-12-2012_8_3'!J2022,"AAAAAH/Xez8=")</f>
        <v>#VALUE!</v>
      </c>
      <c r="BM135" t="e">
        <f>AND('Planilla_General_07-12-2012_8_3'!K2022,"AAAAAH/Xe0A=")</f>
        <v>#VALUE!</v>
      </c>
      <c r="BN135" t="e">
        <f>AND('Planilla_General_07-12-2012_8_3'!L2022,"AAAAAH/Xe0E=")</f>
        <v>#VALUE!</v>
      </c>
      <c r="BO135" t="e">
        <f>AND('Planilla_General_07-12-2012_8_3'!M2022,"AAAAAH/Xe0I=")</f>
        <v>#VALUE!</v>
      </c>
      <c r="BP135" t="e">
        <f>AND('Planilla_General_07-12-2012_8_3'!N2022,"AAAAAH/Xe0M=")</f>
        <v>#VALUE!</v>
      </c>
      <c r="BQ135" t="e">
        <f>AND('Planilla_General_07-12-2012_8_3'!O2022,"AAAAAH/Xe0Q=")</f>
        <v>#VALUE!</v>
      </c>
      <c r="BR135" t="e">
        <f>AND('Planilla_General_07-12-2012_8_3'!P2022,"AAAAAH/Xe0U=")</f>
        <v>#VALUE!</v>
      </c>
      <c r="BS135">
        <f>IF('Planilla_General_07-12-2012_8_3'!2023:2023,"AAAAAH/Xe0Y=",0)</f>
        <v>0</v>
      </c>
      <c r="BT135" t="e">
        <f>AND('Planilla_General_07-12-2012_8_3'!A2023,"AAAAAH/Xe0c=")</f>
        <v>#VALUE!</v>
      </c>
      <c r="BU135" t="e">
        <f>AND('Planilla_General_07-12-2012_8_3'!B2023,"AAAAAH/Xe0g=")</f>
        <v>#VALUE!</v>
      </c>
      <c r="BV135" t="e">
        <f>AND('Planilla_General_07-12-2012_8_3'!C2023,"AAAAAH/Xe0k=")</f>
        <v>#VALUE!</v>
      </c>
      <c r="BW135" t="e">
        <f>AND('Planilla_General_07-12-2012_8_3'!D2023,"AAAAAH/Xe0o=")</f>
        <v>#VALUE!</v>
      </c>
      <c r="BX135" t="e">
        <f>AND('Planilla_General_07-12-2012_8_3'!E2023,"AAAAAH/Xe0s=")</f>
        <v>#VALUE!</v>
      </c>
      <c r="BY135" t="e">
        <f>AND('Planilla_General_07-12-2012_8_3'!F2023,"AAAAAH/Xe0w=")</f>
        <v>#VALUE!</v>
      </c>
      <c r="BZ135" t="e">
        <f>AND('Planilla_General_07-12-2012_8_3'!G2023,"AAAAAH/Xe00=")</f>
        <v>#VALUE!</v>
      </c>
      <c r="CA135" t="e">
        <f>AND('Planilla_General_07-12-2012_8_3'!H2023,"AAAAAH/Xe04=")</f>
        <v>#VALUE!</v>
      </c>
      <c r="CB135" t="e">
        <f>AND('Planilla_General_07-12-2012_8_3'!I2023,"AAAAAH/Xe08=")</f>
        <v>#VALUE!</v>
      </c>
      <c r="CC135" t="e">
        <f>AND('Planilla_General_07-12-2012_8_3'!J2023,"AAAAAH/Xe1A=")</f>
        <v>#VALUE!</v>
      </c>
      <c r="CD135" t="e">
        <f>AND('Planilla_General_07-12-2012_8_3'!K2023,"AAAAAH/Xe1E=")</f>
        <v>#VALUE!</v>
      </c>
      <c r="CE135" t="e">
        <f>AND('Planilla_General_07-12-2012_8_3'!L2023,"AAAAAH/Xe1I=")</f>
        <v>#VALUE!</v>
      </c>
      <c r="CF135" t="e">
        <f>AND('Planilla_General_07-12-2012_8_3'!M2023,"AAAAAH/Xe1M=")</f>
        <v>#VALUE!</v>
      </c>
      <c r="CG135" t="e">
        <f>AND('Planilla_General_07-12-2012_8_3'!N2023,"AAAAAH/Xe1Q=")</f>
        <v>#VALUE!</v>
      </c>
      <c r="CH135" t="e">
        <f>AND('Planilla_General_07-12-2012_8_3'!O2023,"AAAAAH/Xe1U=")</f>
        <v>#VALUE!</v>
      </c>
      <c r="CI135" t="e">
        <f>AND('Planilla_General_07-12-2012_8_3'!P2023,"AAAAAH/Xe1Y=")</f>
        <v>#VALUE!</v>
      </c>
      <c r="CJ135">
        <f>IF('Planilla_General_07-12-2012_8_3'!2024:2024,"AAAAAH/Xe1c=",0)</f>
        <v>0</v>
      </c>
      <c r="CK135" t="e">
        <f>AND('Planilla_General_07-12-2012_8_3'!A2024,"AAAAAH/Xe1g=")</f>
        <v>#VALUE!</v>
      </c>
      <c r="CL135" t="e">
        <f>AND('Planilla_General_07-12-2012_8_3'!B2024,"AAAAAH/Xe1k=")</f>
        <v>#VALUE!</v>
      </c>
      <c r="CM135" t="e">
        <f>AND('Planilla_General_07-12-2012_8_3'!C2024,"AAAAAH/Xe1o=")</f>
        <v>#VALUE!</v>
      </c>
      <c r="CN135" t="e">
        <f>AND('Planilla_General_07-12-2012_8_3'!D2024,"AAAAAH/Xe1s=")</f>
        <v>#VALUE!</v>
      </c>
      <c r="CO135" t="e">
        <f>AND('Planilla_General_07-12-2012_8_3'!E2024,"AAAAAH/Xe1w=")</f>
        <v>#VALUE!</v>
      </c>
      <c r="CP135" t="e">
        <f>AND('Planilla_General_07-12-2012_8_3'!F2024,"AAAAAH/Xe10=")</f>
        <v>#VALUE!</v>
      </c>
      <c r="CQ135" t="e">
        <f>AND('Planilla_General_07-12-2012_8_3'!G2024,"AAAAAH/Xe14=")</f>
        <v>#VALUE!</v>
      </c>
      <c r="CR135" t="e">
        <f>AND('Planilla_General_07-12-2012_8_3'!H2024,"AAAAAH/Xe18=")</f>
        <v>#VALUE!</v>
      </c>
      <c r="CS135" t="e">
        <f>AND('Planilla_General_07-12-2012_8_3'!I2024,"AAAAAH/Xe2A=")</f>
        <v>#VALUE!</v>
      </c>
      <c r="CT135" t="e">
        <f>AND('Planilla_General_07-12-2012_8_3'!J2024,"AAAAAH/Xe2E=")</f>
        <v>#VALUE!</v>
      </c>
      <c r="CU135" t="e">
        <f>AND('Planilla_General_07-12-2012_8_3'!K2024,"AAAAAH/Xe2I=")</f>
        <v>#VALUE!</v>
      </c>
      <c r="CV135" t="e">
        <f>AND('Planilla_General_07-12-2012_8_3'!L2024,"AAAAAH/Xe2M=")</f>
        <v>#VALUE!</v>
      </c>
      <c r="CW135" t="e">
        <f>AND('Planilla_General_07-12-2012_8_3'!M2024,"AAAAAH/Xe2Q=")</f>
        <v>#VALUE!</v>
      </c>
      <c r="CX135" t="e">
        <f>AND('Planilla_General_07-12-2012_8_3'!N2024,"AAAAAH/Xe2U=")</f>
        <v>#VALUE!</v>
      </c>
      <c r="CY135" t="e">
        <f>AND('Planilla_General_07-12-2012_8_3'!O2024,"AAAAAH/Xe2Y=")</f>
        <v>#VALUE!</v>
      </c>
      <c r="CZ135" t="e">
        <f>AND('Planilla_General_07-12-2012_8_3'!P2024,"AAAAAH/Xe2c=")</f>
        <v>#VALUE!</v>
      </c>
      <c r="DA135">
        <f>IF('Planilla_General_07-12-2012_8_3'!2025:2025,"AAAAAH/Xe2g=",0)</f>
        <v>0</v>
      </c>
      <c r="DB135" t="e">
        <f>AND('Planilla_General_07-12-2012_8_3'!A2025,"AAAAAH/Xe2k=")</f>
        <v>#VALUE!</v>
      </c>
      <c r="DC135" t="e">
        <f>AND('Planilla_General_07-12-2012_8_3'!B2025,"AAAAAH/Xe2o=")</f>
        <v>#VALUE!</v>
      </c>
      <c r="DD135" t="e">
        <f>AND('Planilla_General_07-12-2012_8_3'!C2025,"AAAAAH/Xe2s=")</f>
        <v>#VALUE!</v>
      </c>
      <c r="DE135" t="e">
        <f>AND('Planilla_General_07-12-2012_8_3'!D2025,"AAAAAH/Xe2w=")</f>
        <v>#VALUE!</v>
      </c>
      <c r="DF135" t="e">
        <f>AND('Planilla_General_07-12-2012_8_3'!E2025,"AAAAAH/Xe20=")</f>
        <v>#VALUE!</v>
      </c>
      <c r="DG135" t="e">
        <f>AND('Planilla_General_07-12-2012_8_3'!F2025,"AAAAAH/Xe24=")</f>
        <v>#VALUE!</v>
      </c>
      <c r="DH135" t="e">
        <f>AND('Planilla_General_07-12-2012_8_3'!G2025,"AAAAAH/Xe28=")</f>
        <v>#VALUE!</v>
      </c>
      <c r="DI135" t="e">
        <f>AND('Planilla_General_07-12-2012_8_3'!H2025,"AAAAAH/Xe3A=")</f>
        <v>#VALUE!</v>
      </c>
      <c r="DJ135" t="e">
        <f>AND('Planilla_General_07-12-2012_8_3'!I2025,"AAAAAH/Xe3E=")</f>
        <v>#VALUE!</v>
      </c>
      <c r="DK135" t="e">
        <f>AND('Planilla_General_07-12-2012_8_3'!J2025,"AAAAAH/Xe3I=")</f>
        <v>#VALUE!</v>
      </c>
      <c r="DL135" t="e">
        <f>AND('Planilla_General_07-12-2012_8_3'!K2025,"AAAAAH/Xe3M=")</f>
        <v>#VALUE!</v>
      </c>
      <c r="DM135" t="e">
        <f>AND('Planilla_General_07-12-2012_8_3'!L2025,"AAAAAH/Xe3Q=")</f>
        <v>#VALUE!</v>
      </c>
      <c r="DN135" t="e">
        <f>AND('Planilla_General_07-12-2012_8_3'!M2025,"AAAAAH/Xe3U=")</f>
        <v>#VALUE!</v>
      </c>
      <c r="DO135" t="e">
        <f>AND('Planilla_General_07-12-2012_8_3'!N2025,"AAAAAH/Xe3Y=")</f>
        <v>#VALUE!</v>
      </c>
      <c r="DP135" t="e">
        <f>AND('Planilla_General_07-12-2012_8_3'!O2025,"AAAAAH/Xe3c=")</f>
        <v>#VALUE!</v>
      </c>
      <c r="DQ135" t="e">
        <f>AND('Planilla_General_07-12-2012_8_3'!P2025,"AAAAAH/Xe3g=")</f>
        <v>#VALUE!</v>
      </c>
      <c r="DR135">
        <f>IF('Planilla_General_07-12-2012_8_3'!2026:2026,"AAAAAH/Xe3k=",0)</f>
        <v>0</v>
      </c>
      <c r="DS135" t="e">
        <f>AND('Planilla_General_07-12-2012_8_3'!A2026,"AAAAAH/Xe3o=")</f>
        <v>#VALUE!</v>
      </c>
      <c r="DT135" t="e">
        <f>AND('Planilla_General_07-12-2012_8_3'!B2026,"AAAAAH/Xe3s=")</f>
        <v>#VALUE!</v>
      </c>
      <c r="DU135" t="e">
        <f>AND('Planilla_General_07-12-2012_8_3'!C2026,"AAAAAH/Xe3w=")</f>
        <v>#VALUE!</v>
      </c>
      <c r="DV135" t="e">
        <f>AND('Planilla_General_07-12-2012_8_3'!D2026,"AAAAAH/Xe30=")</f>
        <v>#VALUE!</v>
      </c>
      <c r="DW135" t="e">
        <f>AND('Planilla_General_07-12-2012_8_3'!E2026,"AAAAAH/Xe34=")</f>
        <v>#VALUE!</v>
      </c>
      <c r="DX135" t="e">
        <f>AND('Planilla_General_07-12-2012_8_3'!F2026,"AAAAAH/Xe38=")</f>
        <v>#VALUE!</v>
      </c>
      <c r="DY135" t="e">
        <f>AND('Planilla_General_07-12-2012_8_3'!G2026,"AAAAAH/Xe4A=")</f>
        <v>#VALUE!</v>
      </c>
      <c r="DZ135" t="e">
        <f>AND('Planilla_General_07-12-2012_8_3'!H2026,"AAAAAH/Xe4E=")</f>
        <v>#VALUE!</v>
      </c>
      <c r="EA135" t="e">
        <f>AND('Planilla_General_07-12-2012_8_3'!I2026,"AAAAAH/Xe4I=")</f>
        <v>#VALUE!</v>
      </c>
      <c r="EB135" t="e">
        <f>AND('Planilla_General_07-12-2012_8_3'!J2026,"AAAAAH/Xe4M=")</f>
        <v>#VALUE!</v>
      </c>
      <c r="EC135" t="e">
        <f>AND('Planilla_General_07-12-2012_8_3'!K2026,"AAAAAH/Xe4Q=")</f>
        <v>#VALUE!</v>
      </c>
      <c r="ED135" t="e">
        <f>AND('Planilla_General_07-12-2012_8_3'!L2026,"AAAAAH/Xe4U=")</f>
        <v>#VALUE!</v>
      </c>
      <c r="EE135" t="e">
        <f>AND('Planilla_General_07-12-2012_8_3'!M2026,"AAAAAH/Xe4Y=")</f>
        <v>#VALUE!</v>
      </c>
      <c r="EF135" t="e">
        <f>AND('Planilla_General_07-12-2012_8_3'!N2026,"AAAAAH/Xe4c=")</f>
        <v>#VALUE!</v>
      </c>
      <c r="EG135" t="e">
        <f>AND('Planilla_General_07-12-2012_8_3'!O2026,"AAAAAH/Xe4g=")</f>
        <v>#VALUE!</v>
      </c>
      <c r="EH135" t="e">
        <f>AND('Planilla_General_07-12-2012_8_3'!P2026,"AAAAAH/Xe4k=")</f>
        <v>#VALUE!</v>
      </c>
      <c r="EI135">
        <f>IF('Planilla_General_07-12-2012_8_3'!2027:2027,"AAAAAH/Xe4o=",0)</f>
        <v>0</v>
      </c>
      <c r="EJ135" t="e">
        <f>AND('Planilla_General_07-12-2012_8_3'!A2027,"AAAAAH/Xe4s=")</f>
        <v>#VALUE!</v>
      </c>
      <c r="EK135" t="e">
        <f>AND('Planilla_General_07-12-2012_8_3'!B2027,"AAAAAH/Xe4w=")</f>
        <v>#VALUE!</v>
      </c>
      <c r="EL135" t="e">
        <f>AND('Planilla_General_07-12-2012_8_3'!C2027,"AAAAAH/Xe40=")</f>
        <v>#VALUE!</v>
      </c>
      <c r="EM135" t="e">
        <f>AND('Planilla_General_07-12-2012_8_3'!D2027,"AAAAAH/Xe44=")</f>
        <v>#VALUE!</v>
      </c>
      <c r="EN135" t="e">
        <f>AND('Planilla_General_07-12-2012_8_3'!E2027,"AAAAAH/Xe48=")</f>
        <v>#VALUE!</v>
      </c>
      <c r="EO135" t="e">
        <f>AND('Planilla_General_07-12-2012_8_3'!F2027,"AAAAAH/Xe5A=")</f>
        <v>#VALUE!</v>
      </c>
      <c r="EP135" t="e">
        <f>AND('Planilla_General_07-12-2012_8_3'!G2027,"AAAAAH/Xe5E=")</f>
        <v>#VALUE!</v>
      </c>
      <c r="EQ135" t="e">
        <f>AND('Planilla_General_07-12-2012_8_3'!H2027,"AAAAAH/Xe5I=")</f>
        <v>#VALUE!</v>
      </c>
      <c r="ER135" t="e">
        <f>AND('Planilla_General_07-12-2012_8_3'!I2027,"AAAAAH/Xe5M=")</f>
        <v>#VALUE!</v>
      </c>
      <c r="ES135" t="e">
        <f>AND('Planilla_General_07-12-2012_8_3'!J2027,"AAAAAH/Xe5Q=")</f>
        <v>#VALUE!</v>
      </c>
      <c r="ET135" t="e">
        <f>AND('Planilla_General_07-12-2012_8_3'!K2027,"AAAAAH/Xe5U=")</f>
        <v>#VALUE!</v>
      </c>
      <c r="EU135" t="e">
        <f>AND('Planilla_General_07-12-2012_8_3'!L2027,"AAAAAH/Xe5Y=")</f>
        <v>#VALUE!</v>
      </c>
      <c r="EV135" t="e">
        <f>AND('Planilla_General_07-12-2012_8_3'!M2027,"AAAAAH/Xe5c=")</f>
        <v>#VALUE!</v>
      </c>
      <c r="EW135" t="e">
        <f>AND('Planilla_General_07-12-2012_8_3'!N2027,"AAAAAH/Xe5g=")</f>
        <v>#VALUE!</v>
      </c>
      <c r="EX135" t="e">
        <f>AND('Planilla_General_07-12-2012_8_3'!O2027,"AAAAAH/Xe5k=")</f>
        <v>#VALUE!</v>
      </c>
      <c r="EY135" t="e">
        <f>AND('Planilla_General_07-12-2012_8_3'!P2027,"AAAAAH/Xe5o=")</f>
        <v>#VALUE!</v>
      </c>
      <c r="EZ135">
        <f>IF('Planilla_General_07-12-2012_8_3'!2028:2028,"AAAAAH/Xe5s=",0)</f>
        <v>0</v>
      </c>
      <c r="FA135" t="e">
        <f>AND('Planilla_General_07-12-2012_8_3'!A2028,"AAAAAH/Xe5w=")</f>
        <v>#VALUE!</v>
      </c>
      <c r="FB135" t="e">
        <f>AND('Planilla_General_07-12-2012_8_3'!B2028,"AAAAAH/Xe50=")</f>
        <v>#VALUE!</v>
      </c>
      <c r="FC135" t="e">
        <f>AND('Planilla_General_07-12-2012_8_3'!C2028,"AAAAAH/Xe54=")</f>
        <v>#VALUE!</v>
      </c>
      <c r="FD135" t="e">
        <f>AND('Planilla_General_07-12-2012_8_3'!D2028,"AAAAAH/Xe58=")</f>
        <v>#VALUE!</v>
      </c>
      <c r="FE135" t="e">
        <f>AND('Planilla_General_07-12-2012_8_3'!E2028,"AAAAAH/Xe6A=")</f>
        <v>#VALUE!</v>
      </c>
      <c r="FF135" t="e">
        <f>AND('Planilla_General_07-12-2012_8_3'!F2028,"AAAAAH/Xe6E=")</f>
        <v>#VALUE!</v>
      </c>
      <c r="FG135" t="e">
        <f>AND('Planilla_General_07-12-2012_8_3'!G2028,"AAAAAH/Xe6I=")</f>
        <v>#VALUE!</v>
      </c>
      <c r="FH135" t="e">
        <f>AND('Planilla_General_07-12-2012_8_3'!H2028,"AAAAAH/Xe6M=")</f>
        <v>#VALUE!</v>
      </c>
      <c r="FI135" t="e">
        <f>AND('Planilla_General_07-12-2012_8_3'!I2028,"AAAAAH/Xe6Q=")</f>
        <v>#VALUE!</v>
      </c>
      <c r="FJ135" t="e">
        <f>AND('Planilla_General_07-12-2012_8_3'!J2028,"AAAAAH/Xe6U=")</f>
        <v>#VALUE!</v>
      </c>
      <c r="FK135" t="e">
        <f>AND('Planilla_General_07-12-2012_8_3'!K2028,"AAAAAH/Xe6Y=")</f>
        <v>#VALUE!</v>
      </c>
      <c r="FL135" t="e">
        <f>AND('Planilla_General_07-12-2012_8_3'!L2028,"AAAAAH/Xe6c=")</f>
        <v>#VALUE!</v>
      </c>
      <c r="FM135" t="e">
        <f>AND('Planilla_General_07-12-2012_8_3'!M2028,"AAAAAH/Xe6g=")</f>
        <v>#VALUE!</v>
      </c>
      <c r="FN135" t="e">
        <f>AND('Planilla_General_07-12-2012_8_3'!N2028,"AAAAAH/Xe6k=")</f>
        <v>#VALUE!</v>
      </c>
      <c r="FO135" t="e">
        <f>AND('Planilla_General_07-12-2012_8_3'!O2028,"AAAAAH/Xe6o=")</f>
        <v>#VALUE!</v>
      </c>
      <c r="FP135" t="e">
        <f>AND('Planilla_General_07-12-2012_8_3'!P2028,"AAAAAH/Xe6s=")</f>
        <v>#VALUE!</v>
      </c>
      <c r="FQ135">
        <f>IF('Planilla_General_07-12-2012_8_3'!2029:2029,"AAAAAH/Xe6w=",0)</f>
        <v>0</v>
      </c>
      <c r="FR135" t="e">
        <f>AND('Planilla_General_07-12-2012_8_3'!A2029,"AAAAAH/Xe60=")</f>
        <v>#VALUE!</v>
      </c>
      <c r="FS135" t="e">
        <f>AND('Planilla_General_07-12-2012_8_3'!B2029,"AAAAAH/Xe64=")</f>
        <v>#VALUE!</v>
      </c>
      <c r="FT135" t="e">
        <f>AND('Planilla_General_07-12-2012_8_3'!C2029,"AAAAAH/Xe68=")</f>
        <v>#VALUE!</v>
      </c>
      <c r="FU135" t="e">
        <f>AND('Planilla_General_07-12-2012_8_3'!D2029,"AAAAAH/Xe7A=")</f>
        <v>#VALUE!</v>
      </c>
      <c r="FV135" t="e">
        <f>AND('Planilla_General_07-12-2012_8_3'!E2029,"AAAAAH/Xe7E=")</f>
        <v>#VALUE!</v>
      </c>
      <c r="FW135" t="e">
        <f>AND('Planilla_General_07-12-2012_8_3'!F2029,"AAAAAH/Xe7I=")</f>
        <v>#VALUE!</v>
      </c>
      <c r="FX135" t="e">
        <f>AND('Planilla_General_07-12-2012_8_3'!G2029,"AAAAAH/Xe7M=")</f>
        <v>#VALUE!</v>
      </c>
      <c r="FY135" t="e">
        <f>AND('Planilla_General_07-12-2012_8_3'!H2029,"AAAAAH/Xe7Q=")</f>
        <v>#VALUE!</v>
      </c>
      <c r="FZ135" t="e">
        <f>AND('Planilla_General_07-12-2012_8_3'!I2029,"AAAAAH/Xe7U=")</f>
        <v>#VALUE!</v>
      </c>
      <c r="GA135" t="e">
        <f>AND('Planilla_General_07-12-2012_8_3'!J2029,"AAAAAH/Xe7Y=")</f>
        <v>#VALUE!</v>
      </c>
      <c r="GB135" t="e">
        <f>AND('Planilla_General_07-12-2012_8_3'!K2029,"AAAAAH/Xe7c=")</f>
        <v>#VALUE!</v>
      </c>
      <c r="GC135" t="e">
        <f>AND('Planilla_General_07-12-2012_8_3'!L2029,"AAAAAH/Xe7g=")</f>
        <v>#VALUE!</v>
      </c>
      <c r="GD135" t="e">
        <f>AND('Planilla_General_07-12-2012_8_3'!M2029,"AAAAAH/Xe7k=")</f>
        <v>#VALUE!</v>
      </c>
      <c r="GE135" t="e">
        <f>AND('Planilla_General_07-12-2012_8_3'!N2029,"AAAAAH/Xe7o=")</f>
        <v>#VALUE!</v>
      </c>
      <c r="GF135" t="e">
        <f>AND('Planilla_General_07-12-2012_8_3'!O2029,"AAAAAH/Xe7s=")</f>
        <v>#VALUE!</v>
      </c>
      <c r="GG135" t="e">
        <f>AND('Planilla_General_07-12-2012_8_3'!P2029,"AAAAAH/Xe7w=")</f>
        <v>#VALUE!</v>
      </c>
      <c r="GH135">
        <f>IF('Planilla_General_07-12-2012_8_3'!2030:2030,"AAAAAH/Xe70=",0)</f>
        <v>0</v>
      </c>
      <c r="GI135" t="e">
        <f>AND('Planilla_General_07-12-2012_8_3'!A2030,"AAAAAH/Xe74=")</f>
        <v>#VALUE!</v>
      </c>
      <c r="GJ135" t="e">
        <f>AND('Planilla_General_07-12-2012_8_3'!B2030,"AAAAAH/Xe78=")</f>
        <v>#VALUE!</v>
      </c>
      <c r="GK135" t="e">
        <f>AND('Planilla_General_07-12-2012_8_3'!C2030,"AAAAAH/Xe8A=")</f>
        <v>#VALUE!</v>
      </c>
      <c r="GL135" t="e">
        <f>AND('Planilla_General_07-12-2012_8_3'!D2030,"AAAAAH/Xe8E=")</f>
        <v>#VALUE!</v>
      </c>
      <c r="GM135" t="e">
        <f>AND('Planilla_General_07-12-2012_8_3'!E2030,"AAAAAH/Xe8I=")</f>
        <v>#VALUE!</v>
      </c>
      <c r="GN135" t="e">
        <f>AND('Planilla_General_07-12-2012_8_3'!F2030,"AAAAAH/Xe8M=")</f>
        <v>#VALUE!</v>
      </c>
      <c r="GO135" t="e">
        <f>AND('Planilla_General_07-12-2012_8_3'!G2030,"AAAAAH/Xe8Q=")</f>
        <v>#VALUE!</v>
      </c>
      <c r="GP135" t="e">
        <f>AND('Planilla_General_07-12-2012_8_3'!H2030,"AAAAAH/Xe8U=")</f>
        <v>#VALUE!</v>
      </c>
      <c r="GQ135" t="e">
        <f>AND('Planilla_General_07-12-2012_8_3'!I2030,"AAAAAH/Xe8Y=")</f>
        <v>#VALUE!</v>
      </c>
      <c r="GR135" t="e">
        <f>AND('Planilla_General_07-12-2012_8_3'!J2030,"AAAAAH/Xe8c=")</f>
        <v>#VALUE!</v>
      </c>
      <c r="GS135" t="e">
        <f>AND('Planilla_General_07-12-2012_8_3'!K2030,"AAAAAH/Xe8g=")</f>
        <v>#VALUE!</v>
      </c>
      <c r="GT135" t="e">
        <f>AND('Planilla_General_07-12-2012_8_3'!L2030,"AAAAAH/Xe8k=")</f>
        <v>#VALUE!</v>
      </c>
      <c r="GU135" t="e">
        <f>AND('Planilla_General_07-12-2012_8_3'!M2030,"AAAAAH/Xe8o=")</f>
        <v>#VALUE!</v>
      </c>
      <c r="GV135" t="e">
        <f>AND('Planilla_General_07-12-2012_8_3'!N2030,"AAAAAH/Xe8s=")</f>
        <v>#VALUE!</v>
      </c>
      <c r="GW135" t="e">
        <f>AND('Planilla_General_07-12-2012_8_3'!O2030,"AAAAAH/Xe8w=")</f>
        <v>#VALUE!</v>
      </c>
      <c r="GX135" t="e">
        <f>AND('Planilla_General_07-12-2012_8_3'!P2030,"AAAAAH/Xe80=")</f>
        <v>#VALUE!</v>
      </c>
      <c r="GY135">
        <f>IF('Planilla_General_07-12-2012_8_3'!2031:2031,"AAAAAH/Xe84=",0)</f>
        <v>0</v>
      </c>
      <c r="GZ135" t="e">
        <f>AND('Planilla_General_07-12-2012_8_3'!A2031,"AAAAAH/Xe88=")</f>
        <v>#VALUE!</v>
      </c>
      <c r="HA135" t="e">
        <f>AND('Planilla_General_07-12-2012_8_3'!B2031,"AAAAAH/Xe9A=")</f>
        <v>#VALUE!</v>
      </c>
      <c r="HB135" t="e">
        <f>AND('Planilla_General_07-12-2012_8_3'!C2031,"AAAAAH/Xe9E=")</f>
        <v>#VALUE!</v>
      </c>
      <c r="HC135" t="e">
        <f>AND('Planilla_General_07-12-2012_8_3'!D2031,"AAAAAH/Xe9I=")</f>
        <v>#VALUE!</v>
      </c>
      <c r="HD135" t="e">
        <f>AND('Planilla_General_07-12-2012_8_3'!E2031,"AAAAAH/Xe9M=")</f>
        <v>#VALUE!</v>
      </c>
      <c r="HE135" t="e">
        <f>AND('Planilla_General_07-12-2012_8_3'!F2031,"AAAAAH/Xe9Q=")</f>
        <v>#VALUE!</v>
      </c>
      <c r="HF135" t="e">
        <f>AND('Planilla_General_07-12-2012_8_3'!G2031,"AAAAAH/Xe9U=")</f>
        <v>#VALUE!</v>
      </c>
      <c r="HG135" t="e">
        <f>AND('Planilla_General_07-12-2012_8_3'!H2031,"AAAAAH/Xe9Y=")</f>
        <v>#VALUE!</v>
      </c>
      <c r="HH135" t="e">
        <f>AND('Planilla_General_07-12-2012_8_3'!I2031,"AAAAAH/Xe9c=")</f>
        <v>#VALUE!</v>
      </c>
      <c r="HI135" t="e">
        <f>AND('Planilla_General_07-12-2012_8_3'!J2031,"AAAAAH/Xe9g=")</f>
        <v>#VALUE!</v>
      </c>
      <c r="HJ135" t="e">
        <f>AND('Planilla_General_07-12-2012_8_3'!K2031,"AAAAAH/Xe9k=")</f>
        <v>#VALUE!</v>
      </c>
      <c r="HK135" t="e">
        <f>AND('Planilla_General_07-12-2012_8_3'!L2031,"AAAAAH/Xe9o=")</f>
        <v>#VALUE!</v>
      </c>
      <c r="HL135" t="e">
        <f>AND('Planilla_General_07-12-2012_8_3'!M2031,"AAAAAH/Xe9s=")</f>
        <v>#VALUE!</v>
      </c>
      <c r="HM135" t="e">
        <f>AND('Planilla_General_07-12-2012_8_3'!N2031,"AAAAAH/Xe9w=")</f>
        <v>#VALUE!</v>
      </c>
      <c r="HN135" t="e">
        <f>AND('Planilla_General_07-12-2012_8_3'!O2031,"AAAAAH/Xe90=")</f>
        <v>#VALUE!</v>
      </c>
      <c r="HO135" t="e">
        <f>AND('Planilla_General_07-12-2012_8_3'!P2031,"AAAAAH/Xe94=")</f>
        <v>#VALUE!</v>
      </c>
      <c r="HP135">
        <f>IF('Planilla_General_07-12-2012_8_3'!2032:2032,"AAAAAH/Xe98=",0)</f>
        <v>0</v>
      </c>
      <c r="HQ135" t="e">
        <f>AND('Planilla_General_07-12-2012_8_3'!A2032,"AAAAAH/Xe+A=")</f>
        <v>#VALUE!</v>
      </c>
      <c r="HR135" t="e">
        <f>AND('Planilla_General_07-12-2012_8_3'!B2032,"AAAAAH/Xe+E=")</f>
        <v>#VALUE!</v>
      </c>
      <c r="HS135" t="e">
        <f>AND('Planilla_General_07-12-2012_8_3'!C2032,"AAAAAH/Xe+I=")</f>
        <v>#VALUE!</v>
      </c>
      <c r="HT135" t="e">
        <f>AND('Planilla_General_07-12-2012_8_3'!D2032,"AAAAAH/Xe+M=")</f>
        <v>#VALUE!</v>
      </c>
      <c r="HU135" t="e">
        <f>AND('Planilla_General_07-12-2012_8_3'!E2032,"AAAAAH/Xe+Q=")</f>
        <v>#VALUE!</v>
      </c>
      <c r="HV135" t="e">
        <f>AND('Planilla_General_07-12-2012_8_3'!F2032,"AAAAAH/Xe+U=")</f>
        <v>#VALUE!</v>
      </c>
      <c r="HW135" t="e">
        <f>AND('Planilla_General_07-12-2012_8_3'!G2032,"AAAAAH/Xe+Y=")</f>
        <v>#VALUE!</v>
      </c>
      <c r="HX135" t="e">
        <f>AND('Planilla_General_07-12-2012_8_3'!H2032,"AAAAAH/Xe+c=")</f>
        <v>#VALUE!</v>
      </c>
      <c r="HY135" t="e">
        <f>AND('Planilla_General_07-12-2012_8_3'!I2032,"AAAAAH/Xe+g=")</f>
        <v>#VALUE!</v>
      </c>
      <c r="HZ135" t="e">
        <f>AND('Planilla_General_07-12-2012_8_3'!J2032,"AAAAAH/Xe+k=")</f>
        <v>#VALUE!</v>
      </c>
      <c r="IA135" t="e">
        <f>AND('Planilla_General_07-12-2012_8_3'!K2032,"AAAAAH/Xe+o=")</f>
        <v>#VALUE!</v>
      </c>
      <c r="IB135" t="e">
        <f>AND('Planilla_General_07-12-2012_8_3'!L2032,"AAAAAH/Xe+s=")</f>
        <v>#VALUE!</v>
      </c>
      <c r="IC135" t="e">
        <f>AND('Planilla_General_07-12-2012_8_3'!M2032,"AAAAAH/Xe+w=")</f>
        <v>#VALUE!</v>
      </c>
      <c r="ID135" t="e">
        <f>AND('Planilla_General_07-12-2012_8_3'!N2032,"AAAAAH/Xe+0=")</f>
        <v>#VALUE!</v>
      </c>
      <c r="IE135" t="e">
        <f>AND('Planilla_General_07-12-2012_8_3'!O2032,"AAAAAH/Xe+4=")</f>
        <v>#VALUE!</v>
      </c>
      <c r="IF135" t="e">
        <f>AND('Planilla_General_07-12-2012_8_3'!P2032,"AAAAAH/Xe+8=")</f>
        <v>#VALUE!</v>
      </c>
      <c r="IG135">
        <f>IF('Planilla_General_07-12-2012_8_3'!2033:2033,"AAAAAH/Xe/A=",0)</f>
        <v>0</v>
      </c>
      <c r="IH135" t="e">
        <f>AND('Planilla_General_07-12-2012_8_3'!A2033,"AAAAAH/Xe/E=")</f>
        <v>#VALUE!</v>
      </c>
      <c r="II135" t="e">
        <f>AND('Planilla_General_07-12-2012_8_3'!B2033,"AAAAAH/Xe/I=")</f>
        <v>#VALUE!</v>
      </c>
      <c r="IJ135" t="e">
        <f>AND('Planilla_General_07-12-2012_8_3'!C2033,"AAAAAH/Xe/M=")</f>
        <v>#VALUE!</v>
      </c>
      <c r="IK135" t="e">
        <f>AND('Planilla_General_07-12-2012_8_3'!D2033,"AAAAAH/Xe/Q=")</f>
        <v>#VALUE!</v>
      </c>
      <c r="IL135" t="e">
        <f>AND('Planilla_General_07-12-2012_8_3'!E2033,"AAAAAH/Xe/U=")</f>
        <v>#VALUE!</v>
      </c>
      <c r="IM135" t="e">
        <f>AND('Planilla_General_07-12-2012_8_3'!F2033,"AAAAAH/Xe/Y=")</f>
        <v>#VALUE!</v>
      </c>
      <c r="IN135" t="e">
        <f>AND('Planilla_General_07-12-2012_8_3'!G2033,"AAAAAH/Xe/c=")</f>
        <v>#VALUE!</v>
      </c>
      <c r="IO135" t="e">
        <f>AND('Planilla_General_07-12-2012_8_3'!H2033,"AAAAAH/Xe/g=")</f>
        <v>#VALUE!</v>
      </c>
      <c r="IP135" t="e">
        <f>AND('Planilla_General_07-12-2012_8_3'!I2033,"AAAAAH/Xe/k=")</f>
        <v>#VALUE!</v>
      </c>
      <c r="IQ135" t="e">
        <f>AND('Planilla_General_07-12-2012_8_3'!J2033,"AAAAAH/Xe/o=")</f>
        <v>#VALUE!</v>
      </c>
      <c r="IR135" t="e">
        <f>AND('Planilla_General_07-12-2012_8_3'!K2033,"AAAAAH/Xe/s=")</f>
        <v>#VALUE!</v>
      </c>
      <c r="IS135" t="e">
        <f>AND('Planilla_General_07-12-2012_8_3'!L2033,"AAAAAH/Xe/w=")</f>
        <v>#VALUE!</v>
      </c>
      <c r="IT135" t="e">
        <f>AND('Planilla_General_07-12-2012_8_3'!M2033,"AAAAAH/Xe/0=")</f>
        <v>#VALUE!</v>
      </c>
      <c r="IU135" t="e">
        <f>AND('Planilla_General_07-12-2012_8_3'!N2033,"AAAAAH/Xe/4=")</f>
        <v>#VALUE!</v>
      </c>
      <c r="IV135" t="e">
        <f>AND('Planilla_General_07-12-2012_8_3'!O2033,"AAAAAH/Xe/8=")</f>
        <v>#VALUE!</v>
      </c>
    </row>
    <row r="136" spans="1:256" x14ac:dyDescent="0.25">
      <c r="A136" t="e">
        <f>AND('Planilla_General_07-12-2012_8_3'!P2033,"AAAAAF78bwA=")</f>
        <v>#VALUE!</v>
      </c>
      <c r="B136" t="e">
        <f>IF('Planilla_General_07-12-2012_8_3'!2034:2034,"AAAAAF78bwE=",0)</f>
        <v>#VALUE!</v>
      </c>
      <c r="C136" t="e">
        <f>AND('Planilla_General_07-12-2012_8_3'!A2034,"AAAAAF78bwI=")</f>
        <v>#VALUE!</v>
      </c>
      <c r="D136" t="e">
        <f>AND('Planilla_General_07-12-2012_8_3'!B2034,"AAAAAF78bwM=")</f>
        <v>#VALUE!</v>
      </c>
      <c r="E136" t="e">
        <f>AND('Planilla_General_07-12-2012_8_3'!C2034,"AAAAAF78bwQ=")</f>
        <v>#VALUE!</v>
      </c>
      <c r="F136" t="e">
        <f>AND('Planilla_General_07-12-2012_8_3'!D2034,"AAAAAF78bwU=")</f>
        <v>#VALUE!</v>
      </c>
      <c r="G136" t="e">
        <f>AND('Planilla_General_07-12-2012_8_3'!E2034,"AAAAAF78bwY=")</f>
        <v>#VALUE!</v>
      </c>
      <c r="H136" t="e">
        <f>AND('Planilla_General_07-12-2012_8_3'!F2034,"AAAAAF78bwc=")</f>
        <v>#VALUE!</v>
      </c>
      <c r="I136" t="e">
        <f>AND('Planilla_General_07-12-2012_8_3'!G2034,"AAAAAF78bwg=")</f>
        <v>#VALUE!</v>
      </c>
      <c r="J136" t="e">
        <f>AND('Planilla_General_07-12-2012_8_3'!H2034,"AAAAAF78bwk=")</f>
        <v>#VALUE!</v>
      </c>
      <c r="K136" t="e">
        <f>AND('Planilla_General_07-12-2012_8_3'!I2034,"AAAAAF78bwo=")</f>
        <v>#VALUE!</v>
      </c>
      <c r="L136" t="e">
        <f>AND('Planilla_General_07-12-2012_8_3'!J2034,"AAAAAF78bws=")</f>
        <v>#VALUE!</v>
      </c>
      <c r="M136" t="e">
        <f>AND('Planilla_General_07-12-2012_8_3'!K2034,"AAAAAF78bww=")</f>
        <v>#VALUE!</v>
      </c>
      <c r="N136" t="e">
        <f>AND('Planilla_General_07-12-2012_8_3'!L2034,"AAAAAF78bw0=")</f>
        <v>#VALUE!</v>
      </c>
      <c r="O136" t="e">
        <f>AND('Planilla_General_07-12-2012_8_3'!M2034,"AAAAAF78bw4=")</f>
        <v>#VALUE!</v>
      </c>
      <c r="P136" t="e">
        <f>AND('Planilla_General_07-12-2012_8_3'!N2034,"AAAAAF78bw8=")</f>
        <v>#VALUE!</v>
      </c>
      <c r="Q136" t="e">
        <f>AND('Planilla_General_07-12-2012_8_3'!O2034,"AAAAAF78bxA=")</f>
        <v>#VALUE!</v>
      </c>
      <c r="R136" t="e">
        <f>AND('Planilla_General_07-12-2012_8_3'!P2034,"AAAAAF78bxE=")</f>
        <v>#VALUE!</v>
      </c>
      <c r="S136">
        <f>IF('Planilla_General_07-12-2012_8_3'!2035:2035,"AAAAAF78bxI=",0)</f>
        <v>0</v>
      </c>
      <c r="T136" t="e">
        <f>AND('Planilla_General_07-12-2012_8_3'!A2035,"AAAAAF78bxM=")</f>
        <v>#VALUE!</v>
      </c>
      <c r="U136" t="e">
        <f>AND('Planilla_General_07-12-2012_8_3'!B2035,"AAAAAF78bxQ=")</f>
        <v>#VALUE!</v>
      </c>
      <c r="V136" t="e">
        <f>AND('Planilla_General_07-12-2012_8_3'!C2035,"AAAAAF78bxU=")</f>
        <v>#VALUE!</v>
      </c>
      <c r="W136" t="e">
        <f>AND('Planilla_General_07-12-2012_8_3'!D2035,"AAAAAF78bxY=")</f>
        <v>#VALUE!</v>
      </c>
      <c r="X136" t="e">
        <f>AND('Planilla_General_07-12-2012_8_3'!E2035,"AAAAAF78bxc=")</f>
        <v>#VALUE!</v>
      </c>
      <c r="Y136" t="e">
        <f>AND('Planilla_General_07-12-2012_8_3'!F2035,"AAAAAF78bxg=")</f>
        <v>#VALUE!</v>
      </c>
      <c r="Z136" t="e">
        <f>AND('Planilla_General_07-12-2012_8_3'!G2035,"AAAAAF78bxk=")</f>
        <v>#VALUE!</v>
      </c>
      <c r="AA136" t="e">
        <f>AND('Planilla_General_07-12-2012_8_3'!H2035,"AAAAAF78bxo=")</f>
        <v>#VALUE!</v>
      </c>
      <c r="AB136" t="e">
        <f>AND('Planilla_General_07-12-2012_8_3'!I2035,"AAAAAF78bxs=")</f>
        <v>#VALUE!</v>
      </c>
      <c r="AC136" t="e">
        <f>AND('Planilla_General_07-12-2012_8_3'!J2035,"AAAAAF78bxw=")</f>
        <v>#VALUE!</v>
      </c>
      <c r="AD136" t="e">
        <f>AND('Planilla_General_07-12-2012_8_3'!K2035,"AAAAAF78bx0=")</f>
        <v>#VALUE!</v>
      </c>
      <c r="AE136" t="e">
        <f>AND('Planilla_General_07-12-2012_8_3'!L2035,"AAAAAF78bx4=")</f>
        <v>#VALUE!</v>
      </c>
      <c r="AF136" t="e">
        <f>AND('Planilla_General_07-12-2012_8_3'!M2035,"AAAAAF78bx8=")</f>
        <v>#VALUE!</v>
      </c>
      <c r="AG136" t="e">
        <f>AND('Planilla_General_07-12-2012_8_3'!N2035,"AAAAAF78byA=")</f>
        <v>#VALUE!</v>
      </c>
      <c r="AH136" t="e">
        <f>AND('Planilla_General_07-12-2012_8_3'!O2035,"AAAAAF78byE=")</f>
        <v>#VALUE!</v>
      </c>
      <c r="AI136" t="e">
        <f>AND('Planilla_General_07-12-2012_8_3'!P2035,"AAAAAF78byI=")</f>
        <v>#VALUE!</v>
      </c>
      <c r="AJ136">
        <f>IF('Planilla_General_07-12-2012_8_3'!2036:2036,"AAAAAF78byM=",0)</f>
        <v>0</v>
      </c>
      <c r="AK136" t="e">
        <f>AND('Planilla_General_07-12-2012_8_3'!A2036,"AAAAAF78byQ=")</f>
        <v>#VALUE!</v>
      </c>
      <c r="AL136" t="e">
        <f>AND('Planilla_General_07-12-2012_8_3'!B2036,"AAAAAF78byU=")</f>
        <v>#VALUE!</v>
      </c>
      <c r="AM136" t="e">
        <f>AND('Planilla_General_07-12-2012_8_3'!C2036,"AAAAAF78byY=")</f>
        <v>#VALUE!</v>
      </c>
      <c r="AN136" t="e">
        <f>AND('Planilla_General_07-12-2012_8_3'!D2036,"AAAAAF78byc=")</f>
        <v>#VALUE!</v>
      </c>
      <c r="AO136" t="e">
        <f>AND('Planilla_General_07-12-2012_8_3'!E2036,"AAAAAF78byg=")</f>
        <v>#VALUE!</v>
      </c>
      <c r="AP136" t="e">
        <f>AND('Planilla_General_07-12-2012_8_3'!F2036,"AAAAAF78byk=")</f>
        <v>#VALUE!</v>
      </c>
      <c r="AQ136" t="e">
        <f>AND('Planilla_General_07-12-2012_8_3'!G2036,"AAAAAF78byo=")</f>
        <v>#VALUE!</v>
      </c>
      <c r="AR136" t="e">
        <f>AND('Planilla_General_07-12-2012_8_3'!H2036,"AAAAAF78bys=")</f>
        <v>#VALUE!</v>
      </c>
      <c r="AS136" t="e">
        <f>AND('Planilla_General_07-12-2012_8_3'!I2036,"AAAAAF78byw=")</f>
        <v>#VALUE!</v>
      </c>
      <c r="AT136" t="e">
        <f>AND('Planilla_General_07-12-2012_8_3'!J2036,"AAAAAF78by0=")</f>
        <v>#VALUE!</v>
      </c>
      <c r="AU136" t="e">
        <f>AND('Planilla_General_07-12-2012_8_3'!K2036,"AAAAAF78by4=")</f>
        <v>#VALUE!</v>
      </c>
      <c r="AV136" t="e">
        <f>AND('Planilla_General_07-12-2012_8_3'!L2036,"AAAAAF78by8=")</f>
        <v>#VALUE!</v>
      </c>
      <c r="AW136" t="e">
        <f>AND('Planilla_General_07-12-2012_8_3'!M2036,"AAAAAF78bzA=")</f>
        <v>#VALUE!</v>
      </c>
      <c r="AX136" t="e">
        <f>AND('Planilla_General_07-12-2012_8_3'!N2036,"AAAAAF78bzE=")</f>
        <v>#VALUE!</v>
      </c>
      <c r="AY136" t="e">
        <f>AND('Planilla_General_07-12-2012_8_3'!O2036,"AAAAAF78bzI=")</f>
        <v>#VALUE!</v>
      </c>
      <c r="AZ136" t="e">
        <f>AND('Planilla_General_07-12-2012_8_3'!P2036,"AAAAAF78bzM=")</f>
        <v>#VALUE!</v>
      </c>
      <c r="BA136">
        <f>IF('Planilla_General_07-12-2012_8_3'!2037:2037,"AAAAAF78bzQ=",0)</f>
        <v>0</v>
      </c>
      <c r="BB136" t="e">
        <f>AND('Planilla_General_07-12-2012_8_3'!A2037,"AAAAAF78bzU=")</f>
        <v>#VALUE!</v>
      </c>
      <c r="BC136" t="e">
        <f>AND('Planilla_General_07-12-2012_8_3'!B2037,"AAAAAF78bzY=")</f>
        <v>#VALUE!</v>
      </c>
      <c r="BD136" t="e">
        <f>AND('Planilla_General_07-12-2012_8_3'!C2037,"AAAAAF78bzc=")</f>
        <v>#VALUE!</v>
      </c>
      <c r="BE136" t="e">
        <f>AND('Planilla_General_07-12-2012_8_3'!D2037,"AAAAAF78bzg=")</f>
        <v>#VALUE!</v>
      </c>
      <c r="BF136" t="e">
        <f>AND('Planilla_General_07-12-2012_8_3'!E2037,"AAAAAF78bzk=")</f>
        <v>#VALUE!</v>
      </c>
      <c r="BG136" t="e">
        <f>AND('Planilla_General_07-12-2012_8_3'!F2037,"AAAAAF78bzo=")</f>
        <v>#VALUE!</v>
      </c>
      <c r="BH136" t="e">
        <f>AND('Planilla_General_07-12-2012_8_3'!G2037,"AAAAAF78bzs=")</f>
        <v>#VALUE!</v>
      </c>
      <c r="BI136" t="e">
        <f>AND('Planilla_General_07-12-2012_8_3'!H2037,"AAAAAF78bzw=")</f>
        <v>#VALUE!</v>
      </c>
      <c r="BJ136" t="e">
        <f>AND('Planilla_General_07-12-2012_8_3'!I2037,"AAAAAF78bz0=")</f>
        <v>#VALUE!</v>
      </c>
      <c r="BK136" t="e">
        <f>AND('Planilla_General_07-12-2012_8_3'!J2037,"AAAAAF78bz4=")</f>
        <v>#VALUE!</v>
      </c>
      <c r="BL136" t="e">
        <f>AND('Planilla_General_07-12-2012_8_3'!K2037,"AAAAAF78bz8=")</f>
        <v>#VALUE!</v>
      </c>
      <c r="BM136" t="e">
        <f>AND('Planilla_General_07-12-2012_8_3'!L2037,"AAAAAF78b0A=")</f>
        <v>#VALUE!</v>
      </c>
      <c r="BN136" t="e">
        <f>AND('Planilla_General_07-12-2012_8_3'!M2037,"AAAAAF78b0E=")</f>
        <v>#VALUE!</v>
      </c>
      <c r="BO136" t="e">
        <f>AND('Planilla_General_07-12-2012_8_3'!N2037,"AAAAAF78b0I=")</f>
        <v>#VALUE!</v>
      </c>
      <c r="BP136" t="e">
        <f>AND('Planilla_General_07-12-2012_8_3'!O2037,"AAAAAF78b0M=")</f>
        <v>#VALUE!</v>
      </c>
      <c r="BQ136" t="e">
        <f>AND('Planilla_General_07-12-2012_8_3'!P2037,"AAAAAF78b0Q=")</f>
        <v>#VALUE!</v>
      </c>
      <c r="BR136">
        <f>IF('Planilla_General_07-12-2012_8_3'!2038:2038,"AAAAAF78b0U=",0)</f>
        <v>0</v>
      </c>
      <c r="BS136" t="e">
        <f>AND('Planilla_General_07-12-2012_8_3'!A2038,"AAAAAF78b0Y=")</f>
        <v>#VALUE!</v>
      </c>
      <c r="BT136" t="e">
        <f>AND('Planilla_General_07-12-2012_8_3'!B2038,"AAAAAF78b0c=")</f>
        <v>#VALUE!</v>
      </c>
      <c r="BU136" t="e">
        <f>AND('Planilla_General_07-12-2012_8_3'!C2038,"AAAAAF78b0g=")</f>
        <v>#VALUE!</v>
      </c>
      <c r="BV136" t="e">
        <f>AND('Planilla_General_07-12-2012_8_3'!D2038,"AAAAAF78b0k=")</f>
        <v>#VALUE!</v>
      </c>
      <c r="BW136" t="e">
        <f>AND('Planilla_General_07-12-2012_8_3'!E2038,"AAAAAF78b0o=")</f>
        <v>#VALUE!</v>
      </c>
      <c r="BX136" t="e">
        <f>AND('Planilla_General_07-12-2012_8_3'!F2038,"AAAAAF78b0s=")</f>
        <v>#VALUE!</v>
      </c>
      <c r="BY136" t="e">
        <f>AND('Planilla_General_07-12-2012_8_3'!G2038,"AAAAAF78b0w=")</f>
        <v>#VALUE!</v>
      </c>
      <c r="BZ136" t="e">
        <f>AND('Planilla_General_07-12-2012_8_3'!H2038,"AAAAAF78b00=")</f>
        <v>#VALUE!</v>
      </c>
      <c r="CA136" t="e">
        <f>AND('Planilla_General_07-12-2012_8_3'!I2038,"AAAAAF78b04=")</f>
        <v>#VALUE!</v>
      </c>
      <c r="CB136" t="e">
        <f>AND('Planilla_General_07-12-2012_8_3'!J2038,"AAAAAF78b08=")</f>
        <v>#VALUE!</v>
      </c>
      <c r="CC136" t="e">
        <f>AND('Planilla_General_07-12-2012_8_3'!K2038,"AAAAAF78b1A=")</f>
        <v>#VALUE!</v>
      </c>
      <c r="CD136" t="e">
        <f>AND('Planilla_General_07-12-2012_8_3'!L2038,"AAAAAF78b1E=")</f>
        <v>#VALUE!</v>
      </c>
      <c r="CE136" t="e">
        <f>AND('Planilla_General_07-12-2012_8_3'!M2038,"AAAAAF78b1I=")</f>
        <v>#VALUE!</v>
      </c>
      <c r="CF136" t="e">
        <f>AND('Planilla_General_07-12-2012_8_3'!N2038,"AAAAAF78b1M=")</f>
        <v>#VALUE!</v>
      </c>
      <c r="CG136" t="e">
        <f>AND('Planilla_General_07-12-2012_8_3'!O2038,"AAAAAF78b1Q=")</f>
        <v>#VALUE!</v>
      </c>
      <c r="CH136" t="e">
        <f>AND('Planilla_General_07-12-2012_8_3'!P2038,"AAAAAF78b1U=")</f>
        <v>#VALUE!</v>
      </c>
      <c r="CI136">
        <f>IF('Planilla_General_07-12-2012_8_3'!2039:2039,"AAAAAF78b1Y=",0)</f>
        <v>0</v>
      </c>
      <c r="CJ136" t="e">
        <f>AND('Planilla_General_07-12-2012_8_3'!A2039,"AAAAAF78b1c=")</f>
        <v>#VALUE!</v>
      </c>
      <c r="CK136" t="e">
        <f>AND('Planilla_General_07-12-2012_8_3'!B2039,"AAAAAF78b1g=")</f>
        <v>#VALUE!</v>
      </c>
      <c r="CL136" t="e">
        <f>AND('Planilla_General_07-12-2012_8_3'!C2039,"AAAAAF78b1k=")</f>
        <v>#VALUE!</v>
      </c>
      <c r="CM136" t="e">
        <f>AND('Planilla_General_07-12-2012_8_3'!D2039,"AAAAAF78b1o=")</f>
        <v>#VALUE!</v>
      </c>
      <c r="CN136" t="e">
        <f>AND('Planilla_General_07-12-2012_8_3'!E2039,"AAAAAF78b1s=")</f>
        <v>#VALUE!</v>
      </c>
      <c r="CO136" t="e">
        <f>AND('Planilla_General_07-12-2012_8_3'!F2039,"AAAAAF78b1w=")</f>
        <v>#VALUE!</v>
      </c>
      <c r="CP136" t="e">
        <f>AND('Planilla_General_07-12-2012_8_3'!G2039,"AAAAAF78b10=")</f>
        <v>#VALUE!</v>
      </c>
      <c r="CQ136" t="e">
        <f>AND('Planilla_General_07-12-2012_8_3'!H2039,"AAAAAF78b14=")</f>
        <v>#VALUE!</v>
      </c>
      <c r="CR136" t="e">
        <f>AND('Planilla_General_07-12-2012_8_3'!I2039,"AAAAAF78b18=")</f>
        <v>#VALUE!</v>
      </c>
      <c r="CS136" t="e">
        <f>AND('Planilla_General_07-12-2012_8_3'!J2039,"AAAAAF78b2A=")</f>
        <v>#VALUE!</v>
      </c>
      <c r="CT136" t="e">
        <f>AND('Planilla_General_07-12-2012_8_3'!K2039,"AAAAAF78b2E=")</f>
        <v>#VALUE!</v>
      </c>
      <c r="CU136" t="e">
        <f>AND('Planilla_General_07-12-2012_8_3'!L2039,"AAAAAF78b2I=")</f>
        <v>#VALUE!</v>
      </c>
      <c r="CV136" t="e">
        <f>AND('Planilla_General_07-12-2012_8_3'!M2039,"AAAAAF78b2M=")</f>
        <v>#VALUE!</v>
      </c>
      <c r="CW136" t="e">
        <f>AND('Planilla_General_07-12-2012_8_3'!N2039,"AAAAAF78b2Q=")</f>
        <v>#VALUE!</v>
      </c>
      <c r="CX136" t="e">
        <f>AND('Planilla_General_07-12-2012_8_3'!O2039,"AAAAAF78b2U=")</f>
        <v>#VALUE!</v>
      </c>
      <c r="CY136" t="e">
        <f>AND('Planilla_General_07-12-2012_8_3'!P2039,"AAAAAF78b2Y=")</f>
        <v>#VALUE!</v>
      </c>
      <c r="CZ136">
        <f>IF('Planilla_General_07-12-2012_8_3'!2040:2040,"AAAAAF78b2c=",0)</f>
        <v>0</v>
      </c>
      <c r="DA136" t="e">
        <f>AND('Planilla_General_07-12-2012_8_3'!A2040,"AAAAAF78b2g=")</f>
        <v>#VALUE!</v>
      </c>
      <c r="DB136" t="e">
        <f>AND('Planilla_General_07-12-2012_8_3'!B2040,"AAAAAF78b2k=")</f>
        <v>#VALUE!</v>
      </c>
      <c r="DC136" t="e">
        <f>AND('Planilla_General_07-12-2012_8_3'!C2040,"AAAAAF78b2o=")</f>
        <v>#VALUE!</v>
      </c>
      <c r="DD136" t="e">
        <f>AND('Planilla_General_07-12-2012_8_3'!D2040,"AAAAAF78b2s=")</f>
        <v>#VALUE!</v>
      </c>
      <c r="DE136" t="e">
        <f>AND('Planilla_General_07-12-2012_8_3'!E2040,"AAAAAF78b2w=")</f>
        <v>#VALUE!</v>
      </c>
      <c r="DF136" t="e">
        <f>AND('Planilla_General_07-12-2012_8_3'!F2040,"AAAAAF78b20=")</f>
        <v>#VALUE!</v>
      </c>
      <c r="DG136" t="e">
        <f>AND('Planilla_General_07-12-2012_8_3'!G2040,"AAAAAF78b24=")</f>
        <v>#VALUE!</v>
      </c>
      <c r="DH136" t="e">
        <f>AND('Planilla_General_07-12-2012_8_3'!H2040,"AAAAAF78b28=")</f>
        <v>#VALUE!</v>
      </c>
      <c r="DI136" t="e">
        <f>AND('Planilla_General_07-12-2012_8_3'!I2040,"AAAAAF78b3A=")</f>
        <v>#VALUE!</v>
      </c>
      <c r="DJ136" t="e">
        <f>AND('Planilla_General_07-12-2012_8_3'!J2040,"AAAAAF78b3E=")</f>
        <v>#VALUE!</v>
      </c>
      <c r="DK136" t="e">
        <f>AND('Planilla_General_07-12-2012_8_3'!K2040,"AAAAAF78b3I=")</f>
        <v>#VALUE!</v>
      </c>
      <c r="DL136" t="e">
        <f>AND('Planilla_General_07-12-2012_8_3'!L2040,"AAAAAF78b3M=")</f>
        <v>#VALUE!</v>
      </c>
      <c r="DM136" t="e">
        <f>AND('Planilla_General_07-12-2012_8_3'!M2040,"AAAAAF78b3Q=")</f>
        <v>#VALUE!</v>
      </c>
      <c r="DN136" t="e">
        <f>AND('Planilla_General_07-12-2012_8_3'!N2040,"AAAAAF78b3U=")</f>
        <v>#VALUE!</v>
      </c>
      <c r="DO136" t="e">
        <f>AND('Planilla_General_07-12-2012_8_3'!O2040,"AAAAAF78b3Y=")</f>
        <v>#VALUE!</v>
      </c>
      <c r="DP136" t="e">
        <f>AND('Planilla_General_07-12-2012_8_3'!P2040,"AAAAAF78b3c=")</f>
        <v>#VALUE!</v>
      </c>
      <c r="DQ136">
        <f>IF('Planilla_General_07-12-2012_8_3'!2041:2041,"AAAAAF78b3g=",0)</f>
        <v>0</v>
      </c>
      <c r="DR136" t="e">
        <f>AND('Planilla_General_07-12-2012_8_3'!A2041,"AAAAAF78b3k=")</f>
        <v>#VALUE!</v>
      </c>
      <c r="DS136" t="e">
        <f>AND('Planilla_General_07-12-2012_8_3'!B2041,"AAAAAF78b3o=")</f>
        <v>#VALUE!</v>
      </c>
      <c r="DT136" t="e">
        <f>AND('Planilla_General_07-12-2012_8_3'!C2041,"AAAAAF78b3s=")</f>
        <v>#VALUE!</v>
      </c>
      <c r="DU136" t="e">
        <f>AND('Planilla_General_07-12-2012_8_3'!D2041,"AAAAAF78b3w=")</f>
        <v>#VALUE!</v>
      </c>
      <c r="DV136" t="e">
        <f>AND('Planilla_General_07-12-2012_8_3'!E2041,"AAAAAF78b30=")</f>
        <v>#VALUE!</v>
      </c>
      <c r="DW136" t="e">
        <f>AND('Planilla_General_07-12-2012_8_3'!F2041,"AAAAAF78b34=")</f>
        <v>#VALUE!</v>
      </c>
      <c r="DX136" t="e">
        <f>AND('Planilla_General_07-12-2012_8_3'!G2041,"AAAAAF78b38=")</f>
        <v>#VALUE!</v>
      </c>
      <c r="DY136" t="e">
        <f>AND('Planilla_General_07-12-2012_8_3'!H2041,"AAAAAF78b4A=")</f>
        <v>#VALUE!</v>
      </c>
      <c r="DZ136" t="e">
        <f>AND('Planilla_General_07-12-2012_8_3'!I2041,"AAAAAF78b4E=")</f>
        <v>#VALUE!</v>
      </c>
      <c r="EA136" t="e">
        <f>AND('Planilla_General_07-12-2012_8_3'!J2041,"AAAAAF78b4I=")</f>
        <v>#VALUE!</v>
      </c>
      <c r="EB136" t="e">
        <f>AND('Planilla_General_07-12-2012_8_3'!K2041,"AAAAAF78b4M=")</f>
        <v>#VALUE!</v>
      </c>
      <c r="EC136" t="e">
        <f>AND('Planilla_General_07-12-2012_8_3'!L2041,"AAAAAF78b4Q=")</f>
        <v>#VALUE!</v>
      </c>
      <c r="ED136" t="e">
        <f>AND('Planilla_General_07-12-2012_8_3'!M2041,"AAAAAF78b4U=")</f>
        <v>#VALUE!</v>
      </c>
      <c r="EE136" t="e">
        <f>AND('Planilla_General_07-12-2012_8_3'!N2041,"AAAAAF78b4Y=")</f>
        <v>#VALUE!</v>
      </c>
      <c r="EF136" t="e">
        <f>AND('Planilla_General_07-12-2012_8_3'!O2041,"AAAAAF78b4c=")</f>
        <v>#VALUE!</v>
      </c>
      <c r="EG136" t="e">
        <f>AND('Planilla_General_07-12-2012_8_3'!P2041,"AAAAAF78b4g=")</f>
        <v>#VALUE!</v>
      </c>
      <c r="EH136">
        <f>IF('Planilla_General_07-12-2012_8_3'!2042:2042,"AAAAAF78b4k=",0)</f>
        <v>0</v>
      </c>
      <c r="EI136" t="e">
        <f>AND('Planilla_General_07-12-2012_8_3'!A2042,"AAAAAF78b4o=")</f>
        <v>#VALUE!</v>
      </c>
      <c r="EJ136" t="e">
        <f>AND('Planilla_General_07-12-2012_8_3'!B2042,"AAAAAF78b4s=")</f>
        <v>#VALUE!</v>
      </c>
      <c r="EK136" t="e">
        <f>AND('Planilla_General_07-12-2012_8_3'!C2042,"AAAAAF78b4w=")</f>
        <v>#VALUE!</v>
      </c>
      <c r="EL136" t="e">
        <f>AND('Planilla_General_07-12-2012_8_3'!D2042,"AAAAAF78b40=")</f>
        <v>#VALUE!</v>
      </c>
      <c r="EM136" t="e">
        <f>AND('Planilla_General_07-12-2012_8_3'!E2042,"AAAAAF78b44=")</f>
        <v>#VALUE!</v>
      </c>
      <c r="EN136" t="e">
        <f>AND('Planilla_General_07-12-2012_8_3'!F2042,"AAAAAF78b48=")</f>
        <v>#VALUE!</v>
      </c>
      <c r="EO136" t="e">
        <f>AND('Planilla_General_07-12-2012_8_3'!G2042,"AAAAAF78b5A=")</f>
        <v>#VALUE!</v>
      </c>
      <c r="EP136" t="e">
        <f>AND('Planilla_General_07-12-2012_8_3'!H2042,"AAAAAF78b5E=")</f>
        <v>#VALUE!</v>
      </c>
      <c r="EQ136" t="e">
        <f>AND('Planilla_General_07-12-2012_8_3'!I2042,"AAAAAF78b5I=")</f>
        <v>#VALUE!</v>
      </c>
      <c r="ER136" t="e">
        <f>AND('Planilla_General_07-12-2012_8_3'!J2042,"AAAAAF78b5M=")</f>
        <v>#VALUE!</v>
      </c>
      <c r="ES136" t="e">
        <f>AND('Planilla_General_07-12-2012_8_3'!K2042,"AAAAAF78b5Q=")</f>
        <v>#VALUE!</v>
      </c>
      <c r="ET136" t="e">
        <f>AND('Planilla_General_07-12-2012_8_3'!L2042,"AAAAAF78b5U=")</f>
        <v>#VALUE!</v>
      </c>
      <c r="EU136" t="e">
        <f>AND('Planilla_General_07-12-2012_8_3'!M2042,"AAAAAF78b5Y=")</f>
        <v>#VALUE!</v>
      </c>
      <c r="EV136" t="e">
        <f>AND('Planilla_General_07-12-2012_8_3'!N2042,"AAAAAF78b5c=")</f>
        <v>#VALUE!</v>
      </c>
      <c r="EW136" t="e">
        <f>AND('Planilla_General_07-12-2012_8_3'!O2042,"AAAAAF78b5g=")</f>
        <v>#VALUE!</v>
      </c>
      <c r="EX136" t="e">
        <f>AND('Planilla_General_07-12-2012_8_3'!P2042,"AAAAAF78b5k=")</f>
        <v>#VALUE!</v>
      </c>
      <c r="EY136">
        <f>IF('Planilla_General_07-12-2012_8_3'!2043:2043,"AAAAAF78b5o=",0)</f>
        <v>0</v>
      </c>
      <c r="EZ136" t="e">
        <f>AND('Planilla_General_07-12-2012_8_3'!A2043,"AAAAAF78b5s=")</f>
        <v>#VALUE!</v>
      </c>
      <c r="FA136" t="e">
        <f>AND('Planilla_General_07-12-2012_8_3'!B2043,"AAAAAF78b5w=")</f>
        <v>#VALUE!</v>
      </c>
      <c r="FB136" t="e">
        <f>AND('Planilla_General_07-12-2012_8_3'!C2043,"AAAAAF78b50=")</f>
        <v>#VALUE!</v>
      </c>
      <c r="FC136" t="e">
        <f>AND('Planilla_General_07-12-2012_8_3'!D2043,"AAAAAF78b54=")</f>
        <v>#VALUE!</v>
      </c>
      <c r="FD136" t="e">
        <f>AND('Planilla_General_07-12-2012_8_3'!E2043,"AAAAAF78b58=")</f>
        <v>#VALUE!</v>
      </c>
      <c r="FE136" t="e">
        <f>AND('Planilla_General_07-12-2012_8_3'!F2043,"AAAAAF78b6A=")</f>
        <v>#VALUE!</v>
      </c>
      <c r="FF136" t="e">
        <f>AND('Planilla_General_07-12-2012_8_3'!G2043,"AAAAAF78b6E=")</f>
        <v>#VALUE!</v>
      </c>
      <c r="FG136" t="e">
        <f>AND('Planilla_General_07-12-2012_8_3'!H2043,"AAAAAF78b6I=")</f>
        <v>#VALUE!</v>
      </c>
      <c r="FH136" t="e">
        <f>AND('Planilla_General_07-12-2012_8_3'!I2043,"AAAAAF78b6M=")</f>
        <v>#VALUE!</v>
      </c>
      <c r="FI136" t="e">
        <f>AND('Planilla_General_07-12-2012_8_3'!J2043,"AAAAAF78b6Q=")</f>
        <v>#VALUE!</v>
      </c>
      <c r="FJ136" t="e">
        <f>AND('Planilla_General_07-12-2012_8_3'!K2043,"AAAAAF78b6U=")</f>
        <v>#VALUE!</v>
      </c>
      <c r="FK136" t="e">
        <f>AND('Planilla_General_07-12-2012_8_3'!L2043,"AAAAAF78b6Y=")</f>
        <v>#VALUE!</v>
      </c>
      <c r="FL136" t="e">
        <f>AND('Planilla_General_07-12-2012_8_3'!M2043,"AAAAAF78b6c=")</f>
        <v>#VALUE!</v>
      </c>
      <c r="FM136" t="e">
        <f>AND('Planilla_General_07-12-2012_8_3'!N2043,"AAAAAF78b6g=")</f>
        <v>#VALUE!</v>
      </c>
      <c r="FN136" t="e">
        <f>AND('Planilla_General_07-12-2012_8_3'!O2043,"AAAAAF78b6k=")</f>
        <v>#VALUE!</v>
      </c>
      <c r="FO136" t="e">
        <f>AND('Planilla_General_07-12-2012_8_3'!P2043,"AAAAAF78b6o=")</f>
        <v>#VALUE!</v>
      </c>
      <c r="FP136">
        <f>IF('Planilla_General_07-12-2012_8_3'!2044:2044,"AAAAAF78b6s=",0)</f>
        <v>0</v>
      </c>
      <c r="FQ136" t="e">
        <f>AND('Planilla_General_07-12-2012_8_3'!A2044,"AAAAAF78b6w=")</f>
        <v>#VALUE!</v>
      </c>
      <c r="FR136" t="e">
        <f>AND('Planilla_General_07-12-2012_8_3'!B2044,"AAAAAF78b60=")</f>
        <v>#VALUE!</v>
      </c>
      <c r="FS136" t="e">
        <f>AND('Planilla_General_07-12-2012_8_3'!C2044,"AAAAAF78b64=")</f>
        <v>#VALUE!</v>
      </c>
      <c r="FT136" t="e">
        <f>AND('Planilla_General_07-12-2012_8_3'!D2044,"AAAAAF78b68=")</f>
        <v>#VALUE!</v>
      </c>
      <c r="FU136" t="e">
        <f>AND('Planilla_General_07-12-2012_8_3'!E2044,"AAAAAF78b7A=")</f>
        <v>#VALUE!</v>
      </c>
      <c r="FV136" t="e">
        <f>AND('Planilla_General_07-12-2012_8_3'!F2044,"AAAAAF78b7E=")</f>
        <v>#VALUE!</v>
      </c>
      <c r="FW136" t="e">
        <f>AND('Planilla_General_07-12-2012_8_3'!G2044,"AAAAAF78b7I=")</f>
        <v>#VALUE!</v>
      </c>
      <c r="FX136" t="e">
        <f>AND('Planilla_General_07-12-2012_8_3'!H2044,"AAAAAF78b7M=")</f>
        <v>#VALUE!</v>
      </c>
      <c r="FY136" t="e">
        <f>AND('Planilla_General_07-12-2012_8_3'!I2044,"AAAAAF78b7Q=")</f>
        <v>#VALUE!</v>
      </c>
      <c r="FZ136" t="e">
        <f>AND('Planilla_General_07-12-2012_8_3'!J2044,"AAAAAF78b7U=")</f>
        <v>#VALUE!</v>
      </c>
      <c r="GA136" t="e">
        <f>AND('Planilla_General_07-12-2012_8_3'!K2044,"AAAAAF78b7Y=")</f>
        <v>#VALUE!</v>
      </c>
      <c r="GB136" t="e">
        <f>AND('Planilla_General_07-12-2012_8_3'!L2044,"AAAAAF78b7c=")</f>
        <v>#VALUE!</v>
      </c>
      <c r="GC136" t="e">
        <f>AND('Planilla_General_07-12-2012_8_3'!M2044,"AAAAAF78b7g=")</f>
        <v>#VALUE!</v>
      </c>
      <c r="GD136" t="e">
        <f>AND('Planilla_General_07-12-2012_8_3'!N2044,"AAAAAF78b7k=")</f>
        <v>#VALUE!</v>
      </c>
      <c r="GE136" t="e">
        <f>AND('Planilla_General_07-12-2012_8_3'!O2044,"AAAAAF78b7o=")</f>
        <v>#VALUE!</v>
      </c>
      <c r="GF136" t="e">
        <f>AND('Planilla_General_07-12-2012_8_3'!P2044,"AAAAAF78b7s=")</f>
        <v>#VALUE!</v>
      </c>
      <c r="GG136">
        <f>IF('Planilla_General_07-12-2012_8_3'!2045:2045,"AAAAAF78b7w=",0)</f>
        <v>0</v>
      </c>
      <c r="GH136" t="e">
        <f>AND('Planilla_General_07-12-2012_8_3'!A2045,"AAAAAF78b70=")</f>
        <v>#VALUE!</v>
      </c>
      <c r="GI136" t="e">
        <f>AND('Planilla_General_07-12-2012_8_3'!B2045,"AAAAAF78b74=")</f>
        <v>#VALUE!</v>
      </c>
      <c r="GJ136" t="e">
        <f>AND('Planilla_General_07-12-2012_8_3'!C2045,"AAAAAF78b78=")</f>
        <v>#VALUE!</v>
      </c>
      <c r="GK136" t="e">
        <f>AND('Planilla_General_07-12-2012_8_3'!D2045,"AAAAAF78b8A=")</f>
        <v>#VALUE!</v>
      </c>
      <c r="GL136" t="e">
        <f>AND('Planilla_General_07-12-2012_8_3'!E2045,"AAAAAF78b8E=")</f>
        <v>#VALUE!</v>
      </c>
      <c r="GM136" t="e">
        <f>AND('Planilla_General_07-12-2012_8_3'!F2045,"AAAAAF78b8I=")</f>
        <v>#VALUE!</v>
      </c>
      <c r="GN136" t="e">
        <f>AND('Planilla_General_07-12-2012_8_3'!G2045,"AAAAAF78b8M=")</f>
        <v>#VALUE!</v>
      </c>
      <c r="GO136" t="e">
        <f>AND('Planilla_General_07-12-2012_8_3'!H2045,"AAAAAF78b8Q=")</f>
        <v>#VALUE!</v>
      </c>
      <c r="GP136" t="e">
        <f>AND('Planilla_General_07-12-2012_8_3'!I2045,"AAAAAF78b8U=")</f>
        <v>#VALUE!</v>
      </c>
      <c r="GQ136" t="e">
        <f>AND('Planilla_General_07-12-2012_8_3'!J2045,"AAAAAF78b8Y=")</f>
        <v>#VALUE!</v>
      </c>
      <c r="GR136" t="e">
        <f>AND('Planilla_General_07-12-2012_8_3'!K2045,"AAAAAF78b8c=")</f>
        <v>#VALUE!</v>
      </c>
      <c r="GS136" t="e">
        <f>AND('Planilla_General_07-12-2012_8_3'!L2045,"AAAAAF78b8g=")</f>
        <v>#VALUE!</v>
      </c>
      <c r="GT136" t="e">
        <f>AND('Planilla_General_07-12-2012_8_3'!M2045,"AAAAAF78b8k=")</f>
        <v>#VALUE!</v>
      </c>
      <c r="GU136" t="e">
        <f>AND('Planilla_General_07-12-2012_8_3'!N2045,"AAAAAF78b8o=")</f>
        <v>#VALUE!</v>
      </c>
      <c r="GV136" t="e">
        <f>AND('Planilla_General_07-12-2012_8_3'!O2045,"AAAAAF78b8s=")</f>
        <v>#VALUE!</v>
      </c>
      <c r="GW136" t="e">
        <f>AND('Planilla_General_07-12-2012_8_3'!P2045,"AAAAAF78b8w=")</f>
        <v>#VALUE!</v>
      </c>
      <c r="GX136">
        <f>IF('Planilla_General_07-12-2012_8_3'!2046:2046,"AAAAAF78b80=",0)</f>
        <v>0</v>
      </c>
      <c r="GY136" t="e">
        <f>AND('Planilla_General_07-12-2012_8_3'!A2046,"AAAAAF78b84=")</f>
        <v>#VALUE!</v>
      </c>
      <c r="GZ136" t="e">
        <f>AND('Planilla_General_07-12-2012_8_3'!B2046,"AAAAAF78b88=")</f>
        <v>#VALUE!</v>
      </c>
      <c r="HA136" t="e">
        <f>AND('Planilla_General_07-12-2012_8_3'!C2046,"AAAAAF78b9A=")</f>
        <v>#VALUE!</v>
      </c>
      <c r="HB136" t="e">
        <f>AND('Planilla_General_07-12-2012_8_3'!D2046,"AAAAAF78b9E=")</f>
        <v>#VALUE!</v>
      </c>
      <c r="HC136" t="e">
        <f>AND('Planilla_General_07-12-2012_8_3'!E2046,"AAAAAF78b9I=")</f>
        <v>#VALUE!</v>
      </c>
      <c r="HD136" t="e">
        <f>AND('Planilla_General_07-12-2012_8_3'!F2046,"AAAAAF78b9M=")</f>
        <v>#VALUE!</v>
      </c>
      <c r="HE136" t="e">
        <f>AND('Planilla_General_07-12-2012_8_3'!G2046,"AAAAAF78b9Q=")</f>
        <v>#VALUE!</v>
      </c>
      <c r="HF136" t="e">
        <f>AND('Planilla_General_07-12-2012_8_3'!H2046,"AAAAAF78b9U=")</f>
        <v>#VALUE!</v>
      </c>
      <c r="HG136" t="e">
        <f>AND('Planilla_General_07-12-2012_8_3'!I2046,"AAAAAF78b9Y=")</f>
        <v>#VALUE!</v>
      </c>
      <c r="HH136" t="e">
        <f>AND('Planilla_General_07-12-2012_8_3'!J2046,"AAAAAF78b9c=")</f>
        <v>#VALUE!</v>
      </c>
      <c r="HI136" t="e">
        <f>AND('Planilla_General_07-12-2012_8_3'!K2046,"AAAAAF78b9g=")</f>
        <v>#VALUE!</v>
      </c>
      <c r="HJ136" t="e">
        <f>AND('Planilla_General_07-12-2012_8_3'!L2046,"AAAAAF78b9k=")</f>
        <v>#VALUE!</v>
      </c>
      <c r="HK136" t="e">
        <f>AND('Planilla_General_07-12-2012_8_3'!M2046,"AAAAAF78b9o=")</f>
        <v>#VALUE!</v>
      </c>
      <c r="HL136" t="e">
        <f>AND('Planilla_General_07-12-2012_8_3'!N2046,"AAAAAF78b9s=")</f>
        <v>#VALUE!</v>
      </c>
      <c r="HM136" t="e">
        <f>AND('Planilla_General_07-12-2012_8_3'!O2046,"AAAAAF78b9w=")</f>
        <v>#VALUE!</v>
      </c>
      <c r="HN136" t="e">
        <f>AND('Planilla_General_07-12-2012_8_3'!P2046,"AAAAAF78b90=")</f>
        <v>#VALUE!</v>
      </c>
      <c r="HO136">
        <f>IF('Planilla_General_07-12-2012_8_3'!2047:2047,"AAAAAF78b94=",0)</f>
        <v>0</v>
      </c>
      <c r="HP136" t="e">
        <f>AND('Planilla_General_07-12-2012_8_3'!A2047,"AAAAAF78b98=")</f>
        <v>#VALUE!</v>
      </c>
      <c r="HQ136" t="e">
        <f>AND('Planilla_General_07-12-2012_8_3'!B2047,"AAAAAF78b+A=")</f>
        <v>#VALUE!</v>
      </c>
      <c r="HR136" t="e">
        <f>AND('Planilla_General_07-12-2012_8_3'!C2047,"AAAAAF78b+E=")</f>
        <v>#VALUE!</v>
      </c>
      <c r="HS136" t="e">
        <f>AND('Planilla_General_07-12-2012_8_3'!D2047,"AAAAAF78b+I=")</f>
        <v>#VALUE!</v>
      </c>
      <c r="HT136" t="e">
        <f>AND('Planilla_General_07-12-2012_8_3'!E2047,"AAAAAF78b+M=")</f>
        <v>#VALUE!</v>
      </c>
      <c r="HU136" t="e">
        <f>AND('Planilla_General_07-12-2012_8_3'!F2047,"AAAAAF78b+Q=")</f>
        <v>#VALUE!</v>
      </c>
      <c r="HV136" t="e">
        <f>AND('Planilla_General_07-12-2012_8_3'!G2047,"AAAAAF78b+U=")</f>
        <v>#VALUE!</v>
      </c>
      <c r="HW136" t="e">
        <f>AND('Planilla_General_07-12-2012_8_3'!H2047,"AAAAAF78b+Y=")</f>
        <v>#VALUE!</v>
      </c>
      <c r="HX136" t="e">
        <f>AND('Planilla_General_07-12-2012_8_3'!I2047,"AAAAAF78b+c=")</f>
        <v>#VALUE!</v>
      </c>
      <c r="HY136" t="e">
        <f>AND('Planilla_General_07-12-2012_8_3'!J2047,"AAAAAF78b+g=")</f>
        <v>#VALUE!</v>
      </c>
      <c r="HZ136" t="e">
        <f>AND('Planilla_General_07-12-2012_8_3'!K2047,"AAAAAF78b+k=")</f>
        <v>#VALUE!</v>
      </c>
      <c r="IA136" t="e">
        <f>AND('Planilla_General_07-12-2012_8_3'!L2047,"AAAAAF78b+o=")</f>
        <v>#VALUE!</v>
      </c>
      <c r="IB136" t="e">
        <f>AND('Planilla_General_07-12-2012_8_3'!M2047,"AAAAAF78b+s=")</f>
        <v>#VALUE!</v>
      </c>
      <c r="IC136" t="e">
        <f>AND('Planilla_General_07-12-2012_8_3'!N2047,"AAAAAF78b+w=")</f>
        <v>#VALUE!</v>
      </c>
      <c r="ID136" t="e">
        <f>AND('Planilla_General_07-12-2012_8_3'!O2047,"AAAAAF78b+0=")</f>
        <v>#VALUE!</v>
      </c>
      <c r="IE136" t="e">
        <f>AND('Planilla_General_07-12-2012_8_3'!P2047,"AAAAAF78b+4=")</f>
        <v>#VALUE!</v>
      </c>
      <c r="IF136">
        <f>IF('Planilla_General_07-12-2012_8_3'!2048:2048,"AAAAAF78b+8=",0)</f>
        <v>0</v>
      </c>
      <c r="IG136" t="e">
        <f>AND('Planilla_General_07-12-2012_8_3'!A2048,"AAAAAF78b/A=")</f>
        <v>#VALUE!</v>
      </c>
      <c r="IH136" t="e">
        <f>AND('Planilla_General_07-12-2012_8_3'!B2048,"AAAAAF78b/E=")</f>
        <v>#VALUE!</v>
      </c>
      <c r="II136" t="e">
        <f>AND('Planilla_General_07-12-2012_8_3'!C2048,"AAAAAF78b/I=")</f>
        <v>#VALUE!</v>
      </c>
      <c r="IJ136" t="e">
        <f>AND('Planilla_General_07-12-2012_8_3'!D2048,"AAAAAF78b/M=")</f>
        <v>#VALUE!</v>
      </c>
      <c r="IK136" t="e">
        <f>AND('Planilla_General_07-12-2012_8_3'!E2048,"AAAAAF78b/Q=")</f>
        <v>#VALUE!</v>
      </c>
      <c r="IL136" t="e">
        <f>AND('Planilla_General_07-12-2012_8_3'!F2048,"AAAAAF78b/U=")</f>
        <v>#VALUE!</v>
      </c>
      <c r="IM136" t="e">
        <f>AND('Planilla_General_07-12-2012_8_3'!G2048,"AAAAAF78b/Y=")</f>
        <v>#VALUE!</v>
      </c>
      <c r="IN136" t="e">
        <f>AND('Planilla_General_07-12-2012_8_3'!H2048,"AAAAAF78b/c=")</f>
        <v>#VALUE!</v>
      </c>
      <c r="IO136" t="e">
        <f>AND('Planilla_General_07-12-2012_8_3'!I2048,"AAAAAF78b/g=")</f>
        <v>#VALUE!</v>
      </c>
      <c r="IP136" t="e">
        <f>AND('Planilla_General_07-12-2012_8_3'!J2048,"AAAAAF78b/k=")</f>
        <v>#VALUE!</v>
      </c>
      <c r="IQ136" t="e">
        <f>AND('Planilla_General_07-12-2012_8_3'!K2048,"AAAAAF78b/o=")</f>
        <v>#VALUE!</v>
      </c>
      <c r="IR136" t="e">
        <f>AND('Planilla_General_07-12-2012_8_3'!L2048,"AAAAAF78b/s=")</f>
        <v>#VALUE!</v>
      </c>
      <c r="IS136" t="e">
        <f>AND('Planilla_General_07-12-2012_8_3'!M2048,"AAAAAF78b/w=")</f>
        <v>#VALUE!</v>
      </c>
      <c r="IT136" t="e">
        <f>AND('Planilla_General_07-12-2012_8_3'!N2048,"AAAAAF78b/0=")</f>
        <v>#VALUE!</v>
      </c>
      <c r="IU136" t="e">
        <f>AND('Planilla_General_07-12-2012_8_3'!O2048,"AAAAAF78b/4=")</f>
        <v>#VALUE!</v>
      </c>
      <c r="IV136" t="e">
        <f>AND('Planilla_General_07-12-2012_8_3'!P2048,"AAAAAF78b/8=")</f>
        <v>#VALUE!</v>
      </c>
    </row>
    <row r="137" spans="1:256" x14ac:dyDescent="0.25">
      <c r="A137" t="e">
        <f>IF('Planilla_General_07-12-2012_8_3'!2049:2049,"AAAAADO/XwA=",0)</f>
        <v>#VALUE!</v>
      </c>
      <c r="B137" t="e">
        <f>AND('Planilla_General_07-12-2012_8_3'!A2049,"AAAAADO/XwE=")</f>
        <v>#VALUE!</v>
      </c>
      <c r="C137" t="e">
        <f>AND('Planilla_General_07-12-2012_8_3'!B2049,"AAAAADO/XwI=")</f>
        <v>#VALUE!</v>
      </c>
      <c r="D137" t="e">
        <f>AND('Planilla_General_07-12-2012_8_3'!C2049,"AAAAADO/XwM=")</f>
        <v>#VALUE!</v>
      </c>
      <c r="E137" t="e">
        <f>AND('Planilla_General_07-12-2012_8_3'!D2049,"AAAAADO/XwQ=")</f>
        <v>#VALUE!</v>
      </c>
      <c r="F137" t="e">
        <f>AND('Planilla_General_07-12-2012_8_3'!E2049,"AAAAADO/XwU=")</f>
        <v>#VALUE!</v>
      </c>
      <c r="G137" t="e">
        <f>AND('Planilla_General_07-12-2012_8_3'!F2049,"AAAAADO/XwY=")</f>
        <v>#VALUE!</v>
      </c>
      <c r="H137" t="e">
        <f>AND('Planilla_General_07-12-2012_8_3'!G2049,"AAAAADO/Xwc=")</f>
        <v>#VALUE!</v>
      </c>
      <c r="I137" t="e">
        <f>AND('Planilla_General_07-12-2012_8_3'!H2049,"AAAAADO/Xwg=")</f>
        <v>#VALUE!</v>
      </c>
      <c r="J137" t="e">
        <f>AND('Planilla_General_07-12-2012_8_3'!I2049,"AAAAADO/Xwk=")</f>
        <v>#VALUE!</v>
      </c>
      <c r="K137" t="e">
        <f>AND('Planilla_General_07-12-2012_8_3'!J2049,"AAAAADO/Xwo=")</f>
        <v>#VALUE!</v>
      </c>
      <c r="L137" t="e">
        <f>AND('Planilla_General_07-12-2012_8_3'!K2049,"AAAAADO/Xws=")</f>
        <v>#VALUE!</v>
      </c>
      <c r="M137" t="e">
        <f>AND('Planilla_General_07-12-2012_8_3'!L2049,"AAAAADO/Xww=")</f>
        <v>#VALUE!</v>
      </c>
      <c r="N137" t="e">
        <f>AND('Planilla_General_07-12-2012_8_3'!M2049,"AAAAADO/Xw0=")</f>
        <v>#VALUE!</v>
      </c>
      <c r="O137" t="e">
        <f>AND('Planilla_General_07-12-2012_8_3'!N2049,"AAAAADO/Xw4=")</f>
        <v>#VALUE!</v>
      </c>
      <c r="P137" t="e">
        <f>AND('Planilla_General_07-12-2012_8_3'!O2049,"AAAAADO/Xw8=")</f>
        <v>#VALUE!</v>
      </c>
      <c r="Q137" t="e">
        <f>AND('Planilla_General_07-12-2012_8_3'!P2049,"AAAAADO/XxA=")</f>
        <v>#VALUE!</v>
      </c>
      <c r="R137">
        <f>IF('Planilla_General_07-12-2012_8_3'!2050:2050,"AAAAADO/XxE=",0)</f>
        <v>0</v>
      </c>
      <c r="S137" t="e">
        <f>AND('Planilla_General_07-12-2012_8_3'!A2050,"AAAAADO/XxI=")</f>
        <v>#VALUE!</v>
      </c>
      <c r="T137" t="e">
        <f>AND('Planilla_General_07-12-2012_8_3'!B2050,"AAAAADO/XxM=")</f>
        <v>#VALUE!</v>
      </c>
      <c r="U137" t="e">
        <f>AND('Planilla_General_07-12-2012_8_3'!C2050,"AAAAADO/XxQ=")</f>
        <v>#VALUE!</v>
      </c>
      <c r="V137" t="e">
        <f>AND('Planilla_General_07-12-2012_8_3'!D2050,"AAAAADO/XxU=")</f>
        <v>#VALUE!</v>
      </c>
      <c r="W137" t="e">
        <f>AND('Planilla_General_07-12-2012_8_3'!E2050,"AAAAADO/XxY=")</f>
        <v>#VALUE!</v>
      </c>
      <c r="X137" t="e">
        <f>AND('Planilla_General_07-12-2012_8_3'!F2050,"AAAAADO/Xxc=")</f>
        <v>#VALUE!</v>
      </c>
      <c r="Y137" t="e">
        <f>AND('Planilla_General_07-12-2012_8_3'!G2050,"AAAAADO/Xxg=")</f>
        <v>#VALUE!</v>
      </c>
      <c r="Z137" t="e">
        <f>AND('Planilla_General_07-12-2012_8_3'!H2050,"AAAAADO/Xxk=")</f>
        <v>#VALUE!</v>
      </c>
      <c r="AA137" t="e">
        <f>AND('Planilla_General_07-12-2012_8_3'!I2050,"AAAAADO/Xxo=")</f>
        <v>#VALUE!</v>
      </c>
      <c r="AB137" t="e">
        <f>AND('Planilla_General_07-12-2012_8_3'!J2050,"AAAAADO/Xxs=")</f>
        <v>#VALUE!</v>
      </c>
      <c r="AC137" t="e">
        <f>AND('Planilla_General_07-12-2012_8_3'!K2050,"AAAAADO/Xxw=")</f>
        <v>#VALUE!</v>
      </c>
      <c r="AD137" t="e">
        <f>AND('Planilla_General_07-12-2012_8_3'!L2050,"AAAAADO/Xx0=")</f>
        <v>#VALUE!</v>
      </c>
      <c r="AE137" t="e">
        <f>AND('Planilla_General_07-12-2012_8_3'!M2050,"AAAAADO/Xx4=")</f>
        <v>#VALUE!</v>
      </c>
      <c r="AF137" t="e">
        <f>AND('Planilla_General_07-12-2012_8_3'!N2050,"AAAAADO/Xx8=")</f>
        <v>#VALUE!</v>
      </c>
      <c r="AG137" t="e">
        <f>AND('Planilla_General_07-12-2012_8_3'!O2050,"AAAAADO/XyA=")</f>
        <v>#VALUE!</v>
      </c>
      <c r="AH137" t="e">
        <f>AND('Planilla_General_07-12-2012_8_3'!P2050,"AAAAADO/XyE=")</f>
        <v>#VALUE!</v>
      </c>
      <c r="AI137">
        <f>IF('Planilla_General_07-12-2012_8_3'!2051:2051,"AAAAADO/XyI=",0)</f>
        <v>0</v>
      </c>
      <c r="AJ137" t="e">
        <f>AND('Planilla_General_07-12-2012_8_3'!A2051,"AAAAADO/XyM=")</f>
        <v>#VALUE!</v>
      </c>
      <c r="AK137" t="e">
        <f>AND('Planilla_General_07-12-2012_8_3'!B2051,"AAAAADO/XyQ=")</f>
        <v>#VALUE!</v>
      </c>
      <c r="AL137" t="e">
        <f>AND('Planilla_General_07-12-2012_8_3'!C2051,"AAAAADO/XyU=")</f>
        <v>#VALUE!</v>
      </c>
      <c r="AM137" t="e">
        <f>AND('Planilla_General_07-12-2012_8_3'!D2051,"AAAAADO/XyY=")</f>
        <v>#VALUE!</v>
      </c>
      <c r="AN137" t="e">
        <f>AND('Planilla_General_07-12-2012_8_3'!E2051,"AAAAADO/Xyc=")</f>
        <v>#VALUE!</v>
      </c>
      <c r="AO137" t="e">
        <f>AND('Planilla_General_07-12-2012_8_3'!F2051,"AAAAADO/Xyg=")</f>
        <v>#VALUE!</v>
      </c>
      <c r="AP137" t="e">
        <f>AND('Planilla_General_07-12-2012_8_3'!G2051,"AAAAADO/Xyk=")</f>
        <v>#VALUE!</v>
      </c>
      <c r="AQ137" t="e">
        <f>AND('Planilla_General_07-12-2012_8_3'!H2051,"AAAAADO/Xyo=")</f>
        <v>#VALUE!</v>
      </c>
      <c r="AR137" t="e">
        <f>AND('Planilla_General_07-12-2012_8_3'!I2051,"AAAAADO/Xys=")</f>
        <v>#VALUE!</v>
      </c>
      <c r="AS137" t="e">
        <f>AND('Planilla_General_07-12-2012_8_3'!J2051,"AAAAADO/Xyw=")</f>
        <v>#VALUE!</v>
      </c>
      <c r="AT137" t="e">
        <f>AND('Planilla_General_07-12-2012_8_3'!K2051,"AAAAADO/Xy0=")</f>
        <v>#VALUE!</v>
      </c>
      <c r="AU137" t="e">
        <f>AND('Planilla_General_07-12-2012_8_3'!L2051,"AAAAADO/Xy4=")</f>
        <v>#VALUE!</v>
      </c>
      <c r="AV137" t="e">
        <f>AND('Planilla_General_07-12-2012_8_3'!M2051,"AAAAADO/Xy8=")</f>
        <v>#VALUE!</v>
      </c>
      <c r="AW137" t="e">
        <f>AND('Planilla_General_07-12-2012_8_3'!N2051,"AAAAADO/XzA=")</f>
        <v>#VALUE!</v>
      </c>
      <c r="AX137" t="e">
        <f>AND('Planilla_General_07-12-2012_8_3'!O2051,"AAAAADO/XzE=")</f>
        <v>#VALUE!</v>
      </c>
      <c r="AY137" t="e">
        <f>AND('Planilla_General_07-12-2012_8_3'!P2051,"AAAAADO/XzI=")</f>
        <v>#VALUE!</v>
      </c>
      <c r="AZ137">
        <f>IF('Planilla_General_07-12-2012_8_3'!2052:2052,"AAAAADO/XzM=",0)</f>
        <v>0</v>
      </c>
      <c r="BA137" t="e">
        <f>AND('Planilla_General_07-12-2012_8_3'!A2052,"AAAAADO/XzQ=")</f>
        <v>#VALUE!</v>
      </c>
      <c r="BB137" t="e">
        <f>AND('Planilla_General_07-12-2012_8_3'!B2052,"AAAAADO/XzU=")</f>
        <v>#VALUE!</v>
      </c>
      <c r="BC137" t="e">
        <f>AND('Planilla_General_07-12-2012_8_3'!C2052,"AAAAADO/XzY=")</f>
        <v>#VALUE!</v>
      </c>
      <c r="BD137" t="e">
        <f>AND('Planilla_General_07-12-2012_8_3'!D2052,"AAAAADO/Xzc=")</f>
        <v>#VALUE!</v>
      </c>
      <c r="BE137" t="e">
        <f>AND('Planilla_General_07-12-2012_8_3'!E2052,"AAAAADO/Xzg=")</f>
        <v>#VALUE!</v>
      </c>
      <c r="BF137" t="e">
        <f>AND('Planilla_General_07-12-2012_8_3'!F2052,"AAAAADO/Xzk=")</f>
        <v>#VALUE!</v>
      </c>
      <c r="BG137" t="e">
        <f>AND('Planilla_General_07-12-2012_8_3'!G2052,"AAAAADO/Xzo=")</f>
        <v>#VALUE!</v>
      </c>
      <c r="BH137" t="e">
        <f>AND('Planilla_General_07-12-2012_8_3'!H2052,"AAAAADO/Xzs=")</f>
        <v>#VALUE!</v>
      </c>
      <c r="BI137" t="e">
        <f>AND('Planilla_General_07-12-2012_8_3'!I2052,"AAAAADO/Xzw=")</f>
        <v>#VALUE!</v>
      </c>
      <c r="BJ137" t="e">
        <f>AND('Planilla_General_07-12-2012_8_3'!J2052,"AAAAADO/Xz0=")</f>
        <v>#VALUE!</v>
      </c>
      <c r="BK137" t="e">
        <f>AND('Planilla_General_07-12-2012_8_3'!K2052,"AAAAADO/Xz4=")</f>
        <v>#VALUE!</v>
      </c>
      <c r="BL137" t="e">
        <f>AND('Planilla_General_07-12-2012_8_3'!L2052,"AAAAADO/Xz8=")</f>
        <v>#VALUE!</v>
      </c>
      <c r="BM137" t="e">
        <f>AND('Planilla_General_07-12-2012_8_3'!M2052,"AAAAADO/X0A=")</f>
        <v>#VALUE!</v>
      </c>
      <c r="BN137" t="e">
        <f>AND('Planilla_General_07-12-2012_8_3'!N2052,"AAAAADO/X0E=")</f>
        <v>#VALUE!</v>
      </c>
      <c r="BO137" t="e">
        <f>AND('Planilla_General_07-12-2012_8_3'!O2052,"AAAAADO/X0I=")</f>
        <v>#VALUE!</v>
      </c>
      <c r="BP137" t="e">
        <f>AND('Planilla_General_07-12-2012_8_3'!P2052,"AAAAADO/X0M=")</f>
        <v>#VALUE!</v>
      </c>
      <c r="BQ137">
        <f>IF('Planilla_General_07-12-2012_8_3'!2053:2053,"AAAAADO/X0Q=",0)</f>
        <v>0</v>
      </c>
      <c r="BR137" t="e">
        <f>AND('Planilla_General_07-12-2012_8_3'!A2053,"AAAAADO/X0U=")</f>
        <v>#VALUE!</v>
      </c>
      <c r="BS137" t="e">
        <f>AND('Planilla_General_07-12-2012_8_3'!B2053,"AAAAADO/X0Y=")</f>
        <v>#VALUE!</v>
      </c>
      <c r="BT137" t="e">
        <f>AND('Planilla_General_07-12-2012_8_3'!C2053,"AAAAADO/X0c=")</f>
        <v>#VALUE!</v>
      </c>
      <c r="BU137" t="e">
        <f>AND('Planilla_General_07-12-2012_8_3'!D2053,"AAAAADO/X0g=")</f>
        <v>#VALUE!</v>
      </c>
      <c r="BV137" t="e">
        <f>AND('Planilla_General_07-12-2012_8_3'!E2053,"AAAAADO/X0k=")</f>
        <v>#VALUE!</v>
      </c>
      <c r="BW137" t="e">
        <f>AND('Planilla_General_07-12-2012_8_3'!F2053,"AAAAADO/X0o=")</f>
        <v>#VALUE!</v>
      </c>
      <c r="BX137" t="e">
        <f>AND('Planilla_General_07-12-2012_8_3'!G2053,"AAAAADO/X0s=")</f>
        <v>#VALUE!</v>
      </c>
      <c r="BY137" t="e">
        <f>AND('Planilla_General_07-12-2012_8_3'!H2053,"AAAAADO/X0w=")</f>
        <v>#VALUE!</v>
      </c>
      <c r="BZ137" t="e">
        <f>AND('Planilla_General_07-12-2012_8_3'!I2053,"AAAAADO/X00=")</f>
        <v>#VALUE!</v>
      </c>
      <c r="CA137" t="e">
        <f>AND('Planilla_General_07-12-2012_8_3'!J2053,"AAAAADO/X04=")</f>
        <v>#VALUE!</v>
      </c>
      <c r="CB137" t="e">
        <f>AND('Planilla_General_07-12-2012_8_3'!K2053,"AAAAADO/X08=")</f>
        <v>#VALUE!</v>
      </c>
      <c r="CC137" t="e">
        <f>AND('Planilla_General_07-12-2012_8_3'!L2053,"AAAAADO/X1A=")</f>
        <v>#VALUE!</v>
      </c>
      <c r="CD137" t="e">
        <f>AND('Planilla_General_07-12-2012_8_3'!M2053,"AAAAADO/X1E=")</f>
        <v>#VALUE!</v>
      </c>
      <c r="CE137" t="e">
        <f>AND('Planilla_General_07-12-2012_8_3'!N2053,"AAAAADO/X1I=")</f>
        <v>#VALUE!</v>
      </c>
      <c r="CF137" t="e">
        <f>AND('Planilla_General_07-12-2012_8_3'!O2053,"AAAAADO/X1M=")</f>
        <v>#VALUE!</v>
      </c>
      <c r="CG137" t="e">
        <f>AND('Planilla_General_07-12-2012_8_3'!P2053,"AAAAADO/X1Q=")</f>
        <v>#VALUE!</v>
      </c>
      <c r="CH137">
        <f>IF('Planilla_General_07-12-2012_8_3'!2054:2054,"AAAAADO/X1U=",0)</f>
        <v>0</v>
      </c>
      <c r="CI137" t="e">
        <f>AND('Planilla_General_07-12-2012_8_3'!A2054,"AAAAADO/X1Y=")</f>
        <v>#VALUE!</v>
      </c>
      <c r="CJ137" t="e">
        <f>AND('Planilla_General_07-12-2012_8_3'!B2054,"AAAAADO/X1c=")</f>
        <v>#VALUE!</v>
      </c>
      <c r="CK137" t="e">
        <f>AND('Planilla_General_07-12-2012_8_3'!C2054,"AAAAADO/X1g=")</f>
        <v>#VALUE!</v>
      </c>
      <c r="CL137" t="e">
        <f>AND('Planilla_General_07-12-2012_8_3'!D2054,"AAAAADO/X1k=")</f>
        <v>#VALUE!</v>
      </c>
      <c r="CM137" t="e">
        <f>AND('Planilla_General_07-12-2012_8_3'!E2054,"AAAAADO/X1o=")</f>
        <v>#VALUE!</v>
      </c>
      <c r="CN137" t="e">
        <f>AND('Planilla_General_07-12-2012_8_3'!F2054,"AAAAADO/X1s=")</f>
        <v>#VALUE!</v>
      </c>
      <c r="CO137" t="e">
        <f>AND('Planilla_General_07-12-2012_8_3'!G2054,"AAAAADO/X1w=")</f>
        <v>#VALUE!</v>
      </c>
      <c r="CP137" t="e">
        <f>AND('Planilla_General_07-12-2012_8_3'!H2054,"AAAAADO/X10=")</f>
        <v>#VALUE!</v>
      </c>
      <c r="CQ137" t="e">
        <f>AND('Planilla_General_07-12-2012_8_3'!I2054,"AAAAADO/X14=")</f>
        <v>#VALUE!</v>
      </c>
      <c r="CR137" t="e">
        <f>AND('Planilla_General_07-12-2012_8_3'!J2054,"AAAAADO/X18=")</f>
        <v>#VALUE!</v>
      </c>
      <c r="CS137" t="e">
        <f>AND('Planilla_General_07-12-2012_8_3'!K2054,"AAAAADO/X2A=")</f>
        <v>#VALUE!</v>
      </c>
      <c r="CT137" t="e">
        <f>AND('Planilla_General_07-12-2012_8_3'!L2054,"AAAAADO/X2E=")</f>
        <v>#VALUE!</v>
      </c>
      <c r="CU137" t="e">
        <f>AND('Planilla_General_07-12-2012_8_3'!M2054,"AAAAADO/X2I=")</f>
        <v>#VALUE!</v>
      </c>
      <c r="CV137" t="e">
        <f>AND('Planilla_General_07-12-2012_8_3'!N2054,"AAAAADO/X2M=")</f>
        <v>#VALUE!</v>
      </c>
      <c r="CW137" t="e">
        <f>AND('Planilla_General_07-12-2012_8_3'!O2054,"AAAAADO/X2Q=")</f>
        <v>#VALUE!</v>
      </c>
      <c r="CX137" t="e">
        <f>AND('Planilla_General_07-12-2012_8_3'!P2054,"AAAAADO/X2U=")</f>
        <v>#VALUE!</v>
      </c>
      <c r="CY137">
        <f>IF('Planilla_General_07-12-2012_8_3'!2055:2055,"AAAAADO/X2Y=",0)</f>
        <v>0</v>
      </c>
      <c r="CZ137" t="e">
        <f>AND('Planilla_General_07-12-2012_8_3'!A2055,"AAAAADO/X2c=")</f>
        <v>#VALUE!</v>
      </c>
      <c r="DA137" t="e">
        <f>AND('Planilla_General_07-12-2012_8_3'!B2055,"AAAAADO/X2g=")</f>
        <v>#VALUE!</v>
      </c>
      <c r="DB137" t="e">
        <f>AND('Planilla_General_07-12-2012_8_3'!C2055,"AAAAADO/X2k=")</f>
        <v>#VALUE!</v>
      </c>
      <c r="DC137" t="e">
        <f>AND('Planilla_General_07-12-2012_8_3'!D2055,"AAAAADO/X2o=")</f>
        <v>#VALUE!</v>
      </c>
      <c r="DD137" t="e">
        <f>AND('Planilla_General_07-12-2012_8_3'!E2055,"AAAAADO/X2s=")</f>
        <v>#VALUE!</v>
      </c>
      <c r="DE137" t="e">
        <f>AND('Planilla_General_07-12-2012_8_3'!F2055,"AAAAADO/X2w=")</f>
        <v>#VALUE!</v>
      </c>
      <c r="DF137" t="e">
        <f>AND('Planilla_General_07-12-2012_8_3'!G2055,"AAAAADO/X20=")</f>
        <v>#VALUE!</v>
      </c>
      <c r="DG137" t="e">
        <f>AND('Planilla_General_07-12-2012_8_3'!H2055,"AAAAADO/X24=")</f>
        <v>#VALUE!</v>
      </c>
      <c r="DH137" t="e">
        <f>AND('Planilla_General_07-12-2012_8_3'!I2055,"AAAAADO/X28=")</f>
        <v>#VALUE!</v>
      </c>
      <c r="DI137" t="e">
        <f>AND('Planilla_General_07-12-2012_8_3'!J2055,"AAAAADO/X3A=")</f>
        <v>#VALUE!</v>
      </c>
      <c r="DJ137" t="e">
        <f>AND('Planilla_General_07-12-2012_8_3'!K2055,"AAAAADO/X3E=")</f>
        <v>#VALUE!</v>
      </c>
      <c r="DK137" t="e">
        <f>AND('Planilla_General_07-12-2012_8_3'!L2055,"AAAAADO/X3I=")</f>
        <v>#VALUE!</v>
      </c>
      <c r="DL137" t="e">
        <f>AND('Planilla_General_07-12-2012_8_3'!M2055,"AAAAADO/X3M=")</f>
        <v>#VALUE!</v>
      </c>
      <c r="DM137" t="e">
        <f>AND('Planilla_General_07-12-2012_8_3'!N2055,"AAAAADO/X3Q=")</f>
        <v>#VALUE!</v>
      </c>
      <c r="DN137" t="e">
        <f>AND('Planilla_General_07-12-2012_8_3'!O2055,"AAAAADO/X3U=")</f>
        <v>#VALUE!</v>
      </c>
      <c r="DO137" t="e">
        <f>AND('Planilla_General_07-12-2012_8_3'!P2055,"AAAAADO/X3Y=")</f>
        <v>#VALUE!</v>
      </c>
      <c r="DP137">
        <f>IF('Planilla_General_07-12-2012_8_3'!2056:2056,"AAAAADO/X3c=",0)</f>
        <v>0</v>
      </c>
      <c r="DQ137" t="e">
        <f>AND('Planilla_General_07-12-2012_8_3'!A2056,"AAAAADO/X3g=")</f>
        <v>#VALUE!</v>
      </c>
      <c r="DR137" t="e">
        <f>AND('Planilla_General_07-12-2012_8_3'!B2056,"AAAAADO/X3k=")</f>
        <v>#VALUE!</v>
      </c>
      <c r="DS137" t="e">
        <f>AND('Planilla_General_07-12-2012_8_3'!C2056,"AAAAADO/X3o=")</f>
        <v>#VALUE!</v>
      </c>
      <c r="DT137" t="e">
        <f>AND('Planilla_General_07-12-2012_8_3'!D2056,"AAAAADO/X3s=")</f>
        <v>#VALUE!</v>
      </c>
      <c r="DU137" t="e">
        <f>AND('Planilla_General_07-12-2012_8_3'!E2056,"AAAAADO/X3w=")</f>
        <v>#VALUE!</v>
      </c>
      <c r="DV137" t="e">
        <f>AND('Planilla_General_07-12-2012_8_3'!F2056,"AAAAADO/X30=")</f>
        <v>#VALUE!</v>
      </c>
      <c r="DW137" t="e">
        <f>AND('Planilla_General_07-12-2012_8_3'!G2056,"AAAAADO/X34=")</f>
        <v>#VALUE!</v>
      </c>
      <c r="DX137" t="e">
        <f>AND('Planilla_General_07-12-2012_8_3'!H2056,"AAAAADO/X38=")</f>
        <v>#VALUE!</v>
      </c>
      <c r="DY137" t="e">
        <f>AND('Planilla_General_07-12-2012_8_3'!I2056,"AAAAADO/X4A=")</f>
        <v>#VALUE!</v>
      </c>
      <c r="DZ137" t="e">
        <f>AND('Planilla_General_07-12-2012_8_3'!J2056,"AAAAADO/X4E=")</f>
        <v>#VALUE!</v>
      </c>
      <c r="EA137" t="e">
        <f>AND('Planilla_General_07-12-2012_8_3'!K2056,"AAAAADO/X4I=")</f>
        <v>#VALUE!</v>
      </c>
      <c r="EB137" t="e">
        <f>AND('Planilla_General_07-12-2012_8_3'!L2056,"AAAAADO/X4M=")</f>
        <v>#VALUE!</v>
      </c>
      <c r="EC137" t="e">
        <f>AND('Planilla_General_07-12-2012_8_3'!M2056,"AAAAADO/X4Q=")</f>
        <v>#VALUE!</v>
      </c>
      <c r="ED137" t="e">
        <f>AND('Planilla_General_07-12-2012_8_3'!N2056,"AAAAADO/X4U=")</f>
        <v>#VALUE!</v>
      </c>
      <c r="EE137" t="e">
        <f>AND('Planilla_General_07-12-2012_8_3'!O2056,"AAAAADO/X4Y=")</f>
        <v>#VALUE!</v>
      </c>
      <c r="EF137" t="e">
        <f>AND('Planilla_General_07-12-2012_8_3'!P2056,"AAAAADO/X4c=")</f>
        <v>#VALUE!</v>
      </c>
      <c r="EG137">
        <f>IF('Planilla_General_07-12-2012_8_3'!2057:2057,"AAAAADO/X4g=",0)</f>
        <v>0</v>
      </c>
      <c r="EH137" t="e">
        <f>AND('Planilla_General_07-12-2012_8_3'!A2057,"AAAAADO/X4k=")</f>
        <v>#VALUE!</v>
      </c>
      <c r="EI137" t="e">
        <f>AND('Planilla_General_07-12-2012_8_3'!B2057,"AAAAADO/X4o=")</f>
        <v>#VALUE!</v>
      </c>
      <c r="EJ137" t="e">
        <f>AND('Planilla_General_07-12-2012_8_3'!C2057,"AAAAADO/X4s=")</f>
        <v>#VALUE!</v>
      </c>
      <c r="EK137" t="e">
        <f>AND('Planilla_General_07-12-2012_8_3'!D2057,"AAAAADO/X4w=")</f>
        <v>#VALUE!</v>
      </c>
      <c r="EL137" t="e">
        <f>AND('Planilla_General_07-12-2012_8_3'!E2057,"AAAAADO/X40=")</f>
        <v>#VALUE!</v>
      </c>
      <c r="EM137" t="e">
        <f>AND('Planilla_General_07-12-2012_8_3'!F2057,"AAAAADO/X44=")</f>
        <v>#VALUE!</v>
      </c>
      <c r="EN137" t="e">
        <f>AND('Planilla_General_07-12-2012_8_3'!G2057,"AAAAADO/X48=")</f>
        <v>#VALUE!</v>
      </c>
      <c r="EO137" t="e">
        <f>AND('Planilla_General_07-12-2012_8_3'!H2057,"AAAAADO/X5A=")</f>
        <v>#VALUE!</v>
      </c>
      <c r="EP137" t="e">
        <f>AND('Planilla_General_07-12-2012_8_3'!I2057,"AAAAADO/X5E=")</f>
        <v>#VALUE!</v>
      </c>
      <c r="EQ137" t="e">
        <f>AND('Planilla_General_07-12-2012_8_3'!J2057,"AAAAADO/X5I=")</f>
        <v>#VALUE!</v>
      </c>
      <c r="ER137" t="e">
        <f>AND('Planilla_General_07-12-2012_8_3'!K2057,"AAAAADO/X5M=")</f>
        <v>#VALUE!</v>
      </c>
      <c r="ES137" t="e">
        <f>AND('Planilla_General_07-12-2012_8_3'!L2057,"AAAAADO/X5Q=")</f>
        <v>#VALUE!</v>
      </c>
      <c r="ET137" t="e">
        <f>AND('Planilla_General_07-12-2012_8_3'!M2057,"AAAAADO/X5U=")</f>
        <v>#VALUE!</v>
      </c>
      <c r="EU137" t="e">
        <f>AND('Planilla_General_07-12-2012_8_3'!N2057,"AAAAADO/X5Y=")</f>
        <v>#VALUE!</v>
      </c>
      <c r="EV137" t="e">
        <f>AND('Planilla_General_07-12-2012_8_3'!O2057,"AAAAADO/X5c=")</f>
        <v>#VALUE!</v>
      </c>
      <c r="EW137" t="e">
        <f>AND('Planilla_General_07-12-2012_8_3'!P2057,"AAAAADO/X5g=")</f>
        <v>#VALUE!</v>
      </c>
      <c r="EX137">
        <f>IF('Planilla_General_07-12-2012_8_3'!2058:2058,"AAAAADO/X5k=",0)</f>
        <v>0</v>
      </c>
      <c r="EY137" t="e">
        <f>AND('Planilla_General_07-12-2012_8_3'!A2058,"AAAAADO/X5o=")</f>
        <v>#VALUE!</v>
      </c>
      <c r="EZ137" t="e">
        <f>AND('Planilla_General_07-12-2012_8_3'!B2058,"AAAAADO/X5s=")</f>
        <v>#VALUE!</v>
      </c>
      <c r="FA137" t="e">
        <f>AND('Planilla_General_07-12-2012_8_3'!C2058,"AAAAADO/X5w=")</f>
        <v>#VALUE!</v>
      </c>
      <c r="FB137" t="e">
        <f>AND('Planilla_General_07-12-2012_8_3'!D2058,"AAAAADO/X50=")</f>
        <v>#VALUE!</v>
      </c>
      <c r="FC137" t="e">
        <f>AND('Planilla_General_07-12-2012_8_3'!E2058,"AAAAADO/X54=")</f>
        <v>#VALUE!</v>
      </c>
      <c r="FD137" t="e">
        <f>AND('Planilla_General_07-12-2012_8_3'!F2058,"AAAAADO/X58=")</f>
        <v>#VALUE!</v>
      </c>
      <c r="FE137" t="e">
        <f>AND('Planilla_General_07-12-2012_8_3'!G2058,"AAAAADO/X6A=")</f>
        <v>#VALUE!</v>
      </c>
      <c r="FF137" t="e">
        <f>AND('Planilla_General_07-12-2012_8_3'!H2058,"AAAAADO/X6E=")</f>
        <v>#VALUE!</v>
      </c>
      <c r="FG137" t="e">
        <f>AND('Planilla_General_07-12-2012_8_3'!I2058,"AAAAADO/X6I=")</f>
        <v>#VALUE!</v>
      </c>
      <c r="FH137" t="e">
        <f>AND('Planilla_General_07-12-2012_8_3'!J2058,"AAAAADO/X6M=")</f>
        <v>#VALUE!</v>
      </c>
      <c r="FI137" t="e">
        <f>AND('Planilla_General_07-12-2012_8_3'!K2058,"AAAAADO/X6Q=")</f>
        <v>#VALUE!</v>
      </c>
      <c r="FJ137" t="e">
        <f>AND('Planilla_General_07-12-2012_8_3'!L2058,"AAAAADO/X6U=")</f>
        <v>#VALUE!</v>
      </c>
      <c r="FK137" t="e">
        <f>AND('Planilla_General_07-12-2012_8_3'!M2058,"AAAAADO/X6Y=")</f>
        <v>#VALUE!</v>
      </c>
      <c r="FL137" t="e">
        <f>AND('Planilla_General_07-12-2012_8_3'!N2058,"AAAAADO/X6c=")</f>
        <v>#VALUE!</v>
      </c>
      <c r="FM137" t="e">
        <f>AND('Planilla_General_07-12-2012_8_3'!O2058,"AAAAADO/X6g=")</f>
        <v>#VALUE!</v>
      </c>
      <c r="FN137" t="e">
        <f>AND('Planilla_General_07-12-2012_8_3'!P2058,"AAAAADO/X6k=")</f>
        <v>#VALUE!</v>
      </c>
      <c r="FO137">
        <f>IF('Planilla_General_07-12-2012_8_3'!2059:2059,"AAAAADO/X6o=",0)</f>
        <v>0</v>
      </c>
      <c r="FP137" t="e">
        <f>AND('Planilla_General_07-12-2012_8_3'!A2059,"AAAAADO/X6s=")</f>
        <v>#VALUE!</v>
      </c>
      <c r="FQ137" t="e">
        <f>AND('Planilla_General_07-12-2012_8_3'!B2059,"AAAAADO/X6w=")</f>
        <v>#VALUE!</v>
      </c>
      <c r="FR137" t="e">
        <f>AND('Planilla_General_07-12-2012_8_3'!C2059,"AAAAADO/X60=")</f>
        <v>#VALUE!</v>
      </c>
      <c r="FS137" t="e">
        <f>AND('Planilla_General_07-12-2012_8_3'!D2059,"AAAAADO/X64=")</f>
        <v>#VALUE!</v>
      </c>
      <c r="FT137" t="e">
        <f>AND('Planilla_General_07-12-2012_8_3'!E2059,"AAAAADO/X68=")</f>
        <v>#VALUE!</v>
      </c>
      <c r="FU137" t="e">
        <f>AND('Planilla_General_07-12-2012_8_3'!F2059,"AAAAADO/X7A=")</f>
        <v>#VALUE!</v>
      </c>
      <c r="FV137" t="e">
        <f>AND('Planilla_General_07-12-2012_8_3'!G2059,"AAAAADO/X7E=")</f>
        <v>#VALUE!</v>
      </c>
      <c r="FW137" t="e">
        <f>AND('Planilla_General_07-12-2012_8_3'!H2059,"AAAAADO/X7I=")</f>
        <v>#VALUE!</v>
      </c>
      <c r="FX137" t="e">
        <f>AND('Planilla_General_07-12-2012_8_3'!I2059,"AAAAADO/X7M=")</f>
        <v>#VALUE!</v>
      </c>
      <c r="FY137" t="e">
        <f>AND('Planilla_General_07-12-2012_8_3'!J2059,"AAAAADO/X7Q=")</f>
        <v>#VALUE!</v>
      </c>
      <c r="FZ137" t="e">
        <f>AND('Planilla_General_07-12-2012_8_3'!K2059,"AAAAADO/X7U=")</f>
        <v>#VALUE!</v>
      </c>
      <c r="GA137" t="e">
        <f>AND('Planilla_General_07-12-2012_8_3'!L2059,"AAAAADO/X7Y=")</f>
        <v>#VALUE!</v>
      </c>
      <c r="GB137" t="e">
        <f>AND('Planilla_General_07-12-2012_8_3'!M2059,"AAAAADO/X7c=")</f>
        <v>#VALUE!</v>
      </c>
      <c r="GC137" t="e">
        <f>AND('Planilla_General_07-12-2012_8_3'!N2059,"AAAAADO/X7g=")</f>
        <v>#VALUE!</v>
      </c>
      <c r="GD137" t="e">
        <f>AND('Planilla_General_07-12-2012_8_3'!O2059,"AAAAADO/X7k=")</f>
        <v>#VALUE!</v>
      </c>
      <c r="GE137" t="e">
        <f>AND('Planilla_General_07-12-2012_8_3'!P2059,"AAAAADO/X7o=")</f>
        <v>#VALUE!</v>
      </c>
      <c r="GF137">
        <f>IF('Planilla_General_07-12-2012_8_3'!2060:2060,"AAAAADO/X7s=",0)</f>
        <v>0</v>
      </c>
      <c r="GG137" t="e">
        <f>AND('Planilla_General_07-12-2012_8_3'!A2060,"AAAAADO/X7w=")</f>
        <v>#VALUE!</v>
      </c>
      <c r="GH137" t="e">
        <f>AND('Planilla_General_07-12-2012_8_3'!B2060,"AAAAADO/X70=")</f>
        <v>#VALUE!</v>
      </c>
      <c r="GI137" t="e">
        <f>AND('Planilla_General_07-12-2012_8_3'!C2060,"AAAAADO/X74=")</f>
        <v>#VALUE!</v>
      </c>
      <c r="GJ137" t="e">
        <f>AND('Planilla_General_07-12-2012_8_3'!D2060,"AAAAADO/X78=")</f>
        <v>#VALUE!</v>
      </c>
      <c r="GK137" t="e">
        <f>AND('Planilla_General_07-12-2012_8_3'!E2060,"AAAAADO/X8A=")</f>
        <v>#VALUE!</v>
      </c>
      <c r="GL137" t="e">
        <f>AND('Planilla_General_07-12-2012_8_3'!F2060,"AAAAADO/X8E=")</f>
        <v>#VALUE!</v>
      </c>
      <c r="GM137" t="e">
        <f>AND('Planilla_General_07-12-2012_8_3'!G2060,"AAAAADO/X8I=")</f>
        <v>#VALUE!</v>
      </c>
      <c r="GN137" t="e">
        <f>AND('Planilla_General_07-12-2012_8_3'!H2060,"AAAAADO/X8M=")</f>
        <v>#VALUE!</v>
      </c>
      <c r="GO137" t="e">
        <f>AND('Planilla_General_07-12-2012_8_3'!I2060,"AAAAADO/X8Q=")</f>
        <v>#VALUE!</v>
      </c>
      <c r="GP137" t="e">
        <f>AND('Planilla_General_07-12-2012_8_3'!J2060,"AAAAADO/X8U=")</f>
        <v>#VALUE!</v>
      </c>
      <c r="GQ137" t="e">
        <f>AND('Planilla_General_07-12-2012_8_3'!K2060,"AAAAADO/X8Y=")</f>
        <v>#VALUE!</v>
      </c>
      <c r="GR137" t="e">
        <f>AND('Planilla_General_07-12-2012_8_3'!L2060,"AAAAADO/X8c=")</f>
        <v>#VALUE!</v>
      </c>
      <c r="GS137" t="e">
        <f>AND('Planilla_General_07-12-2012_8_3'!M2060,"AAAAADO/X8g=")</f>
        <v>#VALUE!</v>
      </c>
      <c r="GT137" t="e">
        <f>AND('Planilla_General_07-12-2012_8_3'!N2060,"AAAAADO/X8k=")</f>
        <v>#VALUE!</v>
      </c>
      <c r="GU137" t="e">
        <f>AND('Planilla_General_07-12-2012_8_3'!O2060,"AAAAADO/X8o=")</f>
        <v>#VALUE!</v>
      </c>
      <c r="GV137" t="e">
        <f>AND('Planilla_General_07-12-2012_8_3'!P2060,"AAAAADO/X8s=")</f>
        <v>#VALUE!</v>
      </c>
      <c r="GW137">
        <f>IF('Planilla_General_07-12-2012_8_3'!2061:2061,"AAAAADO/X8w=",0)</f>
        <v>0</v>
      </c>
      <c r="GX137" t="e">
        <f>AND('Planilla_General_07-12-2012_8_3'!A2061,"AAAAADO/X80=")</f>
        <v>#VALUE!</v>
      </c>
      <c r="GY137" t="e">
        <f>AND('Planilla_General_07-12-2012_8_3'!B2061,"AAAAADO/X84=")</f>
        <v>#VALUE!</v>
      </c>
      <c r="GZ137" t="e">
        <f>AND('Planilla_General_07-12-2012_8_3'!C2061,"AAAAADO/X88=")</f>
        <v>#VALUE!</v>
      </c>
      <c r="HA137" t="e">
        <f>AND('Planilla_General_07-12-2012_8_3'!D2061,"AAAAADO/X9A=")</f>
        <v>#VALUE!</v>
      </c>
      <c r="HB137" t="e">
        <f>AND('Planilla_General_07-12-2012_8_3'!E2061,"AAAAADO/X9E=")</f>
        <v>#VALUE!</v>
      </c>
      <c r="HC137" t="e">
        <f>AND('Planilla_General_07-12-2012_8_3'!F2061,"AAAAADO/X9I=")</f>
        <v>#VALUE!</v>
      </c>
      <c r="HD137" t="e">
        <f>AND('Planilla_General_07-12-2012_8_3'!G2061,"AAAAADO/X9M=")</f>
        <v>#VALUE!</v>
      </c>
      <c r="HE137" t="e">
        <f>AND('Planilla_General_07-12-2012_8_3'!H2061,"AAAAADO/X9Q=")</f>
        <v>#VALUE!</v>
      </c>
      <c r="HF137" t="e">
        <f>AND('Planilla_General_07-12-2012_8_3'!I2061,"AAAAADO/X9U=")</f>
        <v>#VALUE!</v>
      </c>
      <c r="HG137" t="e">
        <f>AND('Planilla_General_07-12-2012_8_3'!J2061,"AAAAADO/X9Y=")</f>
        <v>#VALUE!</v>
      </c>
      <c r="HH137" t="e">
        <f>AND('Planilla_General_07-12-2012_8_3'!K2061,"AAAAADO/X9c=")</f>
        <v>#VALUE!</v>
      </c>
      <c r="HI137" t="e">
        <f>AND('Planilla_General_07-12-2012_8_3'!L2061,"AAAAADO/X9g=")</f>
        <v>#VALUE!</v>
      </c>
      <c r="HJ137" t="e">
        <f>AND('Planilla_General_07-12-2012_8_3'!M2061,"AAAAADO/X9k=")</f>
        <v>#VALUE!</v>
      </c>
      <c r="HK137" t="e">
        <f>AND('Planilla_General_07-12-2012_8_3'!N2061,"AAAAADO/X9o=")</f>
        <v>#VALUE!</v>
      </c>
      <c r="HL137" t="e">
        <f>AND('Planilla_General_07-12-2012_8_3'!O2061,"AAAAADO/X9s=")</f>
        <v>#VALUE!</v>
      </c>
      <c r="HM137" t="e">
        <f>AND('Planilla_General_07-12-2012_8_3'!P2061,"AAAAADO/X9w=")</f>
        <v>#VALUE!</v>
      </c>
      <c r="HN137">
        <f>IF('Planilla_General_07-12-2012_8_3'!2062:2062,"AAAAADO/X90=",0)</f>
        <v>0</v>
      </c>
      <c r="HO137" t="e">
        <f>AND('Planilla_General_07-12-2012_8_3'!A2062,"AAAAADO/X94=")</f>
        <v>#VALUE!</v>
      </c>
      <c r="HP137" t="e">
        <f>AND('Planilla_General_07-12-2012_8_3'!B2062,"AAAAADO/X98=")</f>
        <v>#VALUE!</v>
      </c>
      <c r="HQ137" t="e">
        <f>AND('Planilla_General_07-12-2012_8_3'!C2062,"AAAAADO/X+A=")</f>
        <v>#VALUE!</v>
      </c>
      <c r="HR137" t="e">
        <f>AND('Planilla_General_07-12-2012_8_3'!D2062,"AAAAADO/X+E=")</f>
        <v>#VALUE!</v>
      </c>
      <c r="HS137" t="e">
        <f>AND('Planilla_General_07-12-2012_8_3'!E2062,"AAAAADO/X+I=")</f>
        <v>#VALUE!</v>
      </c>
      <c r="HT137" t="e">
        <f>AND('Planilla_General_07-12-2012_8_3'!F2062,"AAAAADO/X+M=")</f>
        <v>#VALUE!</v>
      </c>
      <c r="HU137" t="e">
        <f>AND('Planilla_General_07-12-2012_8_3'!G2062,"AAAAADO/X+Q=")</f>
        <v>#VALUE!</v>
      </c>
      <c r="HV137" t="e">
        <f>AND('Planilla_General_07-12-2012_8_3'!H2062,"AAAAADO/X+U=")</f>
        <v>#VALUE!</v>
      </c>
      <c r="HW137" t="e">
        <f>AND('Planilla_General_07-12-2012_8_3'!I2062,"AAAAADO/X+Y=")</f>
        <v>#VALUE!</v>
      </c>
      <c r="HX137" t="e">
        <f>AND('Planilla_General_07-12-2012_8_3'!J2062,"AAAAADO/X+c=")</f>
        <v>#VALUE!</v>
      </c>
      <c r="HY137" t="e">
        <f>AND('Planilla_General_07-12-2012_8_3'!K2062,"AAAAADO/X+g=")</f>
        <v>#VALUE!</v>
      </c>
      <c r="HZ137" t="e">
        <f>AND('Planilla_General_07-12-2012_8_3'!L2062,"AAAAADO/X+k=")</f>
        <v>#VALUE!</v>
      </c>
      <c r="IA137" t="e">
        <f>AND('Planilla_General_07-12-2012_8_3'!M2062,"AAAAADO/X+o=")</f>
        <v>#VALUE!</v>
      </c>
      <c r="IB137" t="e">
        <f>AND('Planilla_General_07-12-2012_8_3'!N2062,"AAAAADO/X+s=")</f>
        <v>#VALUE!</v>
      </c>
      <c r="IC137" t="e">
        <f>AND('Planilla_General_07-12-2012_8_3'!O2062,"AAAAADO/X+w=")</f>
        <v>#VALUE!</v>
      </c>
      <c r="ID137" t="e">
        <f>AND('Planilla_General_07-12-2012_8_3'!P2062,"AAAAADO/X+0=")</f>
        <v>#VALUE!</v>
      </c>
      <c r="IE137">
        <f>IF('Planilla_General_07-12-2012_8_3'!2063:2063,"AAAAADO/X+4=",0)</f>
        <v>0</v>
      </c>
      <c r="IF137" t="e">
        <f>AND('Planilla_General_07-12-2012_8_3'!A2063,"AAAAADO/X+8=")</f>
        <v>#VALUE!</v>
      </c>
      <c r="IG137" t="e">
        <f>AND('Planilla_General_07-12-2012_8_3'!B2063,"AAAAADO/X/A=")</f>
        <v>#VALUE!</v>
      </c>
      <c r="IH137" t="e">
        <f>AND('Planilla_General_07-12-2012_8_3'!C2063,"AAAAADO/X/E=")</f>
        <v>#VALUE!</v>
      </c>
      <c r="II137" t="e">
        <f>AND('Planilla_General_07-12-2012_8_3'!D2063,"AAAAADO/X/I=")</f>
        <v>#VALUE!</v>
      </c>
      <c r="IJ137" t="e">
        <f>AND('Planilla_General_07-12-2012_8_3'!E2063,"AAAAADO/X/M=")</f>
        <v>#VALUE!</v>
      </c>
      <c r="IK137" t="e">
        <f>AND('Planilla_General_07-12-2012_8_3'!F2063,"AAAAADO/X/Q=")</f>
        <v>#VALUE!</v>
      </c>
      <c r="IL137" t="e">
        <f>AND('Planilla_General_07-12-2012_8_3'!G2063,"AAAAADO/X/U=")</f>
        <v>#VALUE!</v>
      </c>
      <c r="IM137" t="e">
        <f>AND('Planilla_General_07-12-2012_8_3'!H2063,"AAAAADO/X/Y=")</f>
        <v>#VALUE!</v>
      </c>
      <c r="IN137" t="e">
        <f>AND('Planilla_General_07-12-2012_8_3'!I2063,"AAAAADO/X/c=")</f>
        <v>#VALUE!</v>
      </c>
      <c r="IO137" t="e">
        <f>AND('Planilla_General_07-12-2012_8_3'!J2063,"AAAAADO/X/g=")</f>
        <v>#VALUE!</v>
      </c>
      <c r="IP137" t="e">
        <f>AND('Planilla_General_07-12-2012_8_3'!K2063,"AAAAADO/X/k=")</f>
        <v>#VALUE!</v>
      </c>
      <c r="IQ137" t="e">
        <f>AND('Planilla_General_07-12-2012_8_3'!L2063,"AAAAADO/X/o=")</f>
        <v>#VALUE!</v>
      </c>
      <c r="IR137" t="e">
        <f>AND('Planilla_General_07-12-2012_8_3'!M2063,"AAAAADO/X/s=")</f>
        <v>#VALUE!</v>
      </c>
      <c r="IS137" t="e">
        <f>AND('Planilla_General_07-12-2012_8_3'!N2063,"AAAAADO/X/w=")</f>
        <v>#VALUE!</v>
      </c>
      <c r="IT137" t="e">
        <f>AND('Planilla_General_07-12-2012_8_3'!O2063,"AAAAADO/X/0=")</f>
        <v>#VALUE!</v>
      </c>
      <c r="IU137" t="e">
        <f>AND('Planilla_General_07-12-2012_8_3'!P2063,"AAAAADO/X/4=")</f>
        <v>#VALUE!</v>
      </c>
      <c r="IV137">
        <f>IF('Planilla_General_07-12-2012_8_3'!2064:2064,"AAAAADO/X/8=",0)</f>
        <v>0</v>
      </c>
    </row>
    <row r="138" spans="1:256" x14ac:dyDescent="0.25">
      <c r="A138" t="e">
        <f>AND('Planilla_General_07-12-2012_8_3'!A2064,"AAAAAHc/PQA=")</f>
        <v>#VALUE!</v>
      </c>
      <c r="B138" t="e">
        <f>AND('Planilla_General_07-12-2012_8_3'!B2064,"AAAAAHc/PQE=")</f>
        <v>#VALUE!</v>
      </c>
      <c r="C138" t="e">
        <f>AND('Planilla_General_07-12-2012_8_3'!C2064,"AAAAAHc/PQI=")</f>
        <v>#VALUE!</v>
      </c>
      <c r="D138" t="e">
        <f>AND('Planilla_General_07-12-2012_8_3'!D2064,"AAAAAHc/PQM=")</f>
        <v>#VALUE!</v>
      </c>
      <c r="E138" t="e">
        <f>AND('Planilla_General_07-12-2012_8_3'!E2064,"AAAAAHc/PQQ=")</f>
        <v>#VALUE!</v>
      </c>
      <c r="F138" t="e">
        <f>AND('Planilla_General_07-12-2012_8_3'!F2064,"AAAAAHc/PQU=")</f>
        <v>#VALUE!</v>
      </c>
      <c r="G138" t="e">
        <f>AND('Planilla_General_07-12-2012_8_3'!G2064,"AAAAAHc/PQY=")</f>
        <v>#VALUE!</v>
      </c>
      <c r="H138" t="e">
        <f>AND('Planilla_General_07-12-2012_8_3'!H2064,"AAAAAHc/PQc=")</f>
        <v>#VALUE!</v>
      </c>
      <c r="I138" t="e">
        <f>AND('Planilla_General_07-12-2012_8_3'!I2064,"AAAAAHc/PQg=")</f>
        <v>#VALUE!</v>
      </c>
      <c r="J138" t="e">
        <f>AND('Planilla_General_07-12-2012_8_3'!J2064,"AAAAAHc/PQk=")</f>
        <v>#VALUE!</v>
      </c>
      <c r="K138" t="e">
        <f>AND('Planilla_General_07-12-2012_8_3'!K2064,"AAAAAHc/PQo=")</f>
        <v>#VALUE!</v>
      </c>
      <c r="L138" t="e">
        <f>AND('Planilla_General_07-12-2012_8_3'!L2064,"AAAAAHc/PQs=")</f>
        <v>#VALUE!</v>
      </c>
      <c r="M138" t="e">
        <f>AND('Planilla_General_07-12-2012_8_3'!M2064,"AAAAAHc/PQw=")</f>
        <v>#VALUE!</v>
      </c>
      <c r="N138" t="e">
        <f>AND('Planilla_General_07-12-2012_8_3'!N2064,"AAAAAHc/PQ0=")</f>
        <v>#VALUE!</v>
      </c>
      <c r="O138" t="e">
        <f>AND('Planilla_General_07-12-2012_8_3'!O2064,"AAAAAHc/PQ4=")</f>
        <v>#VALUE!</v>
      </c>
      <c r="P138" t="e">
        <f>AND('Planilla_General_07-12-2012_8_3'!P2064,"AAAAAHc/PQ8=")</f>
        <v>#VALUE!</v>
      </c>
      <c r="Q138">
        <f>IF('Planilla_General_07-12-2012_8_3'!2065:2065,"AAAAAHc/PRA=",0)</f>
        <v>0</v>
      </c>
      <c r="R138" t="e">
        <f>AND('Planilla_General_07-12-2012_8_3'!A2065,"AAAAAHc/PRE=")</f>
        <v>#VALUE!</v>
      </c>
      <c r="S138" t="e">
        <f>AND('Planilla_General_07-12-2012_8_3'!B2065,"AAAAAHc/PRI=")</f>
        <v>#VALUE!</v>
      </c>
      <c r="T138" t="e">
        <f>AND('Planilla_General_07-12-2012_8_3'!C2065,"AAAAAHc/PRM=")</f>
        <v>#VALUE!</v>
      </c>
      <c r="U138" t="e">
        <f>AND('Planilla_General_07-12-2012_8_3'!D2065,"AAAAAHc/PRQ=")</f>
        <v>#VALUE!</v>
      </c>
      <c r="V138" t="e">
        <f>AND('Planilla_General_07-12-2012_8_3'!E2065,"AAAAAHc/PRU=")</f>
        <v>#VALUE!</v>
      </c>
      <c r="W138" t="e">
        <f>AND('Planilla_General_07-12-2012_8_3'!F2065,"AAAAAHc/PRY=")</f>
        <v>#VALUE!</v>
      </c>
      <c r="X138" t="e">
        <f>AND('Planilla_General_07-12-2012_8_3'!G2065,"AAAAAHc/PRc=")</f>
        <v>#VALUE!</v>
      </c>
      <c r="Y138" t="e">
        <f>AND('Planilla_General_07-12-2012_8_3'!H2065,"AAAAAHc/PRg=")</f>
        <v>#VALUE!</v>
      </c>
      <c r="Z138" t="e">
        <f>AND('Planilla_General_07-12-2012_8_3'!I2065,"AAAAAHc/PRk=")</f>
        <v>#VALUE!</v>
      </c>
      <c r="AA138" t="e">
        <f>AND('Planilla_General_07-12-2012_8_3'!J2065,"AAAAAHc/PRo=")</f>
        <v>#VALUE!</v>
      </c>
      <c r="AB138" t="e">
        <f>AND('Planilla_General_07-12-2012_8_3'!K2065,"AAAAAHc/PRs=")</f>
        <v>#VALUE!</v>
      </c>
      <c r="AC138" t="e">
        <f>AND('Planilla_General_07-12-2012_8_3'!L2065,"AAAAAHc/PRw=")</f>
        <v>#VALUE!</v>
      </c>
      <c r="AD138" t="e">
        <f>AND('Planilla_General_07-12-2012_8_3'!M2065,"AAAAAHc/PR0=")</f>
        <v>#VALUE!</v>
      </c>
      <c r="AE138" t="e">
        <f>AND('Planilla_General_07-12-2012_8_3'!N2065,"AAAAAHc/PR4=")</f>
        <v>#VALUE!</v>
      </c>
      <c r="AF138" t="e">
        <f>AND('Planilla_General_07-12-2012_8_3'!O2065,"AAAAAHc/PR8=")</f>
        <v>#VALUE!</v>
      </c>
      <c r="AG138" t="e">
        <f>AND('Planilla_General_07-12-2012_8_3'!P2065,"AAAAAHc/PSA=")</f>
        <v>#VALUE!</v>
      </c>
      <c r="AH138">
        <f>IF('Planilla_General_07-12-2012_8_3'!2066:2066,"AAAAAHc/PSE=",0)</f>
        <v>0</v>
      </c>
      <c r="AI138" t="e">
        <f>AND('Planilla_General_07-12-2012_8_3'!A2066,"AAAAAHc/PSI=")</f>
        <v>#VALUE!</v>
      </c>
      <c r="AJ138" t="e">
        <f>AND('Planilla_General_07-12-2012_8_3'!B2066,"AAAAAHc/PSM=")</f>
        <v>#VALUE!</v>
      </c>
      <c r="AK138" t="e">
        <f>AND('Planilla_General_07-12-2012_8_3'!C2066,"AAAAAHc/PSQ=")</f>
        <v>#VALUE!</v>
      </c>
      <c r="AL138" t="e">
        <f>AND('Planilla_General_07-12-2012_8_3'!D2066,"AAAAAHc/PSU=")</f>
        <v>#VALUE!</v>
      </c>
      <c r="AM138" t="e">
        <f>AND('Planilla_General_07-12-2012_8_3'!E2066,"AAAAAHc/PSY=")</f>
        <v>#VALUE!</v>
      </c>
      <c r="AN138" t="e">
        <f>AND('Planilla_General_07-12-2012_8_3'!F2066,"AAAAAHc/PSc=")</f>
        <v>#VALUE!</v>
      </c>
      <c r="AO138" t="e">
        <f>AND('Planilla_General_07-12-2012_8_3'!G2066,"AAAAAHc/PSg=")</f>
        <v>#VALUE!</v>
      </c>
      <c r="AP138" t="e">
        <f>AND('Planilla_General_07-12-2012_8_3'!H2066,"AAAAAHc/PSk=")</f>
        <v>#VALUE!</v>
      </c>
      <c r="AQ138" t="e">
        <f>AND('Planilla_General_07-12-2012_8_3'!I2066,"AAAAAHc/PSo=")</f>
        <v>#VALUE!</v>
      </c>
      <c r="AR138" t="e">
        <f>AND('Planilla_General_07-12-2012_8_3'!J2066,"AAAAAHc/PSs=")</f>
        <v>#VALUE!</v>
      </c>
      <c r="AS138" t="e">
        <f>AND('Planilla_General_07-12-2012_8_3'!K2066,"AAAAAHc/PSw=")</f>
        <v>#VALUE!</v>
      </c>
      <c r="AT138" t="e">
        <f>AND('Planilla_General_07-12-2012_8_3'!L2066,"AAAAAHc/PS0=")</f>
        <v>#VALUE!</v>
      </c>
      <c r="AU138" t="e">
        <f>AND('Planilla_General_07-12-2012_8_3'!M2066,"AAAAAHc/PS4=")</f>
        <v>#VALUE!</v>
      </c>
      <c r="AV138" t="e">
        <f>AND('Planilla_General_07-12-2012_8_3'!N2066,"AAAAAHc/PS8=")</f>
        <v>#VALUE!</v>
      </c>
      <c r="AW138" t="e">
        <f>AND('Planilla_General_07-12-2012_8_3'!O2066,"AAAAAHc/PTA=")</f>
        <v>#VALUE!</v>
      </c>
      <c r="AX138" t="e">
        <f>AND('Planilla_General_07-12-2012_8_3'!P2066,"AAAAAHc/PTE=")</f>
        <v>#VALUE!</v>
      </c>
      <c r="AY138">
        <f>IF('Planilla_General_07-12-2012_8_3'!2067:2067,"AAAAAHc/PTI=",0)</f>
        <v>0</v>
      </c>
      <c r="AZ138" t="e">
        <f>AND('Planilla_General_07-12-2012_8_3'!A2067,"AAAAAHc/PTM=")</f>
        <v>#VALUE!</v>
      </c>
      <c r="BA138" t="e">
        <f>AND('Planilla_General_07-12-2012_8_3'!B2067,"AAAAAHc/PTQ=")</f>
        <v>#VALUE!</v>
      </c>
      <c r="BB138" t="e">
        <f>AND('Planilla_General_07-12-2012_8_3'!C2067,"AAAAAHc/PTU=")</f>
        <v>#VALUE!</v>
      </c>
      <c r="BC138" t="e">
        <f>AND('Planilla_General_07-12-2012_8_3'!D2067,"AAAAAHc/PTY=")</f>
        <v>#VALUE!</v>
      </c>
      <c r="BD138" t="e">
        <f>AND('Planilla_General_07-12-2012_8_3'!E2067,"AAAAAHc/PTc=")</f>
        <v>#VALUE!</v>
      </c>
      <c r="BE138" t="e">
        <f>AND('Planilla_General_07-12-2012_8_3'!F2067,"AAAAAHc/PTg=")</f>
        <v>#VALUE!</v>
      </c>
      <c r="BF138" t="e">
        <f>AND('Planilla_General_07-12-2012_8_3'!G2067,"AAAAAHc/PTk=")</f>
        <v>#VALUE!</v>
      </c>
      <c r="BG138" t="e">
        <f>AND('Planilla_General_07-12-2012_8_3'!H2067,"AAAAAHc/PTo=")</f>
        <v>#VALUE!</v>
      </c>
      <c r="BH138" t="e">
        <f>AND('Planilla_General_07-12-2012_8_3'!I2067,"AAAAAHc/PTs=")</f>
        <v>#VALUE!</v>
      </c>
      <c r="BI138" t="e">
        <f>AND('Planilla_General_07-12-2012_8_3'!J2067,"AAAAAHc/PTw=")</f>
        <v>#VALUE!</v>
      </c>
      <c r="BJ138" t="e">
        <f>AND('Planilla_General_07-12-2012_8_3'!K2067,"AAAAAHc/PT0=")</f>
        <v>#VALUE!</v>
      </c>
      <c r="BK138" t="e">
        <f>AND('Planilla_General_07-12-2012_8_3'!L2067,"AAAAAHc/PT4=")</f>
        <v>#VALUE!</v>
      </c>
      <c r="BL138" t="e">
        <f>AND('Planilla_General_07-12-2012_8_3'!M2067,"AAAAAHc/PT8=")</f>
        <v>#VALUE!</v>
      </c>
      <c r="BM138" t="e">
        <f>AND('Planilla_General_07-12-2012_8_3'!N2067,"AAAAAHc/PUA=")</f>
        <v>#VALUE!</v>
      </c>
      <c r="BN138" t="e">
        <f>AND('Planilla_General_07-12-2012_8_3'!O2067,"AAAAAHc/PUE=")</f>
        <v>#VALUE!</v>
      </c>
      <c r="BO138" t="e">
        <f>AND('Planilla_General_07-12-2012_8_3'!P2067,"AAAAAHc/PUI=")</f>
        <v>#VALUE!</v>
      </c>
      <c r="BP138">
        <f>IF('Planilla_General_07-12-2012_8_3'!2068:2068,"AAAAAHc/PUM=",0)</f>
        <v>0</v>
      </c>
      <c r="BQ138" t="e">
        <f>AND('Planilla_General_07-12-2012_8_3'!A2068,"AAAAAHc/PUQ=")</f>
        <v>#VALUE!</v>
      </c>
      <c r="BR138" t="e">
        <f>AND('Planilla_General_07-12-2012_8_3'!B2068,"AAAAAHc/PUU=")</f>
        <v>#VALUE!</v>
      </c>
      <c r="BS138" t="e">
        <f>AND('Planilla_General_07-12-2012_8_3'!C2068,"AAAAAHc/PUY=")</f>
        <v>#VALUE!</v>
      </c>
      <c r="BT138" t="e">
        <f>AND('Planilla_General_07-12-2012_8_3'!D2068,"AAAAAHc/PUc=")</f>
        <v>#VALUE!</v>
      </c>
      <c r="BU138" t="e">
        <f>AND('Planilla_General_07-12-2012_8_3'!E2068,"AAAAAHc/PUg=")</f>
        <v>#VALUE!</v>
      </c>
      <c r="BV138" t="e">
        <f>AND('Planilla_General_07-12-2012_8_3'!F2068,"AAAAAHc/PUk=")</f>
        <v>#VALUE!</v>
      </c>
      <c r="BW138" t="e">
        <f>AND('Planilla_General_07-12-2012_8_3'!G2068,"AAAAAHc/PUo=")</f>
        <v>#VALUE!</v>
      </c>
      <c r="BX138" t="e">
        <f>AND('Planilla_General_07-12-2012_8_3'!H2068,"AAAAAHc/PUs=")</f>
        <v>#VALUE!</v>
      </c>
      <c r="BY138" t="e">
        <f>AND('Planilla_General_07-12-2012_8_3'!I2068,"AAAAAHc/PUw=")</f>
        <v>#VALUE!</v>
      </c>
      <c r="BZ138" t="e">
        <f>AND('Planilla_General_07-12-2012_8_3'!J2068,"AAAAAHc/PU0=")</f>
        <v>#VALUE!</v>
      </c>
      <c r="CA138" t="e">
        <f>AND('Planilla_General_07-12-2012_8_3'!K2068,"AAAAAHc/PU4=")</f>
        <v>#VALUE!</v>
      </c>
      <c r="CB138" t="e">
        <f>AND('Planilla_General_07-12-2012_8_3'!L2068,"AAAAAHc/PU8=")</f>
        <v>#VALUE!</v>
      </c>
      <c r="CC138" t="e">
        <f>AND('Planilla_General_07-12-2012_8_3'!M2068,"AAAAAHc/PVA=")</f>
        <v>#VALUE!</v>
      </c>
      <c r="CD138" t="e">
        <f>AND('Planilla_General_07-12-2012_8_3'!N2068,"AAAAAHc/PVE=")</f>
        <v>#VALUE!</v>
      </c>
      <c r="CE138" t="e">
        <f>AND('Planilla_General_07-12-2012_8_3'!O2068,"AAAAAHc/PVI=")</f>
        <v>#VALUE!</v>
      </c>
      <c r="CF138" t="e">
        <f>AND('Planilla_General_07-12-2012_8_3'!P2068,"AAAAAHc/PVM=")</f>
        <v>#VALUE!</v>
      </c>
      <c r="CG138">
        <f>IF('Planilla_General_07-12-2012_8_3'!2069:2069,"AAAAAHc/PVQ=",0)</f>
        <v>0</v>
      </c>
      <c r="CH138" t="e">
        <f>AND('Planilla_General_07-12-2012_8_3'!A2069,"AAAAAHc/PVU=")</f>
        <v>#VALUE!</v>
      </c>
      <c r="CI138" t="e">
        <f>AND('Planilla_General_07-12-2012_8_3'!B2069,"AAAAAHc/PVY=")</f>
        <v>#VALUE!</v>
      </c>
      <c r="CJ138" t="e">
        <f>AND('Planilla_General_07-12-2012_8_3'!C2069,"AAAAAHc/PVc=")</f>
        <v>#VALUE!</v>
      </c>
      <c r="CK138" t="e">
        <f>AND('Planilla_General_07-12-2012_8_3'!D2069,"AAAAAHc/PVg=")</f>
        <v>#VALUE!</v>
      </c>
      <c r="CL138" t="e">
        <f>AND('Planilla_General_07-12-2012_8_3'!E2069,"AAAAAHc/PVk=")</f>
        <v>#VALUE!</v>
      </c>
      <c r="CM138" t="e">
        <f>AND('Planilla_General_07-12-2012_8_3'!F2069,"AAAAAHc/PVo=")</f>
        <v>#VALUE!</v>
      </c>
      <c r="CN138" t="e">
        <f>AND('Planilla_General_07-12-2012_8_3'!G2069,"AAAAAHc/PVs=")</f>
        <v>#VALUE!</v>
      </c>
      <c r="CO138" t="e">
        <f>AND('Planilla_General_07-12-2012_8_3'!H2069,"AAAAAHc/PVw=")</f>
        <v>#VALUE!</v>
      </c>
      <c r="CP138" t="e">
        <f>AND('Planilla_General_07-12-2012_8_3'!I2069,"AAAAAHc/PV0=")</f>
        <v>#VALUE!</v>
      </c>
      <c r="CQ138" t="e">
        <f>AND('Planilla_General_07-12-2012_8_3'!J2069,"AAAAAHc/PV4=")</f>
        <v>#VALUE!</v>
      </c>
      <c r="CR138" t="e">
        <f>AND('Planilla_General_07-12-2012_8_3'!K2069,"AAAAAHc/PV8=")</f>
        <v>#VALUE!</v>
      </c>
      <c r="CS138" t="e">
        <f>AND('Planilla_General_07-12-2012_8_3'!L2069,"AAAAAHc/PWA=")</f>
        <v>#VALUE!</v>
      </c>
      <c r="CT138" t="e">
        <f>AND('Planilla_General_07-12-2012_8_3'!M2069,"AAAAAHc/PWE=")</f>
        <v>#VALUE!</v>
      </c>
      <c r="CU138" t="e">
        <f>AND('Planilla_General_07-12-2012_8_3'!N2069,"AAAAAHc/PWI=")</f>
        <v>#VALUE!</v>
      </c>
      <c r="CV138" t="e">
        <f>AND('Planilla_General_07-12-2012_8_3'!O2069,"AAAAAHc/PWM=")</f>
        <v>#VALUE!</v>
      </c>
      <c r="CW138" t="e">
        <f>AND('Planilla_General_07-12-2012_8_3'!P2069,"AAAAAHc/PWQ=")</f>
        <v>#VALUE!</v>
      </c>
      <c r="CX138">
        <f>IF('Planilla_General_07-12-2012_8_3'!2070:2070,"AAAAAHc/PWU=",0)</f>
        <v>0</v>
      </c>
      <c r="CY138" t="e">
        <f>AND('Planilla_General_07-12-2012_8_3'!A2070,"AAAAAHc/PWY=")</f>
        <v>#VALUE!</v>
      </c>
      <c r="CZ138" t="e">
        <f>AND('Planilla_General_07-12-2012_8_3'!B2070,"AAAAAHc/PWc=")</f>
        <v>#VALUE!</v>
      </c>
      <c r="DA138" t="e">
        <f>AND('Planilla_General_07-12-2012_8_3'!C2070,"AAAAAHc/PWg=")</f>
        <v>#VALUE!</v>
      </c>
      <c r="DB138" t="e">
        <f>AND('Planilla_General_07-12-2012_8_3'!D2070,"AAAAAHc/PWk=")</f>
        <v>#VALUE!</v>
      </c>
      <c r="DC138" t="e">
        <f>AND('Planilla_General_07-12-2012_8_3'!E2070,"AAAAAHc/PWo=")</f>
        <v>#VALUE!</v>
      </c>
      <c r="DD138" t="e">
        <f>AND('Planilla_General_07-12-2012_8_3'!F2070,"AAAAAHc/PWs=")</f>
        <v>#VALUE!</v>
      </c>
      <c r="DE138" t="e">
        <f>AND('Planilla_General_07-12-2012_8_3'!G2070,"AAAAAHc/PWw=")</f>
        <v>#VALUE!</v>
      </c>
      <c r="DF138" t="e">
        <f>AND('Planilla_General_07-12-2012_8_3'!H2070,"AAAAAHc/PW0=")</f>
        <v>#VALUE!</v>
      </c>
      <c r="DG138" t="e">
        <f>AND('Planilla_General_07-12-2012_8_3'!I2070,"AAAAAHc/PW4=")</f>
        <v>#VALUE!</v>
      </c>
      <c r="DH138" t="e">
        <f>AND('Planilla_General_07-12-2012_8_3'!J2070,"AAAAAHc/PW8=")</f>
        <v>#VALUE!</v>
      </c>
      <c r="DI138" t="e">
        <f>AND('Planilla_General_07-12-2012_8_3'!K2070,"AAAAAHc/PXA=")</f>
        <v>#VALUE!</v>
      </c>
      <c r="DJ138" t="e">
        <f>AND('Planilla_General_07-12-2012_8_3'!L2070,"AAAAAHc/PXE=")</f>
        <v>#VALUE!</v>
      </c>
      <c r="DK138" t="e">
        <f>AND('Planilla_General_07-12-2012_8_3'!M2070,"AAAAAHc/PXI=")</f>
        <v>#VALUE!</v>
      </c>
      <c r="DL138" t="e">
        <f>AND('Planilla_General_07-12-2012_8_3'!N2070,"AAAAAHc/PXM=")</f>
        <v>#VALUE!</v>
      </c>
      <c r="DM138" t="e">
        <f>AND('Planilla_General_07-12-2012_8_3'!O2070,"AAAAAHc/PXQ=")</f>
        <v>#VALUE!</v>
      </c>
      <c r="DN138" t="e">
        <f>AND('Planilla_General_07-12-2012_8_3'!P2070,"AAAAAHc/PXU=")</f>
        <v>#VALUE!</v>
      </c>
      <c r="DO138">
        <f>IF('Planilla_General_07-12-2012_8_3'!2071:2071,"AAAAAHc/PXY=",0)</f>
        <v>0</v>
      </c>
      <c r="DP138" t="e">
        <f>AND('Planilla_General_07-12-2012_8_3'!A2071,"AAAAAHc/PXc=")</f>
        <v>#VALUE!</v>
      </c>
      <c r="DQ138" t="e">
        <f>AND('Planilla_General_07-12-2012_8_3'!B2071,"AAAAAHc/PXg=")</f>
        <v>#VALUE!</v>
      </c>
      <c r="DR138" t="e">
        <f>AND('Planilla_General_07-12-2012_8_3'!C2071,"AAAAAHc/PXk=")</f>
        <v>#VALUE!</v>
      </c>
      <c r="DS138" t="e">
        <f>AND('Planilla_General_07-12-2012_8_3'!D2071,"AAAAAHc/PXo=")</f>
        <v>#VALUE!</v>
      </c>
      <c r="DT138" t="e">
        <f>AND('Planilla_General_07-12-2012_8_3'!E2071,"AAAAAHc/PXs=")</f>
        <v>#VALUE!</v>
      </c>
      <c r="DU138" t="e">
        <f>AND('Planilla_General_07-12-2012_8_3'!F2071,"AAAAAHc/PXw=")</f>
        <v>#VALUE!</v>
      </c>
      <c r="DV138" t="e">
        <f>AND('Planilla_General_07-12-2012_8_3'!G2071,"AAAAAHc/PX0=")</f>
        <v>#VALUE!</v>
      </c>
      <c r="DW138" t="e">
        <f>AND('Planilla_General_07-12-2012_8_3'!H2071,"AAAAAHc/PX4=")</f>
        <v>#VALUE!</v>
      </c>
      <c r="DX138" t="e">
        <f>AND('Planilla_General_07-12-2012_8_3'!I2071,"AAAAAHc/PX8=")</f>
        <v>#VALUE!</v>
      </c>
      <c r="DY138" t="e">
        <f>AND('Planilla_General_07-12-2012_8_3'!J2071,"AAAAAHc/PYA=")</f>
        <v>#VALUE!</v>
      </c>
      <c r="DZ138" t="e">
        <f>AND('Planilla_General_07-12-2012_8_3'!K2071,"AAAAAHc/PYE=")</f>
        <v>#VALUE!</v>
      </c>
      <c r="EA138" t="e">
        <f>AND('Planilla_General_07-12-2012_8_3'!L2071,"AAAAAHc/PYI=")</f>
        <v>#VALUE!</v>
      </c>
      <c r="EB138" t="e">
        <f>AND('Planilla_General_07-12-2012_8_3'!M2071,"AAAAAHc/PYM=")</f>
        <v>#VALUE!</v>
      </c>
      <c r="EC138" t="e">
        <f>AND('Planilla_General_07-12-2012_8_3'!N2071,"AAAAAHc/PYQ=")</f>
        <v>#VALUE!</v>
      </c>
      <c r="ED138" t="e">
        <f>AND('Planilla_General_07-12-2012_8_3'!O2071,"AAAAAHc/PYU=")</f>
        <v>#VALUE!</v>
      </c>
      <c r="EE138" t="e">
        <f>AND('Planilla_General_07-12-2012_8_3'!P2071,"AAAAAHc/PYY=")</f>
        <v>#VALUE!</v>
      </c>
      <c r="EF138">
        <f>IF('Planilla_General_07-12-2012_8_3'!2072:2072,"AAAAAHc/PYc=",0)</f>
        <v>0</v>
      </c>
      <c r="EG138" t="e">
        <f>AND('Planilla_General_07-12-2012_8_3'!A2072,"AAAAAHc/PYg=")</f>
        <v>#VALUE!</v>
      </c>
      <c r="EH138" t="e">
        <f>AND('Planilla_General_07-12-2012_8_3'!B2072,"AAAAAHc/PYk=")</f>
        <v>#VALUE!</v>
      </c>
      <c r="EI138" t="e">
        <f>AND('Planilla_General_07-12-2012_8_3'!C2072,"AAAAAHc/PYo=")</f>
        <v>#VALUE!</v>
      </c>
      <c r="EJ138" t="e">
        <f>AND('Planilla_General_07-12-2012_8_3'!D2072,"AAAAAHc/PYs=")</f>
        <v>#VALUE!</v>
      </c>
      <c r="EK138" t="e">
        <f>AND('Planilla_General_07-12-2012_8_3'!E2072,"AAAAAHc/PYw=")</f>
        <v>#VALUE!</v>
      </c>
      <c r="EL138" t="e">
        <f>AND('Planilla_General_07-12-2012_8_3'!F2072,"AAAAAHc/PY0=")</f>
        <v>#VALUE!</v>
      </c>
      <c r="EM138" t="e">
        <f>AND('Planilla_General_07-12-2012_8_3'!G2072,"AAAAAHc/PY4=")</f>
        <v>#VALUE!</v>
      </c>
      <c r="EN138" t="e">
        <f>AND('Planilla_General_07-12-2012_8_3'!H2072,"AAAAAHc/PY8=")</f>
        <v>#VALUE!</v>
      </c>
      <c r="EO138" t="e">
        <f>AND('Planilla_General_07-12-2012_8_3'!I2072,"AAAAAHc/PZA=")</f>
        <v>#VALUE!</v>
      </c>
      <c r="EP138" t="e">
        <f>AND('Planilla_General_07-12-2012_8_3'!J2072,"AAAAAHc/PZE=")</f>
        <v>#VALUE!</v>
      </c>
      <c r="EQ138" t="e">
        <f>AND('Planilla_General_07-12-2012_8_3'!K2072,"AAAAAHc/PZI=")</f>
        <v>#VALUE!</v>
      </c>
      <c r="ER138" t="e">
        <f>AND('Planilla_General_07-12-2012_8_3'!L2072,"AAAAAHc/PZM=")</f>
        <v>#VALUE!</v>
      </c>
      <c r="ES138" t="e">
        <f>AND('Planilla_General_07-12-2012_8_3'!M2072,"AAAAAHc/PZQ=")</f>
        <v>#VALUE!</v>
      </c>
      <c r="ET138" t="e">
        <f>AND('Planilla_General_07-12-2012_8_3'!N2072,"AAAAAHc/PZU=")</f>
        <v>#VALUE!</v>
      </c>
      <c r="EU138" t="e">
        <f>AND('Planilla_General_07-12-2012_8_3'!O2072,"AAAAAHc/PZY=")</f>
        <v>#VALUE!</v>
      </c>
      <c r="EV138" t="e">
        <f>AND('Planilla_General_07-12-2012_8_3'!P2072,"AAAAAHc/PZc=")</f>
        <v>#VALUE!</v>
      </c>
      <c r="EW138">
        <f>IF('Planilla_General_07-12-2012_8_3'!2073:2073,"AAAAAHc/PZg=",0)</f>
        <v>0</v>
      </c>
      <c r="EX138" t="e">
        <f>AND('Planilla_General_07-12-2012_8_3'!A2073,"AAAAAHc/PZk=")</f>
        <v>#VALUE!</v>
      </c>
      <c r="EY138" t="e">
        <f>AND('Planilla_General_07-12-2012_8_3'!B2073,"AAAAAHc/PZo=")</f>
        <v>#VALUE!</v>
      </c>
      <c r="EZ138" t="e">
        <f>AND('Planilla_General_07-12-2012_8_3'!C2073,"AAAAAHc/PZs=")</f>
        <v>#VALUE!</v>
      </c>
      <c r="FA138" t="e">
        <f>AND('Planilla_General_07-12-2012_8_3'!D2073,"AAAAAHc/PZw=")</f>
        <v>#VALUE!</v>
      </c>
      <c r="FB138" t="e">
        <f>AND('Planilla_General_07-12-2012_8_3'!E2073,"AAAAAHc/PZ0=")</f>
        <v>#VALUE!</v>
      </c>
      <c r="FC138" t="e">
        <f>AND('Planilla_General_07-12-2012_8_3'!F2073,"AAAAAHc/PZ4=")</f>
        <v>#VALUE!</v>
      </c>
      <c r="FD138" t="e">
        <f>AND('Planilla_General_07-12-2012_8_3'!G2073,"AAAAAHc/PZ8=")</f>
        <v>#VALUE!</v>
      </c>
      <c r="FE138" t="e">
        <f>AND('Planilla_General_07-12-2012_8_3'!H2073,"AAAAAHc/PaA=")</f>
        <v>#VALUE!</v>
      </c>
      <c r="FF138" t="e">
        <f>AND('Planilla_General_07-12-2012_8_3'!I2073,"AAAAAHc/PaE=")</f>
        <v>#VALUE!</v>
      </c>
      <c r="FG138" t="e">
        <f>AND('Planilla_General_07-12-2012_8_3'!J2073,"AAAAAHc/PaI=")</f>
        <v>#VALUE!</v>
      </c>
      <c r="FH138" t="e">
        <f>AND('Planilla_General_07-12-2012_8_3'!K2073,"AAAAAHc/PaM=")</f>
        <v>#VALUE!</v>
      </c>
      <c r="FI138" t="e">
        <f>AND('Planilla_General_07-12-2012_8_3'!L2073,"AAAAAHc/PaQ=")</f>
        <v>#VALUE!</v>
      </c>
      <c r="FJ138" t="e">
        <f>AND('Planilla_General_07-12-2012_8_3'!M2073,"AAAAAHc/PaU=")</f>
        <v>#VALUE!</v>
      </c>
      <c r="FK138" t="e">
        <f>AND('Planilla_General_07-12-2012_8_3'!N2073,"AAAAAHc/PaY=")</f>
        <v>#VALUE!</v>
      </c>
      <c r="FL138" t="e">
        <f>AND('Planilla_General_07-12-2012_8_3'!O2073,"AAAAAHc/Pac=")</f>
        <v>#VALUE!</v>
      </c>
      <c r="FM138" t="e">
        <f>AND('Planilla_General_07-12-2012_8_3'!P2073,"AAAAAHc/Pag=")</f>
        <v>#VALUE!</v>
      </c>
      <c r="FN138">
        <f>IF('Planilla_General_07-12-2012_8_3'!2074:2074,"AAAAAHc/Pak=",0)</f>
        <v>0</v>
      </c>
      <c r="FO138" t="e">
        <f>AND('Planilla_General_07-12-2012_8_3'!A2074,"AAAAAHc/Pao=")</f>
        <v>#VALUE!</v>
      </c>
      <c r="FP138" t="e">
        <f>AND('Planilla_General_07-12-2012_8_3'!B2074,"AAAAAHc/Pas=")</f>
        <v>#VALUE!</v>
      </c>
      <c r="FQ138" t="e">
        <f>AND('Planilla_General_07-12-2012_8_3'!C2074,"AAAAAHc/Paw=")</f>
        <v>#VALUE!</v>
      </c>
      <c r="FR138" t="e">
        <f>AND('Planilla_General_07-12-2012_8_3'!D2074,"AAAAAHc/Pa0=")</f>
        <v>#VALUE!</v>
      </c>
      <c r="FS138" t="e">
        <f>AND('Planilla_General_07-12-2012_8_3'!E2074,"AAAAAHc/Pa4=")</f>
        <v>#VALUE!</v>
      </c>
      <c r="FT138" t="e">
        <f>AND('Planilla_General_07-12-2012_8_3'!F2074,"AAAAAHc/Pa8=")</f>
        <v>#VALUE!</v>
      </c>
      <c r="FU138" t="e">
        <f>AND('Planilla_General_07-12-2012_8_3'!G2074,"AAAAAHc/PbA=")</f>
        <v>#VALUE!</v>
      </c>
      <c r="FV138" t="e">
        <f>AND('Planilla_General_07-12-2012_8_3'!H2074,"AAAAAHc/PbE=")</f>
        <v>#VALUE!</v>
      </c>
      <c r="FW138" t="e">
        <f>AND('Planilla_General_07-12-2012_8_3'!I2074,"AAAAAHc/PbI=")</f>
        <v>#VALUE!</v>
      </c>
      <c r="FX138" t="e">
        <f>AND('Planilla_General_07-12-2012_8_3'!J2074,"AAAAAHc/PbM=")</f>
        <v>#VALUE!</v>
      </c>
      <c r="FY138" t="e">
        <f>AND('Planilla_General_07-12-2012_8_3'!K2074,"AAAAAHc/PbQ=")</f>
        <v>#VALUE!</v>
      </c>
      <c r="FZ138" t="e">
        <f>AND('Planilla_General_07-12-2012_8_3'!L2074,"AAAAAHc/PbU=")</f>
        <v>#VALUE!</v>
      </c>
      <c r="GA138" t="e">
        <f>AND('Planilla_General_07-12-2012_8_3'!M2074,"AAAAAHc/PbY=")</f>
        <v>#VALUE!</v>
      </c>
      <c r="GB138" t="e">
        <f>AND('Planilla_General_07-12-2012_8_3'!N2074,"AAAAAHc/Pbc=")</f>
        <v>#VALUE!</v>
      </c>
      <c r="GC138" t="e">
        <f>AND('Planilla_General_07-12-2012_8_3'!O2074,"AAAAAHc/Pbg=")</f>
        <v>#VALUE!</v>
      </c>
      <c r="GD138" t="e">
        <f>AND('Planilla_General_07-12-2012_8_3'!P2074,"AAAAAHc/Pbk=")</f>
        <v>#VALUE!</v>
      </c>
      <c r="GE138">
        <f>IF('Planilla_General_07-12-2012_8_3'!2075:2075,"AAAAAHc/Pbo=",0)</f>
        <v>0</v>
      </c>
      <c r="GF138" t="e">
        <f>AND('Planilla_General_07-12-2012_8_3'!A2075,"AAAAAHc/Pbs=")</f>
        <v>#VALUE!</v>
      </c>
      <c r="GG138" t="e">
        <f>AND('Planilla_General_07-12-2012_8_3'!B2075,"AAAAAHc/Pbw=")</f>
        <v>#VALUE!</v>
      </c>
      <c r="GH138" t="e">
        <f>AND('Planilla_General_07-12-2012_8_3'!C2075,"AAAAAHc/Pb0=")</f>
        <v>#VALUE!</v>
      </c>
      <c r="GI138" t="e">
        <f>AND('Planilla_General_07-12-2012_8_3'!D2075,"AAAAAHc/Pb4=")</f>
        <v>#VALUE!</v>
      </c>
      <c r="GJ138" t="e">
        <f>AND('Planilla_General_07-12-2012_8_3'!E2075,"AAAAAHc/Pb8=")</f>
        <v>#VALUE!</v>
      </c>
      <c r="GK138" t="e">
        <f>AND('Planilla_General_07-12-2012_8_3'!F2075,"AAAAAHc/PcA=")</f>
        <v>#VALUE!</v>
      </c>
      <c r="GL138" t="e">
        <f>AND('Planilla_General_07-12-2012_8_3'!G2075,"AAAAAHc/PcE=")</f>
        <v>#VALUE!</v>
      </c>
      <c r="GM138" t="e">
        <f>AND('Planilla_General_07-12-2012_8_3'!H2075,"AAAAAHc/PcI=")</f>
        <v>#VALUE!</v>
      </c>
      <c r="GN138" t="e">
        <f>AND('Planilla_General_07-12-2012_8_3'!I2075,"AAAAAHc/PcM=")</f>
        <v>#VALUE!</v>
      </c>
      <c r="GO138" t="e">
        <f>AND('Planilla_General_07-12-2012_8_3'!J2075,"AAAAAHc/PcQ=")</f>
        <v>#VALUE!</v>
      </c>
      <c r="GP138" t="e">
        <f>AND('Planilla_General_07-12-2012_8_3'!K2075,"AAAAAHc/PcU=")</f>
        <v>#VALUE!</v>
      </c>
      <c r="GQ138" t="e">
        <f>AND('Planilla_General_07-12-2012_8_3'!L2075,"AAAAAHc/PcY=")</f>
        <v>#VALUE!</v>
      </c>
      <c r="GR138" t="e">
        <f>AND('Planilla_General_07-12-2012_8_3'!M2075,"AAAAAHc/Pcc=")</f>
        <v>#VALUE!</v>
      </c>
      <c r="GS138" t="e">
        <f>AND('Planilla_General_07-12-2012_8_3'!N2075,"AAAAAHc/Pcg=")</f>
        <v>#VALUE!</v>
      </c>
      <c r="GT138" t="e">
        <f>AND('Planilla_General_07-12-2012_8_3'!O2075,"AAAAAHc/Pck=")</f>
        <v>#VALUE!</v>
      </c>
      <c r="GU138" t="e">
        <f>AND('Planilla_General_07-12-2012_8_3'!P2075,"AAAAAHc/Pco=")</f>
        <v>#VALUE!</v>
      </c>
      <c r="GV138">
        <f>IF('Planilla_General_07-12-2012_8_3'!2076:2076,"AAAAAHc/Pcs=",0)</f>
        <v>0</v>
      </c>
      <c r="GW138" t="e">
        <f>AND('Planilla_General_07-12-2012_8_3'!A2076,"AAAAAHc/Pcw=")</f>
        <v>#VALUE!</v>
      </c>
      <c r="GX138" t="e">
        <f>AND('Planilla_General_07-12-2012_8_3'!B2076,"AAAAAHc/Pc0=")</f>
        <v>#VALUE!</v>
      </c>
      <c r="GY138" t="e">
        <f>AND('Planilla_General_07-12-2012_8_3'!C2076,"AAAAAHc/Pc4=")</f>
        <v>#VALUE!</v>
      </c>
      <c r="GZ138" t="e">
        <f>AND('Planilla_General_07-12-2012_8_3'!D2076,"AAAAAHc/Pc8=")</f>
        <v>#VALUE!</v>
      </c>
      <c r="HA138" t="e">
        <f>AND('Planilla_General_07-12-2012_8_3'!E2076,"AAAAAHc/PdA=")</f>
        <v>#VALUE!</v>
      </c>
      <c r="HB138" t="e">
        <f>AND('Planilla_General_07-12-2012_8_3'!F2076,"AAAAAHc/PdE=")</f>
        <v>#VALUE!</v>
      </c>
      <c r="HC138" t="e">
        <f>AND('Planilla_General_07-12-2012_8_3'!G2076,"AAAAAHc/PdI=")</f>
        <v>#VALUE!</v>
      </c>
      <c r="HD138" t="e">
        <f>AND('Planilla_General_07-12-2012_8_3'!H2076,"AAAAAHc/PdM=")</f>
        <v>#VALUE!</v>
      </c>
      <c r="HE138" t="e">
        <f>AND('Planilla_General_07-12-2012_8_3'!I2076,"AAAAAHc/PdQ=")</f>
        <v>#VALUE!</v>
      </c>
      <c r="HF138" t="e">
        <f>AND('Planilla_General_07-12-2012_8_3'!J2076,"AAAAAHc/PdU=")</f>
        <v>#VALUE!</v>
      </c>
      <c r="HG138" t="e">
        <f>AND('Planilla_General_07-12-2012_8_3'!K2076,"AAAAAHc/PdY=")</f>
        <v>#VALUE!</v>
      </c>
      <c r="HH138" t="e">
        <f>AND('Planilla_General_07-12-2012_8_3'!L2076,"AAAAAHc/Pdc=")</f>
        <v>#VALUE!</v>
      </c>
      <c r="HI138" t="e">
        <f>AND('Planilla_General_07-12-2012_8_3'!M2076,"AAAAAHc/Pdg=")</f>
        <v>#VALUE!</v>
      </c>
      <c r="HJ138" t="e">
        <f>AND('Planilla_General_07-12-2012_8_3'!N2076,"AAAAAHc/Pdk=")</f>
        <v>#VALUE!</v>
      </c>
      <c r="HK138" t="e">
        <f>AND('Planilla_General_07-12-2012_8_3'!O2076,"AAAAAHc/Pdo=")</f>
        <v>#VALUE!</v>
      </c>
      <c r="HL138" t="e">
        <f>AND('Planilla_General_07-12-2012_8_3'!P2076,"AAAAAHc/Pds=")</f>
        <v>#VALUE!</v>
      </c>
      <c r="HM138">
        <f>IF('Planilla_General_07-12-2012_8_3'!2077:2077,"AAAAAHc/Pdw=",0)</f>
        <v>0</v>
      </c>
      <c r="HN138" t="e">
        <f>AND('Planilla_General_07-12-2012_8_3'!A2077,"AAAAAHc/Pd0=")</f>
        <v>#VALUE!</v>
      </c>
      <c r="HO138" t="e">
        <f>AND('Planilla_General_07-12-2012_8_3'!B2077,"AAAAAHc/Pd4=")</f>
        <v>#VALUE!</v>
      </c>
      <c r="HP138" t="e">
        <f>AND('Planilla_General_07-12-2012_8_3'!C2077,"AAAAAHc/Pd8=")</f>
        <v>#VALUE!</v>
      </c>
      <c r="HQ138" t="e">
        <f>AND('Planilla_General_07-12-2012_8_3'!D2077,"AAAAAHc/PeA=")</f>
        <v>#VALUE!</v>
      </c>
      <c r="HR138" t="e">
        <f>AND('Planilla_General_07-12-2012_8_3'!E2077,"AAAAAHc/PeE=")</f>
        <v>#VALUE!</v>
      </c>
      <c r="HS138" t="e">
        <f>AND('Planilla_General_07-12-2012_8_3'!F2077,"AAAAAHc/PeI=")</f>
        <v>#VALUE!</v>
      </c>
      <c r="HT138" t="e">
        <f>AND('Planilla_General_07-12-2012_8_3'!G2077,"AAAAAHc/PeM=")</f>
        <v>#VALUE!</v>
      </c>
      <c r="HU138" t="e">
        <f>AND('Planilla_General_07-12-2012_8_3'!H2077,"AAAAAHc/PeQ=")</f>
        <v>#VALUE!</v>
      </c>
      <c r="HV138" t="e">
        <f>AND('Planilla_General_07-12-2012_8_3'!I2077,"AAAAAHc/PeU=")</f>
        <v>#VALUE!</v>
      </c>
      <c r="HW138" t="e">
        <f>AND('Planilla_General_07-12-2012_8_3'!J2077,"AAAAAHc/PeY=")</f>
        <v>#VALUE!</v>
      </c>
      <c r="HX138" t="e">
        <f>AND('Planilla_General_07-12-2012_8_3'!K2077,"AAAAAHc/Pec=")</f>
        <v>#VALUE!</v>
      </c>
      <c r="HY138" t="e">
        <f>AND('Planilla_General_07-12-2012_8_3'!L2077,"AAAAAHc/Peg=")</f>
        <v>#VALUE!</v>
      </c>
      <c r="HZ138" t="e">
        <f>AND('Planilla_General_07-12-2012_8_3'!M2077,"AAAAAHc/Pek=")</f>
        <v>#VALUE!</v>
      </c>
      <c r="IA138" t="e">
        <f>AND('Planilla_General_07-12-2012_8_3'!N2077,"AAAAAHc/Peo=")</f>
        <v>#VALUE!</v>
      </c>
      <c r="IB138" t="e">
        <f>AND('Planilla_General_07-12-2012_8_3'!O2077,"AAAAAHc/Pes=")</f>
        <v>#VALUE!</v>
      </c>
      <c r="IC138" t="e">
        <f>AND('Planilla_General_07-12-2012_8_3'!P2077,"AAAAAHc/Pew=")</f>
        <v>#VALUE!</v>
      </c>
      <c r="ID138">
        <f>IF('Planilla_General_07-12-2012_8_3'!2078:2078,"AAAAAHc/Pe0=",0)</f>
        <v>0</v>
      </c>
      <c r="IE138" t="e">
        <f>AND('Planilla_General_07-12-2012_8_3'!A2078,"AAAAAHc/Pe4=")</f>
        <v>#VALUE!</v>
      </c>
      <c r="IF138" t="e">
        <f>AND('Planilla_General_07-12-2012_8_3'!B2078,"AAAAAHc/Pe8=")</f>
        <v>#VALUE!</v>
      </c>
      <c r="IG138" t="e">
        <f>AND('Planilla_General_07-12-2012_8_3'!C2078,"AAAAAHc/PfA=")</f>
        <v>#VALUE!</v>
      </c>
      <c r="IH138" t="e">
        <f>AND('Planilla_General_07-12-2012_8_3'!D2078,"AAAAAHc/PfE=")</f>
        <v>#VALUE!</v>
      </c>
      <c r="II138" t="e">
        <f>AND('Planilla_General_07-12-2012_8_3'!E2078,"AAAAAHc/PfI=")</f>
        <v>#VALUE!</v>
      </c>
      <c r="IJ138" t="e">
        <f>AND('Planilla_General_07-12-2012_8_3'!F2078,"AAAAAHc/PfM=")</f>
        <v>#VALUE!</v>
      </c>
      <c r="IK138" t="e">
        <f>AND('Planilla_General_07-12-2012_8_3'!G2078,"AAAAAHc/PfQ=")</f>
        <v>#VALUE!</v>
      </c>
      <c r="IL138" t="e">
        <f>AND('Planilla_General_07-12-2012_8_3'!H2078,"AAAAAHc/PfU=")</f>
        <v>#VALUE!</v>
      </c>
      <c r="IM138" t="e">
        <f>AND('Planilla_General_07-12-2012_8_3'!I2078,"AAAAAHc/PfY=")</f>
        <v>#VALUE!</v>
      </c>
      <c r="IN138" t="e">
        <f>AND('Planilla_General_07-12-2012_8_3'!J2078,"AAAAAHc/Pfc=")</f>
        <v>#VALUE!</v>
      </c>
      <c r="IO138" t="e">
        <f>AND('Planilla_General_07-12-2012_8_3'!K2078,"AAAAAHc/Pfg=")</f>
        <v>#VALUE!</v>
      </c>
      <c r="IP138" t="e">
        <f>AND('Planilla_General_07-12-2012_8_3'!L2078,"AAAAAHc/Pfk=")</f>
        <v>#VALUE!</v>
      </c>
      <c r="IQ138" t="e">
        <f>AND('Planilla_General_07-12-2012_8_3'!M2078,"AAAAAHc/Pfo=")</f>
        <v>#VALUE!</v>
      </c>
      <c r="IR138" t="e">
        <f>AND('Planilla_General_07-12-2012_8_3'!N2078,"AAAAAHc/Pfs=")</f>
        <v>#VALUE!</v>
      </c>
      <c r="IS138" t="e">
        <f>AND('Planilla_General_07-12-2012_8_3'!O2078,"AAAAAHc/Pfw=")</f>
        <v>#VALUE!</v>
      </c>
      <c r="IT138" t="e">
        <f>AND('Planilla_General_07-12-2012_8_3'!P2078,"AAAAAHc/Pf0=")</f>
        <v>#VALUE!</v>
      </c>
      <c r="IU138">
        <f>IF('Planilla_General_07-12-2012_8_3'!2079:2079,"AAAAAHc/Pf4=",0)</f>
        <v>0</v>
      </c>
      <c r="IV138" t="e">
        <f>AND('Planilla_General_07-12-2012_8_3'!A2079,"AAAAAHc/Pf8=")</f>
        <v>#VALUE!</v>
      </c>
    </row>
    <row r="139" spans="1:256" x14ac:dyDescent="0.25">
      <c r="A139" t="e">
        <f>AND('Planilla_General_07-12-2012_8_3'!B2079,"AAAAADr8/QA=")</f>
        <v>#VALUE!</v>
      </c>
      <c r="B139" t="e">
        <f>AND('Planilla_General_07-12-2012_8_3'!C2079,"AAAAADr8/QE=")</f>
        <v>#VALUE!</v>
      </c>
      <c r="C139" t="e">
        <f>AND('Planilla_General_07-12-2012_8_3'!D2079,"AAAAADr8/QI=")</f>
        <v>#VALUE!</v>
      </c>
      <c r="D139" t="e">
        <f>AND('Planilla_General_07-12-2012_8_3'!E2079,"AAAAADr8/QM=")</f>
        <v>#VALUE!</v>
      </c>
      <c r="E139" t="e">
        <f>AND('Planilla_General_07-12-2012_8_3'!F2079,"AAAAADr8/QQ=")</f>
        <v>#VALUE!</v>
      </c>
      <c r="F139" t="e">
        <f>AND('Planilla_General_07-12-2012_8_3'!G2079,"AAAAADr8/QU=")</f>
        <v>#VALUE!</v>
      </c>
      <c r="G139" t="e">
        <f>AND('Planilla_General_07-12-2012_8_3'!H2079,"AAAAADr8/QY=")</f>
        <v>#VALUE!</v>
      </c>
      <c r="H139" t="e">
        <f>AND('Planilla_General_07-12-2012_8_3'!I2079,"AAAAADr8/Qc=")</f>
        <v>#VALUE!</v>
      </c>
      <c r="I139" t="e">
        <f>AND('Planilla_General_07-12-2012_8_3'!J2079,"AAAAADr8/Qg=")</f>
        <v>#VALUE!</v>
      </c>
      <c r="J139" t="e">
        <f>AND('Planilla_General_07-12-2012_8_3'!K2079,"AAAAADr8/Qk=")</f>
        <v>#VALUE!</v>
      </c>
      <c r="K139" t="e">
        <f>AND('Planilla_General_07-12-2012_8_3'!L2079,"AAAAADr8/Qo=")</f>
        <v>#VALUE!</v>
      </c>
      <c r="L139" t="e">
        <f>AND('Planilla_General_07-12-2012_8_3'!M2079,"AAAAADr8/Qs=")</f>
        <v>#VALUE!</v>
      </c>
      <c r="M139" t="e">
        <f>AND('Planilla_General_07-12-2012_8_3'!N2079,"AAAAADr8/Qw=")</f>
        <v>#VALUE!</v>
      </c>
      <c r="N139" t="e">
        <f>AND('Planilla_General_07-12-2012_8_3'!O2079,"AAAAADr8/Q0=")</f>
        <v>#VALUE!</v>
      </c>
      <c r="O139" t="e">
        <f>AND('Planilla_General_07-12-2012_8_3'!P2079,"AAAAADr8/Q4=")</f>
        <v>#VALUE!</v>
      </c>
      <c r="P139">
        <f>IF('Planilla_General_07-12-2012_8_3'!2080:2080,"AAAAADr8/Q8=",0)</f>
        <v>0</v>
      </c>
      <c r="Q139" t="e">
        <f>AND('Planilla_General_07-12-2012_8_3'!A2080,"AAAAADr8/RA=")</f>
        <v>#VALUE!</v>
      </c>
      <c r="R139" t="e">
        <f>AND('Planilla_General_07-12-2012_8_3'!B2080,"AAAAADr8/RE=")</f>
        <v>#VALUE!</v>
      </c>
      <c r="S139" t="e">
        <f>AND('Planilla_General_07-12-2012_8_3'!C2080,"AAAAADr8/RI=")</f>
        <v>#VALUE!</v>
      </c>
      <c r="T139" t="e">
        <f>AND('Planilla_General_07-12-2012_8_3'!D2080,"AAAAADr8/RM=")</f>
        <v>#VALUE!</v>
      </c>
      <c r="U139" t="e">
        <f>AND('Planilla_General_07-12-2012_8_3'!E2080,"AAAAADr8/RQ=")</f>
        <v>#VALUE!</v>
      </c>
      <c r="V139" t="e">
        <f>AND('Planilla_General_07-12-2012_8_3'!F2080,"AAAAADr8/RU=")</f>
        <v>#VALUE!</v>
      </c>
      <c r="W139" t="e">
        <f>AND('Planilla_General_07-12-2012_8_3'!G2080,"AAAAADr8/RY=")</f>
        <v>#VALUE!</v>
      </c>
      <c r="X139" t="e">
        <f>AND('Planilla_General_07-12-2012_8_3'!H2080,"AAAAADr8/Rc=")</f>
        <v>#VALUE!</v>
      </c>
      <c r="Y139" t="e">
        <f>AND('Planilla_General_07-12-2012_8_3'!I2080,"AAAAADr8/Rg=")</f>
        <v>#VALUE!</v>
      </c>
      <c r="Z139" t="e">
        <f>AND('Planilla_General_07-12-2012_8_3'!J2080,"AAAAADr8/Rk=")</f>
        <v>#VALUE!</v>
      </c>
      <c r="AA139" t="e">
        <f>AND('Planilla_General_07-12-2012_8_3'!K2080,"AAAAADr8/Ro=")</f>
        <v>#VALUE!</v>
      </c>
      <c r="AB139" t="e">
        <f>AND('Planilla_General_07-12-2012_8_3'!L2080,"AAAAADr8/Rs=")</f>
        <v>#VALUE!</v>
      </c>
      <c r="AC139" t="e">
        <f>AND('Planilla_General_07-12-2012_8_3'!M2080,"AAAAADr8/Rw=")</f>
        <v>#VALUE!</v>
      </c>
      <c r="AD139" t="e">
        <f>AND('Planilla_General_07-12-2012_8_3'!N2080,"AAAAADr8/R0=")</f>
        <v>#VALUE!</v>
      </c>
      <c r="AE139" t="e">
        <f>AND('Planilla_General_07-12-2012_8_3'!O2080,"AAAAADr8/R4=")</f>
        <v>#VALUE!</v>
      </c>
      <c r="AF139" t="e">
        <f>AND('Planilla_General_07-12-2012_8_3'!P2080,"AAAAADr8/R8=")</f>
        <v>#VALUE!</v>
      </c>
      <c r="AG139">
        <f>IF('Planilla_General_07-12-2012_8_3'!2081:2081,"AAAAADr8/SA=",0)</f>
        <v>0</v>
      </c>
      <c r="AH139" t="e">
        <f>AND('Planilla_General_07-12-2012_8_3'!A2081,"AAAAADr8/SE=")</f>
        <v>#VALUE!</v>
      </c>
      <c r="AI139" t="e">
        <f>AND('Planilla_General_07-12-2012_8_3'!B2081,"AAAAADr8/SI=")</f>
        <v>#VALUE!</v>
      </c>
      <c r="AJ139" t="e">
        <f>AND('Planilla_General_07-12-2012_8_3'!C2081,"AAAAADr8/SM=")</f>
        <v>#VALUE!</v>
      </c>
      <c r="AK139" t="e">
        <f>AND('Planilla_General_07-12-2012_8_3'!D2081,"AAAAADr8/SQ=")</f>
        <v>#VALUE!</v>
      </c>
      <c r="AL139" t="e">
        <f>AND('Planilla_General_07-12-2012_8_3'!E2081,"AAAAADr8/SU=")</f>
        <v>#VALUE!</v>
      </c>
      <c r="AM139" t="e">
        <f>AND('Planilla_General_07-12-2012_8_3'!F2081,"AAAAADr8/SY=")</f>
        <v>#VALUE!</v>
      </c>
      <c r="AN139" t="e">
        <f>AND('Planilla_General_07-12-2012_8_3'!G2081,"AAAAADr8/Sc=")</f>
        <v>#VALUE!</v>
      </c>
      <c r="AO139" t="e">
        <f>AND('Planilla_General_07-12-2012_8_3'!H2081,"AAAAADr8/Sg=")</f>
        <v>#VALUE!</v>
      </c>
      <c r="AP139" t="e">
        <f>AND('Planilla_General_07-12-2012_8_3'!I2081,"AAAAADr8/Sk=")</f>
        <v>#VALUE!</v>
      </c>
      <c r="AQ139" t="e">
        <f>AND('Planilla_General_07-12-2012_8_3'!J2081,"AAAAADr8/So=")</f>
        <v>#VALUE!</v>
      </c>
      <c r="AR139" t="e">
        <f>AND('Planilla_General_07-12-2012_8_3'!K2081,"AAAAADr8/Ss=")</f>
        <v>#VALUE!</v>
      </c>
      <c r="AS139" t="e">
        <f>AND('Planilla_General_07-12-2012_8_3'!L2081,"AAAAADr8/Sw=")</f>
        <v>#VALUE!</v>
      </c>
      <c r="AT139" t="e">
        <f>AND('Planilla_General_07-12-2012_8_3'!M2081,"AAAAADr8/S0=")</f>
        <v>#VALUE!</v>
      </c>
      <c r="AU139" t="e">
        <f>AND('Planilla_General_07-12-2012_8_3'!N2081,"AAAAADr8/S4=")</f>
        <v>#VALUE!</v>
      </c>
      <c r="AV139" t="e">
        <f>AND('Planilla_General_07-12-2012_8_3'!O2081,"AAAAADr8/S8=")</f>
        <v>#VALUE!</v>
      </c>
      <c r="AW139" t="e">
        <f>AND('Planilla_General_07-12-2012_8_3'!P2081,"AAAAADr8/TA=")</f>
        <v>#VALUE!</v>
      </c>
      <c r="AX139">
        <f>IF('Planilla_General_07-12-2012_8_3'!2082:2082,"AAAAADr8/TE=",0)</f>
        <v>0</v>
      </c>
      <c r="AY139" t="e">
        <f>AND('Planilla_General_07-12-2012_8_3'!A2082,"AAAAADr8/TI=")</f>
        <v>#VALUE!</v>
      </c>
      <c r="AZ139" t="e">
        <f>AND('Planilla_General_07-12-2012_8_3'!B2082,"AAAAADr8/TM=")</f>
        <v>#VALUE!</v>
      </c>
      <c r="BA139" t="e">
        <f>AND('Planilla_General_07-12-2012_8_3'!C2082,"AAAAADr8/TQ=")</f>
        <v>#VALUE!</v>
      </c>
      <c r="BB139" t="e">
        <f>AND('Planilla_General_07-12-2012_8_3'!D2082,"AAAAADr8/TU=")</f>
        <v>#VALUE!</v>
      </c>
      <c r="BC139" t="e">
        <f>AND('Planilla_General_07-12-2012_8_3'!E2082,"AAAAADr8/TY=")</f>
        <v>#VALUE!</v>
      </c>
      <c r="BD139" t="e">
        <f>AND('Planilla_General_07-12-2012_8_3'!F2082,"AAAAADr8/Tc=")</f>
        <v>#VALUE!</v>
      </c>
      <c r="BE139" t="e">
        <f>AND('Planilla_General_07-12-2012_8_3'!G2082,"AAAAADr8/Tg=")</f>
        <v>#VALUE!</v>
      </c>
      <c r="BF139" t="e">
        <f>AND('Planilla_General_07-12-2012_8_3'!H2082,"AAAAADr8/Tk=")</f>
        <v>#VALUE!</v>
      </c>
      <c r="BG139" t="e">
        <f>AND('Planilla_General_07-12-2012_8_3'!I2082,"AAAAADr8/To=")</f>
        <v>#VALUE!</v>
      </c>
      <c r="BH139" t="e">
        <f>AND('Planilla_General_07-12-2012_8_3'!J2082,"AAAAADr8/Ts=")</f>
        <v>#VALUE!</v>
      </c>
      <c r="BI139" t="e">
        <f>AND('Planilla_General_07-12-2012_8_3'!K2082,"AAAAADr8/Tw=")</f>
        <v>#VALUE!</v>
      </c>
      <c r="BJ139" t="e">
        <f>AND('Planilla_General_07-12-2012_8_3'!L2082,"AAAAADr8/T0=")</f>
        <v>#VALUE!</v>
      </c>
      <c r="BK139" t="e">
        <f>AND('Planilla_General_07-12-2012_8_3'!M2082,"AAAAADr8/T4=")</f>
        <v>#VALUE!</v>
      </c>
      <c r="BL139" t="e">
        <f>AND('Planilla_General_07-12-2012_8_3'!N2082,"AAAAADr8/T8=")</f>
        <v>#VALUE!</v>
      </c>
      <c r="BM139" t="e">
        <f>AND('Planilla_General_07-12-2012_8_3'!O2082,"AAAAADr8/UA=")</f>
        <v>#VALUE!</v>
      </c>
      <c r="BN139" t="e">
        <f>AND('Planilla_General_07-12-2012_8_3'!P2082,"AAAAADr8/UE=")</f>
        <v>#VALUE!</v>
      </c>
      <c r="BO139">
        <f>IF('Planilla_General_07-12-2012_8_3'!2083:2083,"AAAAADr8/UI=",0)</f>
        <v>0</v>
      </c>
      <c r="BP139" t="e">
        <f>AND('Planilla_General_07-12-2012_8_3'!A2083,"AAAAADr8/UM=")</f>
        <v>#VALUE!</v>
      </c>
      <c r="BQ139" t="e">
        <f>AND('Planilla_General_07-12-2012_8_3'!B2083,"AAAAADr8/UQ=")</f>
        <v>#VALUE!</v>
      </c>
      <c r="BR139" t="e">
        <f>AND('Planilla_General_07-12-2012_8_3'!C2083,"AAAAADr8/UU=")</f>
        <v>#VALUE!</v>
      </c>
      <c r="BS139" t="e">
        <f>AND('Planilla_General_07-12-2012_8_3'!D2083,"AAAAADr8/UY=")</f>
        <v>#VALUE!</v>
      </c>
      <c r="BT139" t="e">
        <f>AND('Planilla_General_07-12-2012_8_3'!E2083,"AAAAADr8/Uc=")</f>
        <v>#VALUE!</v>
      </c>
      <c r="BU139" t="e">
        <f>AND('Planilla_General_07-12-2012_8_3'!F2083,"AAAAADr8/Ug=")</f>
        <v>#VALUE!</v>
      </c>
      <c r="BV139" t="e">
        <f>AND('Planilla_General_07-12-2012_8_3'!G2083,"AAAAADr8/Uk=")</f>
        <v>#VALUE!</v>
      </c>
      <c r="BW139" t="e">
        <f>AND('Planilla_General_07-12-2012_8_3'!H2083,"AAAAADr8/Uo=")</f>
        <v>#VALUE!</v>
      </c>
      <c r="BX139" t="e">
        <f>AND('Planilla_General_07-12-2012_8_3'!I2083,"AAAAADr8/Us=")</f>
        <v>#VALUE!</v>
      </c>
      <c r="BY139" t="e">
        <f>AND('Planilla_General_07-12-2012_8_3'!J2083,"AAAAADr8/Uw=")</f>
        <v>#VALUE!</v>
      </c>
      <c r="BZ139" t="e">
        <f>AND('Planilla_General_07-12-2012_8_3'!K2083,"AAAAADr8/U0=")</f>
        <v>#VALUE!</v>
      </c>
      <c r="CA139" t="e">
        <f>AND('Planilla_General_07-12-2012_8_3'!L2083,"AAAAADr8/U4=")</f>
        <v>#VALUE!</v>
      </c>
      <c r="CB139" t="e">
        <f>AND('Planilla_General_07-12-2012_8_3'!M2083,"AAAAADr8/U8=")</f>
        <v>#VALUE!</v>
      </c>
      <c r="CC139" t="e">
        <f>AND('Planilla_General_07-12-2012_8_3'!N2083,"AAAAADr8/VA=")</f>
        <v>#VALUE!</v>
      </c>
      <c r="CD139" t="e">
        <f>AND('Planilla_General_07-12-2012_8_3'!O2083,"AAAAADr8/VE=")</f>
        <v>#VALUE!</v>
      </c>
      <c r="CE139" t="e">
        <f>AND('Planilla_General_07-12-2012_8_3'!P2083,"AAAAADr8/VI=")</f>
        <v>#VALUE!</v>
      </c>
      <c r="CF139">
        <f>IF('Planilla_General_07-12-2012_8_3'!2084:2084,"AAAAADr8/VM=",0)</f>
        <v>0</v>
      </c>
      <c r="CG139" t="e">
        <f>AND('Planilla_General_07-12-2012_8_3'!A2084,"AAAAADr8/VQ=")</f>
        <v>#VALUE!</v>
      </c>
      <c r="CH139" t="e">
        <f>AND('Planilla_General_07-12-2012_8_3'!B2084,"AAAAADr8/VU=")</f>
        <v>#VALUE!</v>
      </c>
      <c r="CI139" t="e">
        <f>AND('Planilla_General_07-12-2012_8_3'!C2084,"AAAAADr8/VY=")</f>
        <v>#VALUE!</v>
      </c>
      <c r="CJ139" t="e">
        <f>AND('Planilla_General_07-12-2012_8_3'!D2084,"AAAAADr8/Vc=")</f>
        <v>#VALUE!</v>
      </c>
      <c r="CK139" t="e">
        <f>AND('Planilla_General_07-12-2012_8_3'!E2084,"AAAAADr8/Vg=")</f>
        <v>#VALUE!</v>
      </c>
      <c r="CL139" t="e">
        <f>AND('Planilla_General_07-12-2012_8_3'!F2084,"AAAAADr8/Vk=")</f>
        <v>#VALUE!</v>
      </c>
      <c r="CM139" t="e">
        <f>AND('Planilla_General_07-12-2012_8_3'!G2084,"AAAAADr8/Vo=")</f>
        <v>#VALUE!</v>
      </c>
      <c r="CN139" t="e">
        <f>AND('Planilla_General_07-12-2012_8_3'!H2084,"AAAAADr8/Vs=")</f>
        <v>#VALUE!</v>
      </c>
      <c r="CO139" t="e">
        <f>AND('Planilla_General_07-12-2012_8_3'!I2084,"AAAAADr8/Vw=")</f>
        <v>#VALUE!</v>
      </c>
      <c r="CP139" t="e">
        <f>AND('Planilla_General_07-12-2012_8_3'!J2084,"AAAAADr8/V0=")</f>
        <v>#VALUE!</v>
      </c>
      <c r="CQ139" t="e">
        <f>AND('Planilla_General_07-12-2012_8_3'!K2084,"AAAAADr8/V4=")</f>
        <v>#VALUE!</v>
      </c>
      <c r="CR139" t="e">
        <f>AND('Planilla_General_07-12-2012_8_3'!L2084,"AAAAADr8/V8=")</f>
        <v>#VALUE!</v>
      </c>
      <c r="CS139" t="e">
        <f>AND('Planilla_General_07-12-2012_8_3'!M2084,"AAAAADr8/WA=")</f>
        <v>#VALUE!</v>
      </c>
      <c r="CT139" t="e">
        <f>AND('Planilla_General_07-12-2012_8_3'!N2084,"AAAAADr8/WE=")</f>
        <v>#VALUE!</v>
      </c>
      <c r="CU139" t="e">
        <f>AND('Planilla_General_07-12-2012_8_3'!O2084,"AAAAADr8/WI=")</f>
        <v>#VALUE!</v>
      </c>
      <c r="CV139" t="e">
        <f>AND('Planilla_General_07-12-2012_8_3'!P2084,"AAAAADr8/WM=")</f>
        <v>#VALUE!</v>
      </c>
      <c r="CW139">
        <f>IF('Planilla_General_07-12-2012_8_3'!2085:2085,"AAAAADr8/WQ=",0)</f>
        <v>0</v>
      </c>
      <c r="CX139" t="e">
        <f>AND('Planilla_General_07-12-2012_8_3'!A2085,"AAAAADr8/WU=")</f>
        <v>#VALUE!</v>
      </c>
      <c r="CY139" t="e">
        <f>AND('Planilla_General_07-12-2012_8_3'!B2085,"AAAAADr8/WY=")</f>
        <v>#VALUE!</v>
      </c>
      <c r="CZ139" t="e">
        <f>AND('Planilla_General_07-12-2012_8_3'!C2085,"AAAAADr8/Wc=")</f>
        <v>#VALUE!</v>
      </c>
      <c r="DA139" t="e">
        <f>AND('Planilla_General_07-12-2012_8_3'!D2085,"AAAAADr8/Wg=")</f>
        <v>#VALUE!</v>
      </c>
      <c r="DB139" t="e">
        <f>AND('Planilla_General_07-12-2012_8_3'!E2085,"AAAAADr8/Wk=")</f>
        <v>#VALUE!</v>
      </c>
      <c r="DC139" t="e">
        <f>AND('Planilla_General_07-12-2012_8_3'!F2085,"AAAAADr8/Wo=")</f>
        <v>#VALUE!</v>
      </c>
      <c r="DD139" t="e">
        <f>AND('Planilla_General_07-12-2012_8_3'!G2085,"AAAAADr8/Ws=")</f>
        <v>#VALUE!</v>
      </c>
      <c r="DE139" t="e">
        <f>AND('Planilla_General_07-12-2012_8_3'!H2085,"AAAAADr8/Ww=")</f>
        <v>#VALUE!</v>
      </c>
      <c r="DF139" t="e">
        <f>AND('Planilla_General_07-12-2012_8_3'!I2085,"AAAAADr8/W0=")</f>
        <v>#VALUE!</v>
      </c>
      <c r="DG139" t="e">
        <f>AND('Planilla_General_07-12-2012_8_3'!J2085,"AAAAADr8/W4=")</f>
        <v>#VALUE!</v>
      </c>
      <c r="DH139" t="e">
        <f>AND('Planilla_General_07-12-2012_8_3'!K2085,"AAAAADr8/W8=")</f>
        <v>#VALUE!</v>
      </c>
      <c r="DI139" t="e">
        <f>AND('Planilla_General_07-12-2012_8_3'!L2085,"AAAAADr8/XA=")</f>
        <v>#VALUE!</v>
      </c>
      <c r="DJ139" t="e">
        <f>AND('Planilla_General_07-12-2012_8_3'!M2085,"AAAAADr8/XE=")</f>
        <v>#VALUE!</v>
      </c>
      <c r="DK139" t="e">
        <f>AND('Planilla_General_07-12-2012_8_3'!N2085,"AAAAADr8/XI=")</f>
        <v>#VALUE!</v>
      </c>
      <c r="DL139" t="e">
        <f>AND('Planilla_General_07-12-2012_8_3'!O2085,"AAAAADr8/XM=")</f>
        <v>#VALUE!</v>
      </c>
      <c r="DM139" t="e">
        <f>AND('Planilla_General_07-12-2012_8_3'!P2085,"AAAAADr8/XQ=")</f>
        <v>#VALUE!</v>
      </c>
      <c r="DN139">
        <f>IF('Planilla_General_07-12-2012_8_3'!2086:2086,"AAAAADr8/XU=",0)</f>
        <v>0</v>
      </c>
      <c r="DO139" t="e">
        <f>AND('Planilla_General_07-12-2012_8_3'!A2086,"AAAAADr8/XY=")</f>
        <v>#VALUE!</v>
      </c>
      <c r="DP139" t="e">
        <f>AND('Planilla_General_07-12-2012_8_3'!B2086,"AAAAADr8/Xc=")</f>
        <v>#VALUE!</v>
      </c>
      <c r="DQ139" t="e">
        <f>AND('Planilla_General_07-12-2012_8_3'!C2086,"AAAAADr8/Xg=")</f>
        <v>#VALUE!</v>
      </c>
      <c r="DR139" t="e">
        <f>AND('Planilla_General_07-12-2012_8_3'!D2086,"AAAAADr8/Xk=")</f>
        <v>#VALUE!</v>
      </c>
      <c r="DS139" t="e">
        <f>AND('Planilla_General_07-12-2012_8_3'!E2086,"AAAAADr8/Xo=")</f>
        <v>#VALUE!</v>
      </c>
      <c r="DT139" t="e">
        <f>AND('Planilla_General_07-12-2012_8_3'!F2086,"AAAAADr8/Xs=")</f>
        <v>#VALUE!</v>
      </c>
      <c r="DU139" t="e">
        <f>AND('Planilla_General_07-12-2012_8_3'!G2086,"AAAAADr8/Xw=")</f>
        <v>#VALUE!</v>
      </c>
      <c r="DV139" t="e">
        <f>AND('Planilla_General_07-12-2012_8_3'!H2086,"AAAAADr8/X0=")</f>
        <v>#VALUE!</v>
      </c>
      <c r="DW139" t="e">
        <f>AND('Planilla_General_07-12-2012_8_3'!I2086,"AAAAADr8/X4=")</f>
        <v>#VALUE!</v>
      </c>
      <c r="DX139" t="e">
        <f>AND('Planilla_General_07-12-2012_8_3'!J2086,"AAAAADr8/X8=")</f>
        <v>#VALUE!</v>
      </c>
      <c r="DY139" t="e">
        <f>AND('Planilla_General_07-12-2012_8_3'!K2086,"AAAAADr8/YA=")</f>
        <v>#VALUE!</v>
      </c>
      <c r="DZ139" t="e">
        <f>AND('Planilla_General_07-12-2012_8_3'!L2086,"AAAAADr8/YE=")</f>
        <v>#VALUE!</v>
      </c>
      <c r="EA139" t="e">
        <f>AND('Planilla_General_07-12-2012_8_3'!M2086,"AAAAADr8/YI=")</f>
        <v>#VALUE!</v>
      </c>
      <c r="EB139" t="e">
        <f>AND('Planilla_General_07-12-2012_8_3'!N2086,"AAAAADr8/YM=")</f>
        <v>#VALUE!</v>
      </c>
      <c r="EC139" t="e">
        <f>AND('Planilla_General_07-12-2012_8_3'!O2086,"AAAAADr8/YQ=")</f>
        <v>#VALUE!</v>
      </c>
      <c r="ED139" t="e">
        <f>AND('Planilla_General_07-12-2012_8_3'!P2086,"AAAAADr8/YU=")</f>
        <v>#VALUE!</v>
      </c>
      <c r="EE139">
        <f>IF('Planilla_General_07-12-2012_8_3'!2087:2087,"AAAAADr8/YY=",0)</f>
        <v>0</v>
      </c>
      <c r="EF139" t="e">
        <f>AND('Planilla_General_07-12-2012_8_3'!A2087,"AAAAADr8/Yc=")</f>
        <v>#VALUE!</v>
      </c>
      <c r="EG139" t="e">
        <f>AND('Planilla_General_07-12-2012_8_3'!B2087,"AAAAADr8/Yg=")</f>
        <v>#VALUE!</v>
      </c>
      <c r="EH139" t="e">
        <f>AND('Planilla_General_07-12-2012_8_3'!C2087,"AAAAADr8/Yk=")</f>
        <v>#VALUE!</v>
      </c>
      <c r="EI139" t="e">
        <f>AND('Planilla_General_07-12-2012_8_3'!D2087,"AAAAADr8/Yo=")</f>
        <v>#VALUE!</v>
      </c>
      <c r="EJ139" t="e">
        <f>AND('Planilla_General_07-12-2012_8_3'!E2087,"AAAAADr8/Ys=")</f>
        <v>#VALUE!</v>
      </c>
      <c r="EK139" t="e">
        <f>AND('Planilla_General_07-12-2012_8_3'!F2087,"AAAAADr8/Yw=")</f>
        <v>#VALUE!</v>
      </c>
      <c r="EL139" t="e">
        <f>AND('Planilla_General_07-12-2012_8_3'!G2087,"AAAAADr8/Y0=")</f>
        <v>#VALUE!</v>
      </c>
      <c r="EM139" t="e">
        <f>AND('Planilla_General_07-12-2012_8_3'!H2087,"AAAAADr8/Y4=")</f>
        <v>#VALUE!</v>
      </c>
      <c r="EN139" t="e">
        <f>AND('Planilla_General_07-12-2012_8_3'!I2087,"AAAAADr8/Y8=")</f>
        <v>#VALUE!</v>
      </c>
      <c r="EO139" t="e">
        <f>AND('Planilla_General_07-12-2012_8_3'!J2087,"AAAAADr8/ZA=")</f>
        <v>#VALUE!</v>
      </c>
      <c r="EP139" t="e">
        <f>AND('Planilla_General_07-12-2012_8_3'!K2087,"AAAAADr8/ZE=")</f>
        <v>#VALUE!</v>
      </c>
      <c r="EQ139" t="e">
        <f>AND('Planilla_General_07-12-2012_8_3'!L2087,"AAAAADr8/ZI=")</f>
        <v>#VALUE!</v>
      </c>
      <c r="ER139" t="e">
        <f>AND('Planilla_General_07-12-2012_8_3'!M2087,"AAAAADr8/ZM=")</f>
        <v>#VALUE!</v>
      </c>
      <c r="ES139" t="e">
        <f>AND('Planilla_General_07-12-2012_8_3'!N2087,"AAAAADr8/ZQ=")</f>
        <v>#VALUE!</v>
      </c>
      <c r="ET139" t="e">
        <f>AND('Planilla_General_07-12-2012_8_3'!O2087,"AAAAADr8/ZU=")</f>
        <v>#VALUE!</v>
      </c>
      <c r="EU139" t="e">
        <f>AND('Planilla_General_07-12-2012_8_3'!P2087,"AAAAADr8/ZY=")</f>
        <v>#VALUE!</v>
      </c>
      <c r="EV139">
        <f>IF('Planilla_General_07-12-2012_8_3'!2088:2088,"AAAAADr8/Zc=",0)</f>
        <v>0</v>
      </c>
      <c r="EW139" t="e">
        <f>AND('Planilla_General_07-12-2012_8_3'!A2088,"AAAAADr8/Zg=")</f>
        <v>#VALUE!</v>
      </c>
      <c r="EX139" t="e">
        <f>AND('Planilla_General_07-12-2012_8_3'!B2088,"AAAAADr8/Zk=")</f>
        <v>#VALUE!</v>
      </c>
      <c r="EY139" t="e">
        <f>AND('Planilla_General_07-12-2012_8_3'!C2088,"AAAAADr8/Zo=")</f>
        <v>#VALUE!</v>
      </c>
      <c r="EZ139" t="e">
        <f>AND('Planilla_General_07-12-2012_8_3'!D2088,"AAAAADr8/Zs=")</f>
        <v>#VALUE!</v>
      </c>
      <c r="FA139" t="e">
        <f>AND('Planilla_General_07-12-2012_8_3'!E2088,"AAAAADr8/Zw=")</f>
        <v>#VALUE!</v>
      </c>
      <c r="FB139" t="e">
        <f>AND('Planilla_General_07-12-2012_8_3'!F2088,"AAAAADr8/Z0=")</f>
        <v>#VALUE!</v>
      </c>
      <c r="FC139" t="e">
        <f>AND('Planilla_General_07-12-2012_8_3'!G2088,"AAAAADr8/Z4=")</f>
        <v>#VALUE!</v>
      </c>
      <c r="FD139" t="e">
        <f>AND('Planilla_General_07-12-2012_8_3'!H2088,"AAAAADr8/Z8=")</f>
        <v>#VALUE!</v>
      </c>
      <c r="FE139" t="e">
        <f>AND('Planilla_General_07-12-2012_8_3'!I2088,"AAAAADr8/aA=")</f>
        <v>#VALUE!</v>
      </c>
      <c r="FF139" t="e">
        <f>AND('Planilla_General_07-12-2012_8_3'!J2088,"AAAAADr8/aE=")</f>
        <v>#VALUE!</v>
      </c>
      <c r="FG139" t="e">
        <f>AND('Planilla_General_07-12-2012_8_3'!K2088,"AAAAADr8/aI=")</f>
        <v>#VALUE!</v>
      </c>
      <c r="FH139" t="e">
        <f>AND('Planilla_General_07-12-2012_8_3'!L2088,"AAAAADr8/aM=")</f>
        <v>#VALUE!</v>
      </c>
      <c r="FI139" t="e">
        <f>AND('Planilla_General_07-12-2012_8_3'!M2088,"AAAAADr8/aQ=")</f>
        <v>#VALUE!</v>
      </c>
      <c r="FJ139" t="e">
        <f>AND('Planilla_General_07-12-2012_8_3'!N2088,"AAAAADr8/aU=")</f>
        <v>#VALUE!</v>
      </c>
      <c r="FK139" t="e">
        <f>AND('Planilla_General_07-12-2012_8_3'!O2088,"AAAAADr8/aY=")</f>
        <v>#VALUE!</v>
      </c>
      <c r="FL139" t="e">
        <f>AND('Planilla_General_07-12-2012_8_3'!P2088,"AAAAADr8/ac=")</f>
        <v>#VALUE!</v>
      </c>
      <c r="FM139">
        <f>IF('Planilla_General_07-12-2012_8_3'!2089:2089,"AAAAADr8/ag=",0)</f>
        <v>0</v>
      </c>
      <c r="FN139" t="e">
        <f>AND('Planilla_General_07-12-2012_8_3'!A2089,"AAAAADr8/ak=")</f>
        <v>#VALUE!</v>
      </c>
      <c r="FO139" t="e">
        <f>AND('Planilla_General_07-12-2012_8_3'!B2089,"AAAAADr8/ao=")</f>
        <v>#VALUE!</v>
      </c>
      <c r="FP139" t="e">
        <f>AND('Planilla_General_07-12-2012_8_3'!C2089,"AAAAADr8/as=")</f>
        <v>#VALUE!</v>
      </c>
      <c r="FQ139" t="e">
        <f>AND('Planilla_General_07-12-2012_8_3'!D2089,"AAAAADr8/aw=")</f>
        <v>#VALUE!</v>
      </c>
      <c r="FR139" t="e">
        <f>AND('Planilla_General_07-12-2012_8_3'!E2089,"AAAAADr8/a0=")</f>
        <v>#VALUE!</v>
      </c>
      <c r="FS139" t="e">
        <f>AND('Planilla_General_07-12-2012_8_3'!F2089,"AAAAADr8/a4=")</f>
        <v>#VALUE!</v>
      </c>
      <c r="FT139" t="e">
        <f>AND('Planilla_General_07-12-2012_8_3'!G2089,"AAAAADr8/a8=")</f>
        <v>#VALUE!</v>
      </c>
      <c r="FU139" t="e">
        <f>AND('Planilla_General_07-12-2012_8_3'!H2089,"AAAAADr8/bA=")</f>
        <v>#VALUE!</v>
      </c>
      <c r="FV139" t="e">
        <f>AND('Planilla_General_07-12-2012_8_3'!I2089,"AAAAADr8/bE=")</f>
        <v>#VALUE!</v>
      </c>
      <c r="FW139" t="e">
        <f>AND('Planilla_General_07-12-2012_8_3'!J2089,"AAAAADr8/bI=")</f>
        <v>#VALUE!</v>
      </c>
      <c r="FX139" t="e">
        <f>AND('Planilla_General_07-12-2012_8_3'!K2089,"AAAAADr8/bM=")</f>
        <v>#VALUE!</v>
      </c>
      <c r="FY139" t="e">
        <f>AND('Planilla_General_07-12-2012_8_3'!L2089,"AAAAADr8/bQ=")</f>
        <v>#VALUE!</v>
      </c>
      <c r="FZ139" t="e">
        <f>AND('Planilla_General_07-12-2012_8_3'!M2089,"AAAAADr8/bU=")</f>
        <v>#VALUE!</v>
      </c>
      <c r="GA139" t="e">
        <f>AND('Planilla_General_07-12-2012_8_3'!N2089,"AAAAADr8/bY=")</f>
        <v>#VALUE!</v>
      </c>
      <c r="GB139" t="e">
        <f>AND('Planilla_General_07-12-2012_8_3'!O2089,"AAAAADr8/bc=")</f>
        <v>#VALUE!</v>
      </c>
      <c r="GC139" t="e">
        <f>AND('Planilla_General_07-12-2012_8_3'!P2089,"AAAAADr8/bg=")</f>
        <v>#VALUE!</v>
      </c>
      <c r="GD139">
        <f>IF('Planilla_General_07-12-2012_8_3'!2090:2090,"AAAAADr8/bk=",0)</f>
        <v>0</v>
      </c>
      <c r="GE139" t="e">
        <f>AND('Planilla_General_07-12-2012_8_3'!A2090,"AAAAADr8/bo=")</f>
        <v>#VALUE!</v>
      </c>
      <c r="GF139" t="e">
        <f>AND('Planilla_General_07-12-2012_8_3'!B2090,"AAAAADr8/bs=")</f>
        <v>#VALUE!</v>
      </c>
      <c r="GG139" t="e">
        <f>AND('Planilla_General_07-12-2012_8_3'!C2090,"AAAAADr8/bw=")</f>
        <v>#VALUE!</v>
      </c>
      <c r="GH139" t="e">
        <f>AND('Planilla_General_07-12-2012_8_3'!D2090,"AAAAADr8/b0=")</f>
        <v>#VALUE!</v>
      </c>
      <c r="GI139" t="e">
        <f>AND('Planilla_General_07-12-2012_8_3'!E2090,"AAAAADr8/b4=")</f>
        <v>#VALUE!</v>
      </c>
      <c r="GJ139" t="e">
        <f>AND('Planilla_General_07-12-2012_8_3'!F2090,"AAAAADr8/b8=")</f>
        <v>#VALUE!</v>
      </c>
      <c r="GK139" t="e">
        <f>AND('Planilla_General_07-12-2012_8_3'!G2090,"AAAAADr8/cA=")</f>
        <v>#VALUE!</v>
      </c>
      <c r="GL139" t="e">
        <f>AND('Planilla_General_07-12-2012_8_3'!H2090,"AAAAADr8/cE=")</f>
        <v>#VALUE!</v>
      </c>
      <c r="GM139" t="e">
        <f>AND('Planilla_General_07-12-2012_8_3'!I2090,"AAAAADr8/cI=")</f>
        <v>#VALUE!</v>
      </c>
      <c r="GN139" t="e">
        <f>AND('Planilla_General_07-12-2012_8_3'!J2090,"AAAAADr8/cM=")</f>
        <v>#VALUE!</v>
      </c>
      <c r="GO139" t="e">
        <f>AND('Planilla_General_07-12-2012_8_3'!K2090,"AAAAADr8/cQ=")</f>
        <v>#VALUE!</v>
      </c>
      <c r="GP139" t="e">
        <f>AND('Planilla_General_07-12-2012_8_3'!L2090,"AAAAADr8/cU=")</f>
        <v>#VALUE!</v>
      </c>
      <c r="GQ139" t="e">
        <f>AND('Planilla_General_07-12-2012_8_3'!M2090,"AAAAADr8/cY=")</f>
        <v>#VALUE!</v>
      </c>
      <c r="GR139" t="e">
        <f>AND('Planilla_General_07-12-2012_8_3'!N2090,"AAAAADr8/cc=")</f>
        <v>#VALUE!</v>
      </c>
      <c r="GS139" t="e">
        <f>AND('Planilla_General_07-12-2012_8_3'!O2090,"AAAAADr8/cg=")</f>
        <v>#VALUE!</v>
      </c>
      <c r="GT139" t="e">
        <f>AND('Planilla_General_07-12-2012_8_3'!P2090,"AAAAADr8/ck=")</f>
        <v>#VALUE!</v>
      </c>
      <c r="GU139">
        <f>IF('Planilla_General_07-12-2012_8_3'!2091:2091,"AAAAADr8/co=",0)</f>
        <v>0</v>
      </c>
      <c r="GV139" t="e">
        <f>AND('Planilla_General_07-12-2012_8_3'!A2091,"AAAAADr8/cs=")</f>
        <v>#VALUE!</v>
      </c>
      <c r="GW139" t="e">
        <f>AND('Planilla_General_07-12-2012_8_3'!B2091,"AAAAADr8/cw=")</f>
        <v>#VALUE!</v>
      </c>
      <c r="GX139" t="e">
        <f>AND('Planilla_General_07-12-2012_8_3'!C2091,"AAAAADr8/c0=")</f>
        <v>#VALUE!</v>
      </c>
      <c r="GY139" t="e">
        <f>AND('Planilla_General_07-12-2012_8_3'!D2091,"AAAAADr8/c4=")</f>
        <v>#VALUE!</v>
      </c>
      <c r="GZ139" t="e">
        <f>AND('Planilla_General_07-12-2012_8_3'!E2091,"AAAAADr8/c8=")</f>
        <v>#VALUE!</v>
      </c>
      <c r="HA139" t="e">
        <f>AND('Planilla_General_07-12-2012_8_3'!F2091,"AAAAADr8/dA=")</f>
        <v>#VALUE!</v>
      </c>
      <c r="HB139" t="e">
        <f>AND('Planilla_General_07-12-2012_8_3'!G2091,"AAAAADr8/dE=")</f>
        <v>#VALUE!</v>
      </c>
      <c r="HC139" t="e">
        <f>AND('Planilla_General_07-12-2012_8_3'!H2091,"AAAAADr8/dI=")</f>
        <v>#VALUE!</v>
      </c>
      <c r="HD139" t="e">
        <f>AND('Planilla_General_07-12-2012_8_3'!I2091,"AAAAADr8/dM=")</f>
        <v>#VALUE!</v>
      </c>
      <c r="HE139" t="e">
        <f>AND('Planilla_General_07-12-2012_8_3'!J2091,"AAAAADr8/dQ=")</f>
        <v>#VALUE!</v>
      </c>
      <c r="HF139" t="e">
        <f>AND('Planilla_General_07-12-2012_8_3'!K2091,"AAAAADr8/dU=")</f>
        <v>#VALUE!</v>
      </c>
      <c r="HG139" t="e">
        <f>AND('Planilla_General_07-12-2012_8_3'!L2091,"AAAAADr8/dY=")</f>
        <v>#VALUE!</v>
      </c>
      <c r="HH139" t="e">
        <f>AND('Planilla_General_07-12-2012_8_3'!M2091,"AAAAADr8/dc=")</f>
        <v>#VALUE!</v>
      </c>
      <c r="HI139" t="e">
        <f>AND('Planilla_General_07-12-2012_8_3'!N2091,"AAAAADr8/dg=")</f>
        <v>#VALUE!</v>
      </c>
      <c r="HJ139" t="e">
        <f>AND('Planilla_General_07-12-2012_8_3'!O2091,"AAAAADr8/dk=")</f>
        <v>#VALUE!</v>
      </c>
      <c r="HK139" t="e">
        <f>AND('Planilla_General_07-12-2012_8_3'!P2091,"AAAAADr8/do=")</f>
        <v>#VALUE!</v>
      </c>
      <c r="HL139">
        <f>IF('Planilla_General_07-12-2012_8_3'!2092:2092,"AAAAADr8/ds=",0)</f>
        <v>0</v>
      </c>
      <c r="HM139" t="e">
        <f>AND('Planilla_General_07-12-2012_8_3'!A2092,"AAAAADr8/dw=")</f>
        <v>#VALUE!</v>
      </c>
      <c r="HN139" t="e">
        <f>AND('Planilla_General_07-12-2012_8_3'!B2092,"AAAAADr8/d0=")</f>
        <v>#VALUE!</v>
      </c>
      <c r="HO139" t="e">
        <f>AND('Planilla_General_07-12-2012_8_3'!C2092,"AAAAADr8/d4=")</f>
        <v>#VALUE!</v>
      </c>
      <c r="HP139" t="e">
        <f>AND('Planilla_General_07-12-2012_8_3'!D2092,"AAAAADr8/d8=")</f>
        <v>#VALUE!</v>
      </c>
      <c r="HQ139" t="e">
        <f>AND('Planilla_General_07-12-2012_8_3'!E2092,"AAAAADr8/eA=")</f>
        <v>#VALUE!</v>
      </c>
      <c r="HR139" t="e">
        <f>AND('Planilla_General_07-12-2012_8_3'!F2092,"AAAAADr8/eE=")</f>
        <v>#VALUE!</v>
      </c>
      <c r="HS139" t="e">
        <f>AND('Planilla_General_07-12-2012_8_3'!G2092,"AAAAADr8/eI=")</f>
        <v>#VALUE!</v>
      </c>
      <c r="HT139" t="e">
        <f>AND('Planilla_General_07-12-2012_8_3'!H2092,"AAAAADr8/eM=")</f>
        <v>#VALUE!</v>
      </c>
      <c r="HU139" t="e">
        <f>AND('Planilla_General_07-12-2012_8_3'!I2092,"AAAAADr8/eQ=")</f>
        <v>#VALUE!</v>
      </c>
      <c r="HV139" t="e">
        <f>AND('Planilla_General_07-12-2012_8_3'!J2092,"AAAAADr8/eU=")</f>
        <v>#VALUE!</v>
      </c>
      <c r="HW139" t="e">
        <f>AND('Planilla_General_07-12-2012_8_3'!K2092,"AAAAADr8/eY=")</f>
        <v>#VALUE!</v>
      </c>
      <c r="HX139" t="e">
        <f>AND('Planilla_General_07-12-2012_8_3'!L2092,"AAAAADr8/ec=")</f>
        <v>#VALUE!</v>
      </c>
      <c r="HY139" t="e">
        <f>AND('Planilla_General_07-12-2012_8_3'!M2092,"AAAAADr8/eg=")</f>
        <v>#VALUE!</v>
      </c>
      <c r="HZ139" t="e">
        <f>AND('Planilla_General_07-12-2012_8_3'!N2092,"AAAAADr8/ek=")</f>
        <v>#VALUE!</v>
      </c>
      <c r="IA139" t="e">
        <f>AND('Planilla_General_07-12-2012_8_3'!O2092,"AAAAADr8/eo=")</f>
        <v>#VALUE!</v>
      </c>
      <c r="IB139" t="e">
        <f>AND('Planilla_General_07-12-2012_8_3'!P2092,"AAAAADr8/es=")</f>
        <v>#VALUE!</v>
      </c>
      <c r="IC139">
        <f>IF('Planilla_General_07-12-2012_8_3'!2093:2093,"AAAAADr8/ew=",0)</f>
        <v>0</v>
      </c>
      <c r="ID139" t="e">
        <f>AND('Planilla_General_07-12-2012_8_3'!A2093,"AAAAADr8/e0=")</f>
        <v>#VALUE!</v>
      </c>
      <c r="IE139" t="e">
        <f>AND('Planilla_General_07-12-2012_8_3'!B2093,"AAAAADr8/e4=")</f>
        <v>#VALUE!</v>
      </c>
      <c r="IF139" t="e">
        <f>AND('Planilla_General_07-12-2012_8_3'!C2093,"AAAAADr8/e8=")</f>
        <v>#VALUE!</v>
      </c>
      <c r="IG139" t="e">
        <f>AND('Planilla_General_07-12-2012_8_3'!D2093,"AAAAADr8/fA=")</f>
        <v>#VALUE!</v>
      </c>
      <c r="IH139" t="e">
        <f>AND('Planilla_General_07-12-2012_8_3'!E2093,"AAAAADr8/fE=")</f>
        <v>#VALUE!</v>
      </c>
      <c r="II139" t="e">
        <f>AND('Planilla_General_07-12-2012_8_3'!F2093,"AAAAADr8/fI=")</f>
        <v>#VALUE!</v>
      </c>
      <c r="IJ139" t="e">
        <f>AND('Planilla_General_07-12-2012_8_3'!G2093,"AAAAADr8/fM=")</f>
        <v>#VALUE!</v>
      </c>
      <c r="IK139" t="e">
        <f>AND('Planilla_General_07-12-2012_8_3'!H2093,"AAAAADr8/fQ=")</f>
        <v>#VALUE!</v>
      </c>
      <c r="IL139" t="e">
        <f>AND('Planilla_General_07-12-2012_8_3'!I2093,"AAAAADr8/fU=")</f>
        <v>#VALUE!</v>
      </c>
      <c r="IM139" t="e">
        <f>AND('Planilla_General_07-12-2012_8_3'!J2093,"AAAAADr8/fY=")</f>
        <v>#VALUE!</v>
      </c>
      <c r="IN139" t="e">
        <f>AND('Planilla_General_07-12-2012_8_3'!K2093,"AAAAADr8/fc=")</f>
        <v>#VALUE!</v>
      </c>
      <c r="IO139" t="e">
        <f>AND('Planilla_General_07-12-2012_8_3'!L2093,"AAAAADr8/fg=")</f>
        <v>#VALUE!</v>
      </c>
      <c r="IP139" t="e">
        <f>AND('Planilla_General_07-12-2012_8_3'!M2093,"AAAAADr8/fk=")</f>
        <v>#VALUE!</v>
      </c>
      <c r="IQ139" t="e">
        <f>AND('Planilla_General_07-12-2012_8_3'!N2093,"AAAAADr8/fo=")</f>
        <v>#VALUE!</v>
      </c>
      <c r="IR139" t="e">
        <f>AND('Planilla_General_07-12-2012_8_3'!O2093,"AAAAADr8/fs=")</f>
        <v>#VALUE!</v>
      </c>
      <c r="IS139" t="e">
        <f>AND('Planilla_General_07-12-2012_8_3'!P2093,"AAAAADr8/fw=")</f>
        <v>#VALUE!</v>
      </c>
      <c r="IT139">
        <f>IF('Planilla_General_07-12-2012_8_3'!2094:2094,"AAAAADr8/f0=",0)</f>
        <v>0</v>
      </c>
      <c r="IU139" t="e">
        <f>AND('Planilla_General_07-12-2012_8_3'!A2094,"AAAAADr8/f4=")</f>
        <v>#VALUE!</v>
      </c>
      <c r="IV139" t="e">
        <f>AND('Planilla_General_07-12-2012_8_3'!B2094,"AAAAADr8/f8=")</f>
        <v>#VALUE!</v>
      </c>
    </row>
    <row r="140" spans="1:256" x14ac:dyDescent="0.25">
      <c r="A140" t="e">
        <f>AND('Planilla_General_07-12-2012_8_3'!C2094,"AAAAAH/vrQA=")</f>
        <v>#VALUE!</v>
      </c>
      <c r="B140" t="e">
        <f>AND('Planilla_General_07-12-2012_8_3'!D2094,"AAAAAH/vrQE=")</f>
        <v>#VALUE!</v>
      </c>
      <c r="C140" t="e">
        <f>AND('Planilla_General_07-12-2012_8_3'!E2094,"AAAAAH/vrQI=")</f>
        <v>#VALUE!</v>
      </c>
      <c r="D140" t="e">
        <f>AND('Planilla_General_07-12-2012_8_3'!F2094,"AAAAAH/vrQM=")</f>
        <v>#VALUE!</v>
      </c>
      <c r="E140" t="e">
        <f>AND('Planilla_General_07-12-2012_8_3'!G2094,"AAAAAH/vrQQ=")</f>
        <v>#VALUE!</v>
      </c>
      <c r="F140" t="e">
        <f>AND('Planilla_General_07-12-2012_8_3'!H2094,"AAAAAH/vrQU=")</f>
        <v>#VALUE!</v>
      </c>
      <c r="G140" t="e">
        <f>AND('Planilla_General_07-12-2012_8_3'!I2094,"AAAAAH/vrQY=")</f>
        <v>#VALUE!</v>
      </c>
      <c r="H140" t="e">
        <f>AND('Planilla_General_07-12-2012_8_3'!J2094,"AAAAAH/vrQc=")</f>
        <v>#VALUE!</v>
      </c>
      <c r="I140" t="e">
        <f>AND('Planilla_General_07-12-2012_8_3'!K2094,"AAAAAH/vrQg=")</f>
        <v>#VALUE!</v>
      </c>
      <c r="J140" t="e">
        <f>AND('Planilla_General_07-12-2012_8_3'!L2094,"AAAAAH/vrQk=")</f>
        <v>#VALUE!</v>
      </c>
      <c r="K140" t="e">
        <f>AND('Planilla_General_07-12-2012_8_3'!M2094,"AAAAAH/vrQo=")</f>
        <v>#VALUE!</v>
      </c>
      <c r="L140" t="e">
        <f>AND('Planilla_General_07-12-2012_8_3'!N2094,"AAAAAH/vrQs=")</f>
        <v>#VALUE!</v>
      </c>
      <c r="M140" t="e">
        <f>AND('Planilla_General_07-12-2012_8_3'!O2094,"AAAAAH/vrQw=")</f>
        <v>#VALUE!</v>
      </c>
      <c r="N140" t="e">
        <f>AND('Planilla_General_07-12-2012_8_3'!P2094,"AAAAAH/vrQ0=")</f>
        <v>#VALUE!</v>
      </c>
      <c r="O140" t="str">
        <f>IF('Planilla_General_07-12-2012_8_3'!2095:2095,"AAAAAH/vrQ4=",0)</f>
        <v>AAAAAH/vrQ4=</v>
      </c>
      <c r="P140" t="e">
        <f>AND('Planilla_General_07-12-2012_8_3'!A2095,"AAAAAH/vrQ8=")</f>
        <v>#VALUE!</v>
      </c>
      <c r="Q140" t="e">
        <f>AND('Planilla_General_07-12-2012_8_3'!B2095,"AAAAAH/vrRA=")</f>
        <v>#VALUE!</v>
      </c>
      <c r="R140" t="e">
        <f>AND('Planilla_General_07-12-2012_8_3'!C2095,"AAAAAH/vrRE=")</f>
        <v>#VALUE!</v>
      </c>
      <c r="S140" t="e">
        <f>AND('Planilla_General_07-12-2012_8_3'!D2095,"AAAAAH/vrRI=")</f>
        <v>#VALUE!</v>
      </c>
      <c r="T140" t="e">
        <f>AND('Planilla_General_07-12-2012_8_3'!E2095,"AAAAAH/vrRM=")</f>
        <v>#VALUE!</v>
      </c>
      <c r="U140" t="e">
        <f>AND('Planilla_General_07-12-2012_8_3'!F2095,"AAAAAH/vrRQ=")</f>
        <v>#VALUE!</v>
      </c>
      <c r="V140" t="e">
        <f>AND('Planilla_General_07-12-2012_8_3'!G2095,"AAAAAH/vrRU=")</f>
        <v>#VALUE!</v>
      </c>
      <c r="W140" t="e">
        <f>AND('Planilla_General_07-12-2012_8_3'!H2095,"AAAAAH/vrRY=")</f>
        <v>#VALUE!</v>
      </c>
      <c r="X140" t="e">
        <f>AND('Planilla_General_07-12-2012_8_3'!I2095,"AAAAAH/vrRc=")</f>
        <v>#VALUE!</v>
      </c>
      <c r="Y140" t="e">
        <f>AND('Planilla_General_07-12-2012_8_3'!J2095,"AAAAAH/vrRg=")</f>
        <v>#VALUE!</v>
      </c>
      <c r="Z140" t="e">
        <f>AND('Planilla_General_07-12-2012_8_3'!K2095,"AAAAAH/vrRk=")</f>
        <v>#VALUE!</v>
      </c>
      <c r="AA140" t="e">
        <f>AND('Planilla_General_07-12-2012_8_3'!L2095,"AAAAAH/vrRo=")</f>
        <v>#VALUE!</v>
      </c>
      <c r="AB140" t="e">
        <f>AND('Planilla_General_07-12-2012_8_3'!M2095,"AAAAAH/vrRs=")</f>
        <v>#VALUE!</v>
      </c>
      <c r="AC140" t="e">
        <f>AND('Planilla_General_07-12-2012_8_3'!N2095,"AAAAAH/vrRw=")</f>
        <v>#VALUE!</v>
      </c>
      <c r="AD140" t="e">
        <f>AND('Planilla_General_07-12-2012_8_3'!O2095,"AAAAAH/vrR0=")</f>
        <v>#VALUE!</v>
      </c>
      <c r="AE140" t="e">
        <f>AND('Planilla_General_07-12-2012_8_3'!P2095,"AAAAAH/vrR4=")</f>
        <v>#VALUE!</v>
      </c>
      <c r="AF140">
        <f>IF('Planilla_General_07-12-2012_8_3'!2096:2096,"AAAAAH/vrR8=",0)</f>
        <v>0</v>
      </c>
      <c r="AG140" t="e">
        <f>AND('Planilla_General_07-12-2012_8_3'!A2096,"AAAAAH/vrSA=")</f>
        <v>#VALUE!</v>
      </c>
      <c r="AH140" t="e">
        <f>AND('Planilla_General_07-12-2012_8_3'!B2096,"AAAAAH/vrSE=")</f>
        <v>#VALUE!</v>
      </c>
      <c r="AI140" t="e">
        <f>AND('Planilla_General_07-12-2012_8_3'!C2096,"AAAAAH/vrSI=")</f>
        <v>#VALUE!</v>
      </c>
      <c r="AJ140" t="e">
        <f>AND('Planilla_General_07-12-2012_8_3'!D2096,"AAAAAH/vrSM=")</f>
        <v>#VALUE!</v>
      </c>
      <c r="AK140" t="e">
        <f>AND('Planilla_General_07-12-2012_8_3'!E2096,"AAAAAH/vrSQ=")</f>
        <v>#VALUE!</v>
      </c>
      <c r="AL140" t="e">
        <f>AND('Planilla_General_07-12-2012_8_3'!F2096,"AAAAAH/vrSU=")</f>
        <v>#VALUE!</v>
      </c>
      <c r="AM140" t="e">
        <f>AND('Planilla_General_07-12-2012_8_3'!G2096,"AAAAAH/vrSY=")</f>
        <v>#VALUE!</v>
      </c>
      <c r="AN140" t="e">
        <f>AND('Planilla_General_07-12-2012_8_3'!H2096,"AAAAAH/vrSc=")</f>
        <v>#VALUE!</v>
      </c>
      <c r="AO140" t="e">
        <f>AND('Planilla_General_07-12-2012_8_3'!I2096,"AAAAAH/vrSg=")</f>
        <v>#VALUE!</v>
      </c>
      <c r="AP140" t="e">
        <f>AND('Planilla_General_07-12-2012_8_3'!J2096,"AAAAAH/vrSk=")</f>
        <v>#VALUE!</v>
      </c>
      <c r="AQ140" t="e">
        <f>AND('Planilla_General_07-12-2012_8_3'!K2096,"AAAAAH/vrSo=")</f>
        <v>#VALUE!</v>
      </c>
      <c r="AR140" t="e">
        <f>AND('Planilla_General_07-12-2012_8_3'!L2096,"AAAAAH/vrSs=")</f>
        <v>#VALUE!</v>
      </c>
      <c r="AS140" t="e">
        <f>AND('Planilla_General_07-12-2012_8_3'!M2096,"AAAAAH/vrSw=")</f>
        <v>#VALUE!</v>
      </c>
      <c r="AT140" t="e">
        <f>AND('Planilla_General_07-12-2012_8_3'!N2096,"AAAAAH/vrS0=")</f>
        <v>#VALUE!</v>
      </c>
      <c r="AU140" t="e">
        <f>AND('Planilla_General_07-12-2012_8_3'!O2096,"AAAAAH/vrS4=")</f>
        <v>#VALUE!</v>
      </c>
      <c r="AV140" t="e">
        <f>AND('Planilla_General_07-12-2012_8_3'!P2096,"AAAAAH/vrS8=")</f>
        <v>#VALUE!</v>
      </c>
      <c r="AW140">
        <f>IF('Planilla_General_07-12-2012_8_3'!2097:2097,"AAAAAH/vrTA=",0)</f>
        <v>0</v>
      </c>
      <c r="AX140" t="e">
        <f>AND('Planilla_General_07-12-2012_8_3'!A2097,"AAAAAH/vrTE=")</f>
        <v>#VALUE!</v>
      </c>
      <c r="AY140" t="e">
        <f>AND('Planilla_General_07-12-2012_8_3'!B2097,"AAAAAH/vrTI=")</f>
        <v>#VALUE!</v>
      </c>
      <c r="AZ140" t="e">
        <f>AND('Planilla_General_07-12-2012_8_3'!C2097,"AAAAAH/vrTM=")</f>
        <v>#VALUE!</v>
      </c>
      <c r="BA140" t="e">
        <f>AND('Planilla_General_07-12-2012_8_3'!D2097,"AAAAAH/vrTQ=")</f>
        <v>#VALUE!</v>
      </c>
      <c r="BB140" t="e">
        <f>AND('Planilla_General_07-12-2012_8_3'!E2097,"AAAAAH/vrTU=")</f>
        <v>#VALUE!</v>
      </c>
      <c r="BC140" t="e">
        <f>AND('Planilla_General_07-12-2012_8_3'!F2097,"AAAAAH/vrTY=")</f>
        <v>#VALUE!</v>
      </c>
      <c r="BD140" t="e">
        <f>AND('Planilla_General_07-12-2012_8_3'!G2097,"AAAAAH/vrTc=")</f>
        <v>#VALUE!</v>
      </c>
      <c r="BE140" t="e">
        <f>AND('Planilla_General_07-12-2012_8_3'!H2097,"AAAAAH/vrTg=")</f>
        <v>#VALUE!</v>
      </c>
      <c r="BF140" t="e">
        <f>AND('Planilla_General_07-12-2012_8_3'!I2097,"AAAAAH/vrTk=")</f>
        <v>#VALUE!</v>
      </c>
      <c r="BG140" t="e">
        <f>AND('Planilla_General_07-12-2012_8_3'!J2097,"AAAAAH/vrTo=")</f>
        <v>#VALUE!</v>
      </c>
      <c r="BH140" t="e">
        <f>AND('Planilla_General_07-12-2012_8_3'!K2097,"AAAAAH/vrTs=")</f>
        <v>#VALUE!</v>
      </c>
      <c r="BI140" t="e">
        <f>AND('Planilla_General_07-12-2012_8_3'!L2097,"AAAAAH/vrTw=")</f>
        <v>#VALUE!</v>
      </c>
      <c r="BJ140" t="e">
        <f>AND('Planilla_General_07-12-2012_8_3'!M2097,"AAAAAH/vrT0=")</f>
        <v>#VALUE!</v>
      </c>
      <c r="BK140" t="e">
        <f>AND('Planilla_General_07-12-2012_8_3'!N2097,"AAAAAH/vrT4=")</f>
        <v>#VALUE!</v>
      </c>
      <c r="BL140" t="e">
        <f>AND('Planilla_General_07-12-2012_8_3'!O2097,"AAAAAH/vrT8=")</f>
        <v>#VALUE!</v>
      </c>
      <c r="BM140" t="e">
        <f>AND('Planilla_General_07-12-2012_8_3'!P2097,"AAAAAH/vrUA=")</f>
        <v>#VALUE!</v>
      </c>
      <c r="BN140">
        <f>IF('Planilla_General_07-12-2012_8_3'!2098:2098,"AAAAAH/vrUE=",0)</f>
        <v>0</v>
      </c>
      <c r="BO140" t="e">
        <f>AND('Planilla_General_07-12-2012_8_3'!A2098,"AAAAAH/vrUI=")</f>
        <v>#VALUE!</v>
      </c>
      <c r="BP140" t="e">
        <f>AND('Planilla_General_07-12-2012_8_3'!B2098,"AAAAAH/vrUM=")</f>
        <v>#VALUE!</v>
      </c>
      <c r="BQ140" t="e">
        <f>AND('Planilla_General_07-12-2012_8_3'!C2098,"AAAAAH/vrUQ=")</f>
        <v>#VALUE!</v>
      </c>
      <c r="BR140" t="e">
        <f>AND('Planilla_General_07-12-2012_8_3'!D2098,"AAAAAH/vrUU=")</f>
        <v>#VALUE!</v>
      </c>
      <c r="BS140" t="e">
        <f>AND('Planilla_General_07-12-2012_8_3'!E2098,"AAAAAH/vrUY=")</f>
        <v>#VALUE!</v>
      </c>
      <c r="BT140" t="e">
        <f>AND('Planilla_General_07-12-2012_8_3'!F2098,"AAAAAH/vrUc=")</f>
        <v>#VALUE!</v>
      </c>
      <c r="BU140" t="e">
        <f>AND('Planilla_General_07-12-2012_8_3'!G2098,"AAAAAH/vrUg=")</f>
        <v>#VALUE!</v>
      </c>
      <c r="BV140" t="e">
        <f>AND('Planilla_General_07-12-2012_8_3'!H2098,"AAAAAH/vrUk=")</f>
        <v>#VALUE!</v>
      </c>
      <c r="BW140" t="e">
        <f>AND('Planilla_General_07-12-2012_8_3'!I2098,"AAAAAH/vrUo=")</f>
        <v>#VALUE!</v>
      </c>
      <c r="BX140" t="e">
        <f>AND('Planilla_General_07-12-2012_8_3'!J2098,"AAAAAH/vrUs=")</f>
        <v>#VALUE!</v>
      </c>
      <c r="BY140" t="e">
        <f>AND('Planilla_General_07-12-2012_8_3'!K2098,"AAAAAH/vrUw=")</f>
        <v>#VALUE!</v>
      </c>
      <c r="BZ140" t="e">
        <f>AND('Planilla_General_07-12-2012_8_3'!L2098,"AAAAAH/vrU0=")</f>
        <v>#VALUE!</v>
      </c>
      <c r="CA140" t="e">
        <f>AND('Planilla_General_07-12-2012_8_3'!M2098,"AAAAAH/vrU4=")</f>
        <v>#VALUE!</v>
      </c>
      <c r="CB140" t="e">
        <f>AND('Planilla_General_07-12-2012_8_3'!N2098,"AAAAAH/vrU8=")</f>
        <v>#VALUE!</v>
      </c>
      <c r="CC140" t="e">
        <f>AND('Planilla_General_07-12-2012_8_3'!O2098,"AAAAAH/vrVA=")</f>
        <v>#VALUE!</v>
      </c>
      <c r="CD140" t="e">
        <f>AND('Planilla_General_07-12-2012_8_3'!P2098,"AAAAAH/vrVE=")</f>
        <v>#VALUE!</v>
      </c>
      <c r="CE140">
        <f>IF('Planilla_General_07-12-2012_8_3'!2099:2099,"AAAAAH/vrVI=",0)</f>
        <v>0</v>
      </c>
      <c r="CF140" t="e">
        <f>AND('Planilla_General_07-12-2012_8_3'!A2099,"AAAAAH/vrVM=")</f>
        <v>#VALUE!</v>
      </c>
      <c r="CG140" t="e">
        <f>AND('Planilla_General_07-12-2012_8_3'!B2099,"AAAAAH/vrVQ=")</f>
        <v>#VALUE!</v>
      </c>
      <c r="CH140" t="e">
        <f>AND('Planilla_General_07-12-2012_8_3'!C2099,"AAAAAH/vrVU=")</f>
        <v>#VALUE!</v>
      </c>
      <c r="CI140" t="e">
        <f>AND('Planilla_General_07-12-2012_8_3'!D2099,"AAAAAH/vrVY=")</f>
        <v>#VALUE!</v>
      </c>
      <c r="CJ140" t="e">
        <f>AND('Planilla_General_07-12-2012_8_3'!E2099,"AAAAAH/vrVc=")</f>
        <v>#VALUE!</v>
      </c>
      <c r="CK140" t="e">
        <f>AND('Planilla_General_07-12-2012_8_3'!F2099,"AAAAAH/vrVg=")</f>
        <v>#VALUE!</v>
      </c>
      <c r="CL140" t="e">
        <f>AND('Planilla_General_07-12-2012_8_3'!G2099,"AAAAAH/vrVk=")</f>
        <v>#VALUE!</v>
      </c>
      <c r="CM140" t="e">
        <f>AND('Planilla_General_07-12-2012_8_3'!H2099,"AAAAAH/vrVo=")</f>
        <v>#VALUE!</v>
      </c>
      <c r="CN140" t="e">
        <f>AND('Planilla_General_07-12-2012_8_3'!I2099,"AAAAAH/vrVs=")</f>
        <v>#VALUE!</v>
      </c>
      <c r="CO140" t="e">
        <f>AND('Planilla_General_07-12-2012_8_3'!J2099,"AAAAAH/vrVw=")</f>
        <v>#VALUE!</v>
      </c>
      <c r="CP140" t="e">
        <f>AND('Planilla_General_07-12-2012_8_3'!K2099,"AAAAAH/vrV0=")</f>
        <v>#VALUE!</v>
      </c>
      <c r="CQ140" t="e">
        <f>AND('Planilla_General_07-12-2012_8_3'!L2099,"AAAAAH/vrV4=")</f>
        <v>#VALUE!</v>
      </c>
      <c r="CR140" t="e">
        <f>AND('Planilla_General_07-12-2012_8_3'!M2099,"AAAAAH/vrV8=")</f>
        <v>#VALUE!</v>
      </c>
      <c r="CS140" t="e">
        <f>AND('Planilla_General_07-12-2012_8_3'!N2099,"AAAAAH/vrWA=")</f>
        <v>#VALUE!</v>
      </c>
      <c r="CT140" t="e">
        <f>AND('Planilla_General_07-12-2012_8_3'!O2099,"AAAAAH/vrWE=")</f>
        <v>#VALUE!</v>
      </c>
      <c r="CU140" t="e">
        <f>AND('Planilla_General_07-12-2012_8_3'!P2099,"AAAAAH/vrWI=")</f>
        <v>#VALUE!</v>
      </c>
      <c r="CV140">
        <f>IF('Planilla_General_07-12-2012_8_3'!2100:2100,"AAAAAH/vrWM=",0)</f>
        <v>0</v>
      </c>
      <c r="CW140" t="e">
        <f>AND('Planilla_General_07-12-2012_8_3'!A2100,"AAAAAH/vrWQ=")</f>
        <v>#VALUE!</v>
      </c>
      <c r="CX140" t="e">
        <f>AND('Planilla_General_07-12-2012_8_3'!B2100,"AAAAAH/vrWU=")</f>
        <v>#VALUE!</v>
      </c>
      <c r="CY140" t="e">
        <f>AND('Planilla_General_07-12-2012_8_3'!C2100,"AAAAAH/vrWY=")</f>
        <v>#VALUE!</v>
      </c>
      <c r="CZ140" t="e">
        <f>AND('Planilla_General_07-12-2012_8_3'!D2100,"AAAAAH/vrWc=")</f>
        <v>#VALUE!</v>
      </c>
      <c r="DA140" t="e">
        <f>AND('Planilla_General_07-12-2012_8_3'!E2100,"AAAAAH/vrWg=")</f>
        <v>#VALUE!</v>
      </c>
      <c r="DB140" t="e">
        <f>AND('Planilla_General_07-12-2012_8_3'!F2100,"AAAAAH/vrWk=")</f>
        <v>#VALUE!</v>
      </c>
      <c r="DC140" t="e">
        <f>AND('Planilla_General_07-12-2012_8_3'!G2100,"AAAAAH/vrWo=")</f>
        <v>#VALUE!</v>
      </c>
      <c r="DD140" t="e">
        <f>AND('Planilla_General_07-12-2012_8_3'!H2100,"AAAAAH/vrWs=")</f>
        <v>#VALUE!</v>
      </c>
      <c r="DE140" t="e">
        <f>AND('Planilla_General_07-12-2012_8_3'!I2100,"AAAAAH/vrWw=")</f>
        <v>#VALUE!</v>
      </c>
      <c r="DF140" t="e">
        <f>AND('Planilla_General_07-12-2012_8_3'!J2100,"AAAAAH/vrW0=")</f>
        <v>#VALUE!</v>
      </c>
      <c r="DG140" t="e">
        <f>AND('Planilla_General_07-12-2012_8_3'!K2100,"AAAAAH/vrW4=")</f>
        <v>#VALUE!</v>
      </c>
      <c r="DH140" t="e">
        <f>AND('Planilla_General_07-12-2012_8_3'!L2100,"AAAAAH/vrW8=")</f>
        <v>#VALUE!</v>
      </c>
      <c r="DI140" t="e">
        <f>AND('Planilla_General_07-12-2012_8_3'!M2100,"AAAAAH/vrXA=")</f>
        <v>#VALUE!</v>
      </c>
      <c r="DJ140" t="e">
        <f>AND('Planilla_General_07-12-2012_8_3'!N2100,"AAAAAH/vrXE=")</f>
        <v>#VALUE!</v>
      </c>
      <c r="DK140" t="e">
        <f>AND('Planilla_General_07-12-2012_8_3'!O2100,"AAAAAH/vrXI=")</f>
        <v>#VALUE!</v>
      </c>
      <c r="DL140" t="e">
        <f>AND('Planilla_General_07-12-2012_8_3'!P2100,"AAAAAH/vrXM=")</f>
        <v>#VALUE!</v>
      </c>
      <c r="DM140">
        <f>IF('Planilla_General_07-12-2012_8_3'!2101:2101,"AAAAAH/vrXQ=",0)</f>
        <v>0</v>
      </c>
      <c r="DN140" t="e">
        <f>AND('Planilla_General_07-12-2012_8_3'!A2101,"AAAAAH/vrXU=")</f>
        <v>#VALUE!</v>
      </c>
      <c r="DO140" t="e">
        <f>AND('Planilla_General_07-12-2012_8_3'!B2101,"AAAAAH/vrXY=")</f>
        <v>#VALUE!</v>
      </c>
      <c r="DP140" t="e">
        <f>AND('Planilla_General_07-12-2012_8_3'!C2101,"AAAAAH/vrXc=")</f>
        <v>#VALUE!</v>
      </c>
      <c r="DQ140" t="e">
        <f>AND('Planilla_General_07-12-2012_8_3'!D2101,"AAAAAH/vrXg=")</f>
        <v>#VALUE!</v>
      </c>
      <c r="DR140" t="e">
        <f>AND('Planilla_General_07-12-2012_8_3'!E2101,"AAAAAH/vrXk=")</f>
        <v>#VALUE!</v>
      </c>
      <c r="DS140" t="e">
        <f>AND('Planilla_General_07-12-2012_8_3'!F2101,"AAAAAH/vrXo=")</f>
        <v>#VALUE!</v>
      </c>
      <c r="DT140" t="e">
        <f>AND('Planilla_General_07-12-2012_8_3'!G2101,"AAAAAH/vrXs=")</f>
        <v>#VALUE!</v>
      </c>
      <c r="DU140" t="e">
        <f>AND('Planilla_General_07-12-2012_8_3'!H2101,"AAAAAH/vrXw=")</f>
        <v>#VALUE!</v>
      </c>
      <c r="DV140" t="e">
        <f>AND('Planilla_General_07-12-2012_8_3'!I2101,"AAAAAH/vrX0=")</f>
        <v>#VALUE!</v>
      </c>
      <c r="DW140" t="e">
        <f>AND('Planilla_General_07-12-2012_8_3'!J2101,"AAAAAH/vrX4=")</f>
        <v>#VALUE!</v>
      </c>
      <c r="DX140" t="e">
        <f>AND('Planilla_General_07-12-2012_8_3'!K2101,"AAAAAH/vrX8=")</f>
        <v>#VALUE!</v>
      </c>
      <c r="DY140" t="e">
        <f>AND('Planilla_General_07-12-2012_8_3'!L2101,"AAAAAH/vrYA=")</f>
        <v>#VALUE!</v>
      </c>
      <c r="DZ140" t="e">
        <f>AND('Planilla_General_07-12-2012_8_3'!M2101,"AAAAAH/vrYE=")</f>
        <v>#VALUE!</v>
      </c>
      <c r="EA140" t="e">
        <f>AND('Planilla_General_07-12-2012_8_3'!N2101,"AAAAAH/vrYI=")</f>
        <v>#VALUE!</v>
      </c>
      <c r="EB140" t="e">
        <f>AND('Planilla_General_07-12-2012_8_3'!O2101,"AAAAAH/vrYM=")</f>
        <v>#VALUE!</v>
      </c>
      <c r="EC140" t="e">
        <f>AND('Planilla_General_07-12-2012_8_3'!P2101,"AAAAAH/vrYQ=")</f>
        <v>#VALUE!</v>
      </c>
      <c r="ED140">
        <f>IF('Planilla_General_07-12-2012_8_3'!2102:2102,"AAAAAH/vrYU=",0)</f>
        <v>0</v>
      </c>
      <c r="EE140" t="e">
        <f>AND('Planilla_General_07-12-2012_8_3'!A2102,"AAAAAH/vrYY=")</f>
        <v>#VALUE!</v>
      </c>
      <c r="EF140" t="e">
        <f>AND('Planilla_General_07-12-2012_8_3'!B2102,"AAAAAH/vrYc=")</f>
        <v>#VALUE!</v>
      </c>
      <c r="EG140" t="e">
        <f>AND('Planilla_General_07-12-2012_8_3'!C2102,"AAAAAH/vrYg=")</f>
        <v>#VALUE!</v>
      </c>
      <c r="EH140" t="e">
        <f>AND('Planilla_General_07-12-2012_8_3'!D2102,"AAAAAH/vrYk=")</f>
        <v>#VALUE!</v>
      </c>
      <c r="EI140" t="e">
        <f>AND('Planilla_General_07-12-2012_8_3'!E2102,"AAAAAH/vrYo=")</f>
        <v>#VALUE!</v>
      </c>
      <c r="EJ140" t="e">
        <f>AND('Planilla_General_07-12-2012_8_3'!F2102,"AAAAAH/vrYs=")</f>
        <v>#VALUE!</v>
      </c>
      <c r="EK140" t="e">
        <f>AND('Planilla_General_07-12-2012_8_3'!G2102,"AAAAAH/vrYw=")</f>
        <v>#VALUE!</v>
      </c>
      <c r="EL140" t="e">
        <f>AND('Planilla_General_07-12-2012_8_3'!H2102,"AAAAAH/vrY0=")</f>
        <v>#VALUE!</v>
      </c>
      <c r="EM140" t="e">
        <f>AND('Planilla_General_07-12-2012_8_3'!I2102,"AAAAAH/vrY4=")</f>
        <v>#VALUE!</v>
      </c>
      <c r="EN140" t="e">
        <f>AND('Planilla_General_07-12-2012_8_3'!J2102,"AAAAAH/vrY8=")</f>
        <v>#VALUE!</v>
      </c>
      <c r="EO140" t="e">
        <f>AND('Planilla_General_07-12-2012_8_3'!K2102,"AAAAAH/vrZA=")</f>
        <v>#VALUE!</v>
      </c>
      <c r="EP140" t="e">
        <f>AND('Planilla_General_07-12-2012_8_3'!L2102,"AAAAAH/vrZE=")</f>
        <v>#VALUE!</v>
      </c>
      <c r="EQ140" t="e">
        <f>AND('Planilla_General_07-12-2012_8_3'!M2102,"AAAAAH/vrZI=")</f>
        <v>#VALUE!</v>
      </c>
      <c r="ER140" t="e">
        <f>AND('Planilla_General_07-12-2012_8_3'!N2102,"AAAAAH/vrZM=")</f>
        <v>#VALUE!</v>
      </c>
      <c r="ES140" t="e">
        <f>AND('Planilla_General_07-12-2012_8_3'!O2102,"AAAAAH/vrZQ=")</f>
        <v>#VALUE!</v>
      </c>
      <c r="ET140" t="e">
        <f>AND('Planilla_General_07-12-2012_8_3'!P2102,"AAAAAH/vrZU=")</f>
        <v>#VALUE!</v>
      </c>
      <c r="EU140">
        <f>IF('Planilla_General_07-12-2012_8_3'!2103:2103,"AAAAAH/vrZY=",0)</f>
        <v>0</v>
      </c>
      <c r="EV140" t="e">
        <f>AND('Planilla_General_07-12-2012_8_3'!A2103,"AAAAAH/vrZc=")</f>
        <v>#VALUE!</v>
      </c>
      <c r="EW140" t="e">
        <f>AND('Planilla_General_07-12-2012_8_3'!B2103,"AAAAAH/vrZg=")</f>
        <v>#VALUE!</v>
      </c>
      <c r="EX140" t="e">
        <f>AND('Planilla_General_07-12-2012_8_3'!C2103,"AAAAAH/vrZk=")</f>
        <v>#VALUE!</v>
      </c>
      <c r="EY140" t="e">
        <f>AND('Planilla_General_07-12-2012_8_3'!D2103,"AAAAAH/vrZo=")</f>
        <v>#VALUE!</v>
      </c>
      <c r="EZ140" t="e">
        <f>AND('Planilla_General_07-12-2012_8_3'!E2103,"AAAAAH/vrZs=")</f>
        <v>#VALUE!</v>
      </c>
      <c r="FA140" t="e">
        <f>AND('Planilla_General_07-12-2012_8_3'!F2103,"AAAAAH/vrZw=")</f>
        <v>#VALUE!</v>
      </c>
      <c r="FB140" t="e">
        <f>AND('Planilla_General_07-12-2012_8_3'!G2103,"AAAAAH/vrZ0=")</f>
        <v>#VALUE!</v>
      </c>
      <c r="FC140" t="e">
        <f>AND('Planilla_General_07-12-2012_8_3'!H2103,"AAAAAH/vrZ4=")</f>
        <v>#VALUE!</v>
      </c>
      <c r="FD140" t="e">
        <f>AND('Planilla_General_07-12-2012_8_3'!I2103,"AAAAAH/vrZ8=")</f>
        <v>#VALUE!</v>
      </c>
      <c r="FE140" t="e">
        <f>AND('Planilla_General_07-12-2012_8_3'!J2103,"AAAAAH/vraA=")</f>
        <v>#VALUE!</v>
      </c>
      <c r="FF140" t="e">
        <f>AND('Planilla_General_07-12-2012_8_3'!K2103,"AAAAAH/vraE=")</f>
        <v>#VALUE!</v>
      </c>
      <c r="FG140" t="e">
        <f>AND('Planilla_General_07-12-2012_8_3'!L2103,"AAAAAH/vraI=")</f>
        <v>#VALUE!</v>
      </c>
      <c r="FH140" t="e">
        <f>AND('Planilla_General_07-12-2012_8_3'!M2103,"AAAAAH/vraM=")</f>
        <v>#VALUE!</v>
      </c>
      <c r="FI140" t="e">
        <f>AND('Planilla_General_07-12-2012_8_3'!N2103,"AAAAAH/vraQ=")</f>
        <v>#VALUE!</v>
      </c>
      <c r="FJ140" t="e">
        <f>AND('Planilla_General_07-12-2012_8_3'!O2103,"AAAAAH/vraU=")</f>
        <v>#VALUE!</v>
      </c>
      <c r="FK140" t="e">
        <f>AND('Planilla_General_07-12-2012_8_3'!P2103,"AAAAAH/vraY=")</f>
        <v>#VALUE!</v>
      </c>
      <c r="FL140">
        <f>IF('Planilla_General_07-12-2012_8_3'!2104:2104,"AAAAAH/vrac=",0)</f>
        <v>0</v>
      </c>
      <c r="FM140" t="e">
        <f>AND('Planilla_General_07-12-2012_8_3'!A2104,"AAAAAH/vrag=")</f>
        <v>#VALUE!</v>
      </c>
      <c r="FN140" t="e">
        <f>AND('Planilla_General_07-12-2012_8_3'!B2104,"AAAAAH/vrak=")</f>
        <v>#VALUE!</v>
      </c>
      <c r="FO140" t="e">
        <f>AND('Planilla_General_07-12-2012_8_3'!C2104,"AAAAAH/vrao=")</f>
        <v>#VALUE!</v>
      </c>
      <c r="FP140" t="e">
        <f>AND('Planilla_General_07-12-2012_8_3'!D2104,"AAAAAH/vras=")</f>
        <v>#VALUE!</v>
      </c>
      <c r="FQ140" t="e">
        <f>AND('Planilla_General_07-12-2012_8_3'!E2104,"AAAAAH/vraw=")</f>
        <v>#VALUE!</v>
      </c>
      <c r="FR140" t="e">
        <f>AND('Planilla_General_07-12-2012_8_3'!F2104,"AAAAAH/vra0=")</f>
        <v>#VALUE!</v>
      </c>
      <c r="FS140" t="e">
        <f>AND('Planilla_General_07-12-2012_8_3'!G2104,"AAAAAH/vra4=")</f>
        <v>#VALUE!</v>
      </c>
      <c r="FT140" t="e">
        <f>AND('Planilla_General_07-12-2012_8_3'!H2104,"AAAAAH/vra8=")</f>
        <v>#VALUE!</v>
      </c>
      <c r="FU140" t="e">
        <f>AND('Planilla_General_07-12-2012_8_3'!I2104,"AAAAAH/vrbA=")</f>
        <v>#VALUE!</v>
      </c>
      <c r="FV140" t="e">
        <f>AND('Planilla_General_07-12-2012_8_3'!J2104,"AAAAAH/vrbE=")</f>
        <v>#VALUE!</v>
      </c>
      <c r="FW140" t="e">
        <f>AND('Planilla_General_07-12-2012_8_3'!K2104,"AAAAAH/vrbI=")</f>
        <v>#VALUE!</v>
      </c>
      <c r="FX140" t="e">
        <f>AND('Planilla_General_07-12-2012_8_3'!L2104,"AAAAAH/vrbM=")</f>
        <v>#VALUE!</v>
      </c>
      <c r="FY140" t="e">
        <f>AND('Planilla_General_07-12-2012_8_3'!M2104,"AAAAAH/vrbQ=")</f>
        <v>#VALUE!</v>
      </c>
      <c r="FZ140" t="e">
        <f>AND('Planilla_General_07-12-2012_8_3'!N2104,"AAAAAH/vrbU=")</f>
        <v>#VALUE!</v>
      </c>
      <c r="GA140" t="e">
        <f>AND('Planilla_General_07-12-2012_8_3'!O2104,"AAAAAH/vrbY=")</f>
        <v>#VALUE!</v>
      </c>
      <c r="GB140" t="e">
        <f>AND('Planilla_General_07-12-2012_8_3'!P2104,"AAAAAH/vrbc=")</f>
        <v>#VALUE!</v>
      </c>
      <c r="GC140">
        <f>IF('Planilla_General_07-12-2012_8_3'!2105:2105,"AAAAAH/vrbg=",0)</f>
        <v>0</v>
      </c>
      <c r="GD140" t="e">
        <f>AND('Planilla_General_07-12-2012_8_3'!A2105,"AAAAAH/vrbk=")</f>
        <v>#VALUE!</v>
      </c>
      <c r="GE140" t="e">
        <f>AND('Planilla_General_07-12-2012_8_3'!B2105,"AAAAAH/vrbo=")</f>
        <v>#VALUE!</v>
      </c>
      <c r="GF140" t="e">
        <f>AND('Planilla_General_07-12-2012_8_3'!C2105,"AAAAAH/vrbs=")</f>
        <v>#VALUE!</v>
      </c>
      <c r="GG140" t="e">
        <f>AND('Planilla_General_07-12-2012_8_3'!D2105,"AAAAAH/vrbw=")</f>
        <v>#VALUE!</v>
      </c>
      <c r="GH140" t="e">
        <f>AND('Planilla_General_07-12-2012_8_3'!E2105,"AAAAAH/vrb0=")</f>
        <v>#VALUE!</v>
      </c>
      <c r="GI140" t="e">
        <f>AND('Planilla_General_07-12-2012_8_3'!F2105,"AAAAAH/vrb4=")</f>
        <v>#VALUE!</v>
      </c>
      <c r="GJ140" t="e">
        <f>AND('Planilla_General_07-12-2012_8_3'!G2105,"AAAAAH/vrb8=")</f>
        <v>#VALUE!</v>
      </c>
      <c r="GK140" t="e">
        <f>AND('Planilla_General_07-12-2012_8_3'!H2105,"AAAAAH/vrcA=")</f>
        <v>#VALUE!</v>
      </c>
      <c r="GL140" t="e">
        <f>AND('Planilla_General_07-12-2012_8_3'!I2105,"AAAAAH/vrcE=")</f>
        <v>#VALUE!</v>
      </c>
      <c r="GM140" t="e">
        <f>AND('Planilla_General_07-12-2012_8_3'!J2105,"AAAAAH/vrcI=")</f>
        <v>#VALUE!</v>
      </c>
      <c r="GN140" t="e">
        <f>AND('Planilla_General_07-12-2012_8_3'!K2105,"AAAAAH/vrcM=")</f>
        <v>#VALUE!</v>
      </c>
      <c r="GO140" t="e">
        <f>AND('Planilla_General_07-12-2012_8_3'!L2105,"AAAAAH/vrcQ=")</f>
        <v>#VALUE!</v>
      </c>
      <c r="GP140" t="e">
        <f>AND('Planilla_General_07-12-2012_8_3'!M2105,"AAAAAH/vrcU=")</f>
        <v>#VALUE!</v>
      </c>
      <c r="GQ140" t="e">
        <f>AND('Planilla_General_07-12-2012_8_3'!N2105,"AAAAAH/vrcY=")</f>
        <v>#VALUE!</v>
      </c>
      <c r="GR140" t="e">
        <f>AND('Planilla_General_07-12-2012_8_3'!O2105,"AAAAAH/vrcc=")</f>
        <v>#VALUE!</v>
      </c>
      <c r="GS140" t="e">
        <f>AND('Planilla_General_07-12-2012_8_3'!P2105,"AAAAAH/vrcg=")</f>
        <v>#VALUE!</v>
      </c>
      <c r="GT140">
        <f>IF('Planilla_General_07-12-2012_8_3'!2106:2106,"AAAAAH/vrck=",0)</f>
        <v>0</v>
      </c>
      <c r="GU140" t="e">
        <f>AND('Planilla_General_07-12-2012_8_3'!A2106,"AAAAAH/vrco=")</f>
        <v>#VALUE!</v>
      </c>
      <c r="GV140" t="e">
        <f>AND('Planilla_General_07-12-2012_8_3'!B2106,"AAAAAH/vrcs=")</f>
        <v>#VALUE!</v>
      </c>
      <c r="GW140" t="e">
        <f>AND('Planilla_General_07-12-2012_8_3'!C2106,"AAAAAH/vrcw=")</f>
        <v>#VALUE!</v>
      </c>
      <c r="GX140" t="e">
        <f>AND('Planilla_General_07-12-2012_8_3'!D2106,"AAAAAH/vrc0=")</f>
        <v>#VALUE!</v>
      </c>
      <c r="GY140" t="e">
        <f>AND('Planilla_General_07-12-2012_8_3'!E2106,"AAAAAH/vrc4=")</f>
        <v>#VALUE!</v>
      </c>
      <c r="GZ140" t="e">
        <f>AND('Planilla_General_07-12-2012_8_3'!F2106,"AAAAAH/vrc8=")</f>
        <v>#VALUE!</v>
      </c>
      <c r="HA140" t="e">
        <f>AND('Planilla_General_07-12-2012_8_3'!G2106,"AAAAAH/vrdA=")</f>
        <v>#VALUE!</v>
      </c>
      <c r="HB140" t="e">
        <f>AND('Planilla_General_07-12-2012_8_3'!H2106,"AAAAAH/vrdE=")</f>
        <v>#VALUE!</v>
      </c>
      <c r="HC140" t="e">
        <f>AND('Planilla_General_07-12-2012_8_3'!I2106,"AAAAAH/vrdI=")</f>
        <v>#VALUE!</v>
      </c>
      <c r="HD140" t="e">
        <f>AND('Planilla_General_07-12-2012_8_3'!J2106,"AAAAAH/vrdM=")</f>
        <v>#VALUE!</v>
      </c>
      <c r="HE140" t="e">
        <f>AND('Planilla_General_07-12-2012_8_3'!K2106,"AAAAAH/vrdQ=")</f>
        <v>#VALUE!</v>
      </c>
      <c r="HF140" t="e">
        <f>AND('Planilla_General_07-12-2012_8_3'!L2106,"AAAAAH/vrdU=")</f>
        <v>#VALUE!</v>
      </c>
      <c r="HG140" t="e">
        <f>AND('Planilla_General_07-12-2012_8_3'!M2106,"AAAAAH/vrdY=")</f>
        <v>#VALUE!</v>
      </c>
      <c r="HH140" t="e">
        <f>AND('Planilla_General_07-12-2012_8_3'!N2106,"AAAAAH/vrdc=")</f>
        <v>#VALUE!</v>
      </c>
      <c r="HI140" t="e">
        <f>AND('Planilla_General_07-12-2012_8_3'!O2106,"AAAAAH/vrdg=")</f>
        <v>#VALUE!</v>
      </c>
      <c r="HJ140" t="e">
        <f>AND('Planilla_General_07-12-2012_8_3'!P2106,"AAAAAH/vrdk=")</f>
        <v>#VALUE!</v>
      </c>
      <c r="HK140">
        <f>IF('Planilla_General_07-12-2012_8_3'!2107:2107,"AAAAAH/vrdo=",0)</f>
        <v>0</v>
      </c>
      <c r="HL140" t="e">
        <f>AND('Planilla_General_07-12-2012_8_3'!A2107,"AAAAAH/vrds=")</f>
        <v>#VALUE!</v>
      </c>
      <c r="HM140" t="e">
        <f>AND('Planilla_General_07-12-2012_8_3'!B2107,"AAAAAH/vrdw=")</f>
        <v>#VALUE!</v>
      </c>
      <c r="HN140" t="e">
        <f>AND('Planilla_General_07-12-2012_8_3'!C2107,"AAAAAH/vrd0=")</f>
        <v>#VALUE!</v>
      </c>
      <c r="HO140" t="e">
        <f>AND('Planilla_General_07-12-2012_8_3'!D2107,"AAAAAH/vrd4=")</f>
        <v>#VALUE!</v>
      </c>
      <c r="HP140" t="e">
        <f>AND('Planilla_General_07-12-2012_8_3'!E2107,"AAAAAH/vrd8=")</f>
        <v>#VALUE!</v>
      </c>
      <c r="HQ140" t="e">
        <f>AND('Planilla_General_07-12-2012_8_3'!F2107,"AAAAAH/vreA=")</f>
        <v>#VALUE!</v>
      </c>
      <c r="HR140" t="e">
        <f>AND('Planilla_General_07-12-2012_8_3'!G2107,"AAAAAH/vreE=")</f>
        <v>#VALUE!</v>
      </c>
      <c r="HS140" t="e">
        <f>AND('Planilla_General_07-12-2012_8_3'!H2107,"AAAAAH/vreI=")</f>
        <v>#VALUE!</v>
      </c>
      <c r="HT140" t="e">
        <f>AND('Planilla_General_07-12-2012_8_3'!I2107,"AAAAAH/vreM=")</f>
        <v>#VALUE!</v>
      </c>
      <c r="HU140" t="e">
        <f>AND('Planilla_General_07-12-2012_8_3'!J2107,"AAAAAH/vreQ=")</f>
        <v>#VALUE!</v>
      </c>
      <c r="HV140" t="e">
        <f>AND('Planilla_General_07-12-2012_8_3'!K2107,"AAAAAH/vreU=")</f>
        <v>#VALUE!</v>
      </c>
      <c r="HW140" t="e">
        <f>AND('Planilla_General_07-12-2012_8_3'!L2107,"AAAAAH/vreY=")</f>
        <v>#VALUE!</v>
      </c>
      <c r="HX140" t="e">
        <f>AND('Planilla_General_07-12-2012_8_3'!M2107,"AAAAAH/vrec=")</f>
        <v>#VALUE!</v>
      </c>
      <c r="HY140" t="e">
        <f>AND('Planilla_General_07-12-2012_8_3'!N2107,"AAAAAH/vreg=")</f>
        <v>#VALUE!</v>
      </c>
      <c r="HZ140" t="e">
        <f>AND('Planilla_General_07-12-2012_8_3'!O2107,"AAAAAH/vrek=")</f>
        <v>#VALUE!</v>
      </c>
      <c r="IA140" t="e">
        <f>AND('Planilla_General_07-12-2012_8_3'!P2107,"AAAAAH/vreo=")</f>
        <v>#VALUE!</v>
      </c>
      <c r="IB140">
        <f>IF('Planilla_General_07-12-2012_8_3'!2108:2108,"AAAAAH/vres=",0)</f>
        <v>0</v>
      </c>
      <c r="IC140" t="e">
        <f>AND('Planilla_General_07-12-2012_8_3'!A2108,"AAAAAH/vrew=")</f>
        <v>#VALUE!</v>
      </c>
      <c r="ID140" t="e">
        <f>AND('Planilla_General_07-12-2012_8_3'!B2108,"AAAAAH/vre0=")</f>
        <v>#VALUE!</v>
      </c>
      <c r="IE140" t="e">
        <f>AND('Planilla_General_07-12-2012_8_3'!C2108,"AAAAAH/vre4=")</f>
        <v>#VALUE!</v>
      </c>
      <c r="IF140" t="e">
        <f>AND('Planilla_General_07-12-2012_8_3'!D2108,"AAAAAH/vre8=")</f>
        <v>#VALUE!</v>
      </c>
      <c r="IG140" t="e">
        <f>AND('Planilla_General_07-12-2012_8_3'!E2108,"AAAAAH/vrfA=")</f>
        <v>#VALUE!</v>
      </c>
      <c r="IH140" t="e">
        <f>AND('Planilla_General_07-12-2012_8_3'!F2108,"AAAAAH/vrfE=")</f>
        <v>#VALUE!</v>
      </c>
      <c r="II140" t="e">
        <f>AND('Planilla_General_07-12-2012_8_3'!G2108,"AAAAAH/vrfI=")</f>
        <v>#VALUE!</v>
      </c>
      <c r="IJ140" t="e">
        <f>AND('Planilla_General_07-12-2012_8_3'!H2108,"AAAAAH/vrfM=")</f>
        <v>#VALUE!</v>
      </c>
      <c r="IK140" t="e">
        <f>AND('Planilla_General_07-12-2012_8_3'!I2108,"AAAAAH/vrfQ=")</f>
        <v>#VALUE!</v>
      </c>
      <c r="IL140" t="e">
        <f>AND('Planilla_General_07-12-2012_8_3'!J2108,"AAAAAH/vrfU=")</f>
        <v>#VALUE!</v>
      </c>
      <c r="IM140" t="e">
        <f>AND('Planilla_General_07-12-2012_8_3'!K2108,"AAAAAH/vrfY=")</f>
        <v>#VALUE!</v>
      </c>
      <c r="IN140" t="e">
        <f>AND('Planilla_General_07-12-2012_8_3'!L2108,"AAAAAH/vrfc=")</f>
        <v>#VALUE!</v>
      </c>
      <c r="IO140" t="e">
        <f>AND('Planilla_General_07-12-2012_8_3'!M2108,"AAAAAH/vrfg=")</f>
        <v>#VALUE!</v>
      </c>
      <c r="IP140" t="e">
        <f>AND('Planilla_General_07-12-2012_8_3'!N2108,"AAAAAH/vrfk=")</f>
        <v>#VALUE!</v>
      </c>
      <c r="IQ140" t="e">
        <f>AND('Planilla_General_07-12-2012_8_3'!O2108,"AAAAAH/vrfo=")</f>
        <v>#VALUE!</v>
      </c>
      <c r="IR140" t="e">
        <f>AND('Planilla_General_07-12-2012_8_3'!P2108,"AAAAAH/vrfs=")</f>
        <v>#VALUE!</v>
      </c>
      <c r="IS140">
        <f>IF('Planilla_General_07-12-2012_8_3'!2109:2109,"AAAAAH/vrfw=",0)</f>
        <v>0</v>
      </c>
      <c r="IT140" t="e">
        <f>AND('Planilla_General_07-12-2012_8_3'!A2109,"AAAAAH/vrf0=")</f>
        <v>#VALUE!</v>
      </c>
      <c r="IU140" t="e">
        <f>AND('Planilla_General_07-12-2012_8_3'!B2109,"AAAAAH/vrf4=")</f>
        <v>#VALUE!</v>
      </c>
      <c r="IV140" t="e">
        <f>AND('Planilla_General_07-12-2012_8_3'!C2109,"AAAAAH/vrf8=")</f>
        <v>#VALUE!</v>
      </c>
    </row>
    <row r="141" spans="1:256" x14ac:dyDescent="0.25">
      <c r="A141" t="e">
        <f>AND('Planilla_General_07-12-2012_8_3'!D2109,"AAAAAH7/VQA=")</f>
        <v>#VALUE!</v>
      </c>
      <c r="B141" t="e">
        <f>AND('Planilla_General_07-12-2012_8_3'!E2109,"AAAAAH7/VQE=")</f>
        <v>#VALUE!</v>
      </c>
      <c r="C141" t="e">
        <f>AND('Planilla_General_07-12-2012_8_3'!F2109,"AAAAAH7/VQI=")</f>
        <v>#VALUE!</v>
      </c>
      <c r="D141" t="e">
        <f>AND('Planilla_General_07-12-2012_8_3'!G2109,"AAAAAH7/VQM=")</f>
        <v>#VALUE!</v>
      </c>
      <c r="E141" t="e">
        <f>AND('Planilla_General_07-12-2012_8_3'!H2109,"AAAAAH7/VQQ=")</f>
        <v>#VALUE!</v>
      </c>
      <c r="F141" t="e">
        <f>AND('Planilla_General_07-12-2012_8_3'!I2109,"AAAAAH7/VQU=")</f>
        <v>#VALUE!</v>
      </c>
      <c r="G141" t="e">
        <f>AND('Planilla_General_07-12-2012_8_3'!J2109,"AAAAAH7/VQY=")</f>
        <v>#VALUE!</v>
      </c>
      <c r="H141" t="e">
        <f>AND('Planilla_General_07-12-2012_8_3'!K2109,"AAAAAH7/VQc=")</f>
        <v>#VALUE!</v>
      </c>
      <c r="I141" t="e">
        <f>AND('Planilla_General_07-12-2012_8_3'!L2109,"AAAAAH7/VQg=")</f>
        <v>#VALUE!</v>
      </c>
      <c r="J141" t="e">
        <f>AND('Planilla_General_07-12-2012_8_3'!M2109,"AAAAAH7/VQk=")</f>
        <v>#VALUE!</v>
      </c>
      <c r="K141" t="e">
        <f>AND('Planilla_General_07-12-2012_8_3'!N2109,"AAAAAH7/VQo=")</f>
        <v>#VALUE!</v>
      </c>
      <c r="L141" t="e">
        <f>AND('Planilla_General_07-12-2012_8_3'!O2109,"AAAAAH7/VQs=")</f>
        <v>#VALUE!</v>
      </c>
      <c r="M141" t="e">
        <f>AND('Planilla_General_07-12-2012_8_3'!P2109,"AAAAAH7/VQw=")</f>
        <v>#VALUE!</v>
      </c>
      <c r="N141" t="str">
        <f>IF('Planilla_General_07-12-2012_8_3'!2110:2110,"AAAAAH7/VQ0=",0)</f>
        <v>AAAAAH7/VQ0=</v>
      </c>
      <c r="O141" t="e">
        <f>AND('Planilla_General_07-12-2012_8_3'!A2110,"AAAAAH7/VQ4=")</f>
        <v>#VALUE!</v>
      </c>
      <c r="P141" t="e">
        <f>AND('Planilla_General_07-12-2012_8_3'!B2110,"AAAAAH7/VQ8=")</f>
        <v>#VALUE!</v>
      </c>
      <c r="Q141" t="e">
        <f>AND('Planilla_General_07-12-2012_8_3'!C2110,"AAAAAH7/VRA=")</f>
        <v>#VALUE!</v>
      </c>
      <c r="R141" t="e">
        <f>AND('Planilla_General_07-12-2012_8_3'!D2110,"AAAAAH7/VRE=")</f>
        <v>#VALUE!</v>
      </c>
      <c r="S141" t="e">
        <f>AND('Planilla_General_07-12-2012_8_3'!E2110,"AAAAAH7/VRI=")</f>
        <v>#VALUE!</v>
      </c>
      <c r="T141" t="e">
        <f>AND('Planilla_General_07-12-2012_8_3'!F2110,"AAAAAH7/VRM=")</f>
        <v>#VALUE!</v>
      </c>
      <c r="U141" t="e">
        <f>AND('Planilla_General_07-12-2012_8_3'!G2110,"AAAAAH7/VRQ=")</f>
        <v>#VALUE!</v>
      </c>
      <c r="V141" t="e">
        <f>AND('Planilla_General_07-12-2012_8_3'!H2110,"AAAAAH7/VRU=")</f>
        <v>#VALUE!</v>
      </c>
      <c r="W141" t="e">
        <f>AND('Planilla_General_07-12-2012_8_3'!I2110,"AAAAAH7/VRY=")</f>
        <v>#VALUE!</v>
      </c>
      <c r="X141" t="e">
        <f>AND('Planilla_General_07-12-2012_8_3'!J2110,"AAAAAH7/VRc=")</f>
        <v>#VALUE!</v>
      </c>
      <c r="Y141" t="e">
        <f>AND('Planilla_General_07-12-2012_8_3'!K2110,"AAAAAH7/VRg=")</f>
        <v>#VALUE!</v>
      </c>
      <c r="Z141" t="e">
        <f>AND('Planilla_General_07-12-2012_8_3'!L2110,"AAAAAH7/VRk=")</f>
        <v>#VALUE!</v>
      </c>
      <c r="AA141" t="e">
        <f>AND('Planilla_General_07-12-2012_8_3'!M2110,"AAAAAH7/VRo=")</f>
        <v>#VALUE!</v>
      </c>
      <c r="AB141" t="e">
        <f>AND('Planilla_General_07-12-2012_8_3'!N2110,"AAAAAH7/VRs=")</f>
        <v>#VALUE!</v>
      </c>
      <c r="AC141" t="e">
        <f>AND('Planilla_General_07-12-2012_8_3'!O2110,"AAAAAH7/VRw=")</f>
        <v>#VALUE!</v>
      </c>
      <c r="AD141" t="e">
        <f>AND('Planilla_General_07-12-2012_8_3'!P2110,"AAAAAH7/VR0=")</f>
        <v>#VALUE!</v>
      </c>
      <c r="AE141">
        <f>IF('Planilla_General_07-12-2012_8_3'!2111:2111,"AAAAAH7/VR4=",0)</f>
        <v>0</v>
      </c>
      <c r="AF141" t="e">
        <f>AND('Planilla_General_07-12-2012_8_3'!A2111,"AAAAAH7/VR8=")</f>
        <v>#VALUE!</v>
      </c>
      <c r="AG141" t="e">
        <f>AND('Planilla_General_07-12-2012_8_3'!B2111,"AAAAAH7/VSA=")</f>
        <v>#VALUE!</v>
      </c>
      <c r="AH141" t="e">
        <f>AND('Planilla_General_07-12-2012_8_3'!C2111,"AAAAAH7/VSE=")</f>
        <v>#VALUE!</v>
      </c>
      <c r="AI141" t="e">
        <f>AND('Planilla_General_07-12-2012_8_3'!D2111,"AAAAAH7/VSI=")</f>
        <v>#VALUE!</v>
      </c>
      <c r="AJ141" t="e">
        <f>AND('Planilla_General_07-12-2012_8_3'!E2111,"AAAAAH7/VSM=")</f>
        <v>#VALUE!</v>
      </c>
      <c r="AK141" t="e">
        <f>AND('Planilla_General_07-12-2012_8_3'!F2111,"AAAAAH7/VSQ=")</f>
        <v>#VALUE!</v>
      </c>
      <c r="AL141" t="e">
        <f>AND('Planilla_General_07-12-2012_8_3'!G2111,"AAAAAH7/VSU=")</f>
        <v>#VALUE!</v>
      </c>
      <c r="AM141" t="e">
        <f>AND('Planilla_General_07-12-2012_8_3'!H2111,"AAAAAH7/VSY=")</f>
        <v>#VALUE!</v>
      </c>
      <c r="AN141" t="e">
        <f>AND('Planilla_General_07-12-2012_8_3'!I2111,"AAAAAH7/VSc=")</f>
        <v>#VALUE!</v>
      </c>
      <c r="AO141" t="e">
        <f>AND('Planilla_General_07-12-2012_8_3'!J2111,"AAAAAH7/VSg=")</f>
        <v>#VALUE!</v>
      </c>
      <c r="AP141" t="e">
        <f>AND('Planilla_General_07-12-2012_8_3'!K2111,"AAAAAH7/VSk=")</f>
        <v>#VALUE!</v>
      </c>
      <c r="AQ141" t="e">
        <f>AND('Planilla_General_07-12-2012_8_3'!L2111,"AAAAAH7/VSo=")</f>
        <v>#VALUE!</v>
      </c>
      <c r="AR141" t="e">
        <f>AND('Planilla_General_07-12-2012_8_3'!M2111,"AAAAAH7/VSs=")</f>
        <v>#VALUE!</v>
      </c>
      <c r="AS141" t="e">
        <f>AND('Planilla_General_07-12-2012_8_3'!N2111,"AAAAAH7/VSw=")</f>
        <v>#VALUE!</v>
      </c>
      <c r="AT141" t="e">
        <f>AND('Planilla_General_07-12-2012_8_3'!O2111,"AAAAAH7/VS0=")</f>
        <v>#VALUE!</v>
      </c>
      <c r="AU141" t="e">
        <f>AND('Planilla_General_07-12-2012_8_3'!P2111,"AAAAAH7/VS4=")</f>
        <v>#VALUE!</v>
      </c>
      <c r="AV141">
        <f>IF('Planilla_General_07-12-2012_8_3'!2112:2112,"AAAAAH7/VS8=",0)</f>
        <v>0</v>
      </c>
      <c r="AW141" t="e">
        <f>AND('Planilla_General_07-12-2012_8_3'!A2112,"AAAAAH7/VTA=")</f>
        <v>#VALUE!</v>
      </c>
      <c r="AX141" t="e">
        <f>AND('Planilla_General_07-12-2012_8_3'!B2112,"AAAAAH7/VTE=")</f>
        <v>#VALUE!</v>
      </c>
      <c r="AY141" t="e">
        <f>AND('Planilla_General_07-12-2012_8_3'!C2112,"AAAAAH7/VTI=")</f>
        <v>#VALUE!</v>
      </c>
      <c r="AZ141" t="e">
        <f>AND('Planilla_General_07-12-2012_8_3'!D2112,"AAAAAH7/VTM=")</f>
        <v>#VALUE!</v>
      </c>
      <c r="BA141" t="e">
        <f>AND('Planilla_General_07-12-2012_8_3'!E2112,"AAAAAH7/VTQ=")</f>
        <v>#VALUE!</v>
      </c>
      <c r="BB141" t="e">
        <f>AND('Planilla_General_07-12-2012_8_3'!F2112,"AAAAAH7/VTU=")</f>
        <v>#VALUE!</v>
      </c>
      <c r="BC141" t="e">
        <f>AND('Planilla_General_07-12-2012_8_3'!G2112,"AAAAAH7/VTY=")</f>
        <v>#VALUE!</v>
      </c>
      <c r="BD141" t="e">
        <f>AND('Planilla_General_07-12-2012_8_3'!H2112,"AAAAAH7/VTc=")</f>
        <v>#VALUE!</v>
      </c>
      <c r="BE141" t="e">
        <f>AND('Planilla_General_07-12-2012_8_3'!I2112,"AAAAAH7/VTg=")</f>
        <v>#VALUE!</v>
      </c>
      <c r="BF141" t="e">
        <f>AND('Planilla_General_07-12-2012_8_3'!J2112,"AAAAAH7/VTk=")</f>
        <v>#VALUE!</v>
      </c>
      <c r="BG141" t="e">
        <f>AND('Planilla_General_07-12-2012_8_3'!K2112,"AAAAAH7/VTo=")</f>
        <v>#VALUE!</v>
      </c>
      <c r="BH141" t="e">
        <f>AND('Planilla_General_07-12-2012_8_3'!L2112,"AAAAAH7/VTs=")</f>
        <v>#VALUE!</v>
      </c>
      <c r="BI141" t="e">
        <f>AND('Planilla_General_07-12-2012_8_3'!M2112,"AAAAAH7/VTw=")</f>
        <v>#VALUE!</v>
      </c>
      <c r="BJ141" t="e">
        <f>AND('Planilla_General_07-12-2012_8_3'!N2112,"AAAAAH7/VT0=")</f>
        <v>#VALUE!</v>
      </c>
      <c r="BK141" t="e">
        <f>AND('Planilla_General_07-12-2012_8_3'!O2112,"AAAAAH7/VT4=")</f>
        <v>#VALUE!</v>
      </c>
      <c r="BL141" t="e">
        <f>AND('Planilla_General_07-12-2012_8_3'!P2112,"AAAAAH7/VT8=")</f>
        <v>#VALUE!</v>
      </c>
      <c r="BM141">
        <f>IF('Planilla_General_07-12-2012_8_3'!2113:2113,"AAAAAH7/VUA=",0)</f>
        <v>0</v>
      </c>
      <c r="BN141" t="e">
        <f>AND('Planilla_General_07-12-2012_8_3'!A2113,"AAAAAH7/VUE=")</f>
        <v>#VALUE!</v>
      </c>
      <c r="BO141" t="e">
        <f>AND('Planilla_General_07-12-2012_8_3'!B2113,"AAAAAH7/VUI=")</f>
        <v>#VALUE!</v>
      </c>
      <c r="BP141" t="e">
        <f>AND('Planilla_General_07-12-2012_8_3'!C2113,"AAAAAH7/VUM=")</f>
        <v>#VALUE!</v>
      </c>
      <c r="BQ141" t="e">
        <f>AND('Planilla_General_07-12-2012_8_3'!D2113,"AAAAAH7/VUQ=")</f>
        <v>#VALUE!</v>
      </c>
      <c r="BR141" t="e">
        <f>AND('Planilla_General_07-12-2012_8_3'!E2113,"AAAAAH7/VUU=")</f>
        <v>#VALUE!</v>
      </c>
      <c r="BS141" t="e">
        <f>AND('Planilla_General_07-12-2012_8_3'!F2113,"AAAAAH7/VUY=")</f>
        <v>#VALUE!</v>
      </c>
      <c r="BT141" t="e">
        <f>AND('Planilla_General_07-12-2012_8_3'!G2113,"AAAAAH7/VUc=")</f>
        <v>#VALUE!</v>
      </c>
      <c r="BU141" t="e">
        <f>AND('Planilla_General_07-12-2012_8_3'!H2113,"AAAAAH7/VUg=")</f>
        <v>#VALUE!</v>
      </c>
      <c r="BV141" t="e">
        <f>AND('Planilla_General_07-12-2012_8_3'!I2113,"AAAAAH7/VUk=")</f>
        <v>#VALUE!</v>
      </c>
      <c r="BW141" t="e">
        <f>AND('Planilla_General_07-12-2012_8_3'!J2113,"AAAAAH7/VUo=")</f>
        <v>#VALUE!</v>
      </c>
      <c r="BX141" t="e">
        <f>AND('Planilla_General_07-12-2012_8_3'!K2113,"AAAAAH7/VUs=")</f>
        <v>#VALUE!</v>
      </c>
      <c r="BY141" t="e">
        <f>AND('Planilla_General_07-12-2012_8_3'!L2113,"AAAAAH7/VUw=")</f>
        <v>#VALUE!</v>
      </c>
      <c r="BZ141" t="e">
        <f>AND('Planilla_General_07-12-2012_8_3'!M2113,"AAAAAH7/VU0=")</f>
        <v>#VALUE!</v>
      </c>
      <c r="CA141" t="e">
        <f>AND('Planilla_General_07-12-2012_8_3'!N2113,"AAAAAH7/VU4=")</f>
        <v>#VALUE!</v>
      </c>
      <c r="CB141" t="e">
        <f>AND('Planilla_General_07-12-2012_8_3'!O2113,"AAAAAH7/VU8=")</f>
        <v>#VALUE!</v>
      </c>
      <c r="CC141" t="e">
        <f>AND('Planilla_General_07-12-2012_8_3'!P2113,"AAAAAH7/VVA=")</f>
        <v>#VALUE!</v>
      </c>
      <c r="CD141">
        <f>IF('Planilla_General_07-12-2012_8_3'!2114:2114,"AAAAAH7/VVE=",0)</f>
        <v>0</v>
      </c>
      <c r="CE141" t="e">
        <f>AND('Planilla_General_07-12-2012_8_3'!A2114,"AAAAAH7/VVI=")</f>
        <v>#VALUE!</v>
      </c>
      <c r="CF141" t="e">
        <f>AND('Planilla_General_07-12-2012_8_3'!B2114,"AAAAAH7/VVM=")</f>
        <v>#VALUE!</v>
      </c>
      <c r="CG141" t="e">
        <f>AND('Planilla_General_07-12-2012_8_3'!C2114,"AAAAAH7/VVQ=")</f>
        <v>#VALUE!</v>
      </c>
      <c r="CH141" t="e">
        <f>AND('Planilla_General_07-12-2012_8_3'!D2114,"AAAAAH7/VVU=")</f>
        <v>#VALUE!</v>
      </c>
      <c r="CI141" t="e">
        <f>AND('Planilla_General_07-12-2012_8_3'!E2114,"AAAAAH7/VVY=")</f>
        <v>#VALUE!</v>
      </c>
      <c r="CJ141" t="e">
        <f>AND('Planilla_General_07-12-2012_8_3'!F2114,"AAAAAH7/VVc=")</f>
        <v>#VALUE!</v>
      </c>
      <c r="CK141" t="e">
        <f>AND('Planilla_General_07-12-2012_8_3'!G2114,"AAAAAH7/VVg=")</f>
        <v>#VALUE!</v>
      </c>
      <c r="CL141" t="e">
        <f>AND('Planilla_General_07-12-2012_8_3'!H2114,"AAAAAH7/VVk=")</f>
        <v>#VALUE!</v>
      </c>
      <c r="CM141" t="e">
        <f>AND('Planilla_General_07-12-2012_8_3'!I2114,"AAAAAH7/VVo=")</f>
        <v>#VALUE!</v>
      </c>
      <c r="CN141" t="e">
        <f>AND('Planilla_General_07-12-2012_8_3'!J2114,"AAAAAH7/VVs=")</f>
        <v>#VALUE!</v>
      </c>
      <c r="CO141" t="e">
        <f>AND('Planilla_General_07-12-2012_8_3'!K2114,"AAAAAH7/VVw=")</f>
        <v>#VALUE!</v>
      </c>
      <c r="CP141" t="e">
        <f>AND('Planilla_General_07-12-2012_8_3'!L2114,"AAAAAH7/VV0=")</f>
        <v>#VALUE!</v>
      </c>
      <c r="CQ141" t="e">
        <f>AND('Planilla_General_07-12-2012_8_3'!M2114,"AAAAAH7/VV4=")</f>
        <v>#VALUE!</v>
      </c>
      <c r="CR141" t="e">
        <f>AND('Planilla_General_07-12-2012_8_3'!N2114,"AAAAAH7/VV8=")</f>
        <v>#VALUE!</v>
      </c>
      <c r="CS141" t="e">
        <f>AND('Planilla_General_07-12-2012_8_3'!O2114,"AAAAAH7/VWA=")</f>
        <v>#VALUE!</v>
      </c>
      <c r="CT141" t="e">
        <f>AND('Planilla_General_07-12-2012_8_3'!P2114,"AAAAAH7/VWE=")</f>
        <v>#VALUE!</v>
      </c>
      <c r="CU141">
        <f>IF('Planilla_General_07-12-2012_8_3'!2115:2115,"AAAAAH7/VWI=",0)</f>
        <v>0</v>
      </c>
      <c r="CV141" t="e">
        <f>AND('Planilla_General_07-12-2012_8_3'!A2115,"AAAAAH7/VWM=")</f>
        <v>#VALUE!</v>
      </c>
      <c r="CW141" t="e">
        <f>AND('Planilla_General_07-12-2012_8_3'!B2115,"AAAAAH7/VWQ=")</f>
        <v>#VALUE!</v>
      </c>
      <c r="CX141" t="e">
        <f>AND('Planilla_General_07-12-2012_8_3'!C2115,"AAAAAH7/VWU=")</f>
        <v>#VALUE!</v>
      </c>
      <c r="CY141" t="e">
        <f>AND('Planilla_General_07-12-2012_8_3'!D2115,"AAAAAH7/VWY=")</f>
        <v>#VALUE!</v>
      </c>
      <c r="CZ141" t="e">
        <f>AND('Planilla_General_07-12-2012_8_3'!E2115,"AAAAAH7/VWc=")</f>
        <v>#VALUE!</v>
      </c>
      <c r="DA141" t="e">
        <f>AND('Planilla_General_07-12-2012_8_3'!F2115,"AAAAAH7/VWg=")</f>
        <v>#VALUE!</v>
      </c>
      <c r="DB141" t="e">
        <f>AND('Planilla_General_07-12-2012_8_3'!G2115,"AAAAAH7/VWk=")</f>
        <v>#VALUE!</v>
      </c>
      <c r="DC141" t="e">
        <f>AND('Planilla_General_07-12-2012_8_3'!H2115,"AAAAAH7/VWo=")</f>
        <v>#VALUE!</v>
      </c>
      <c r="DD141" t="e">
        <f>AND('Planilla_General_07-12-2012_8_3'!I2115,"AAAAAH7/VWs=")</f>
        <v>#VALUE!</v>
      </c>
      <c r="DE141" t="e">
        <f>AND('Planilla_General_07-12-2012_8_3'!J2115,"AAAAAH7/VWw=")</f>
        <v>#VALUE!</v>
      </c>
      <c r="DF141" t="e">
        <f>AND('Planilla_General_07-12-2012_8_3'!K2115,"AAAAAH7/VW0=")</f>
        <v>#VALUE!</v>
      </c>
      <c r="DG141" t="e">
        <f>AND('Planilla_General_07-12-2012_8_3'!L2115,"AAAAAH7/VW4=")</f>
        <v>#VALUE!</v>
      </c>
      <c r="DH141" t="e">
        <f>AND('Planilla_General_07-12-2012_8_3'!M2115,"AAAAAH7/VW8=")</f>
        <v>#VALUE!</v>
      </c>
      <c r="DI141" t="e">
        <f>AND('Planilla_General_07-12-2012_8_3'!N2115,"AAAAAH7/VXA=")</f>
        <v>#VALUE!</v>
      </c>
      <c r="DJ141" t="e">
        <f>AND('Planilla_General_07-12-2012_8_3'!O2115,"AAAAAH7/VXE=")</f>
        <v>#VALUE!</v>
      </c>
      <c r="DK141" t="e">
        <f>AND('Planilla_General_07-12-2012_8_3'!P2115,"AAAAAH7/VXI=")</f>
        <v>#VALUE!</v>
      </c>
      <c r="DL141">
        <f>IF('Planilla_General_07-12-2012_8_3'!2116:2116,"AAAAAH7/VXM=",0)</f>
        <v>0</v>
      </c>
      <c r="DM141" t="e">
        <f>AND('Planilla_General_07-12-2012_8_3'!A2116,"AAAAAH7/VXQ=")</f>
        <v>#VALUE!</v>
      </c>
      <c r="DN141" t="e">
        <f>AND('Planilla_General_07-12-2012_8_3'!B2116,"AAAAAH7/VXU=")</f>
        <v>#VALUE!</v>
      </c>
      <c r="DO141" t="e">
        <f>AND('Planilla_General_07-12-2012_8_3'!C2116,"AAAAAH7/VXY=")</f>
        <v>#VALUE!</v>
      </c>
      <c r="DP141" t="e">
        <f>AND('Planilla_General_07-12-2012_8_3'!D2116,"AAAAAH7/VXc=")</f>
        <v>#VALUE!</v>
      </c>
      <c r="DQ141" t="e">
        <f>AND('Planilla_General_07-12-2012_8_3'!E2116,"AAAAAH7/VXg=")</f>
        <v>#VALUE!</v>
      </c>
      <c r="DR141" t="e">
        <f>AND('Planilla_General_07-12-2012_8_3'!F2116,"AAAAAH7/VXk=")</f>
        <v>#VALUE!</v>
      </c>
      <c r="DS141" t="e">
        <f>AND('Planilla_General_07-12-2012_8_3'!G2116,"AAAAAH7/VXo=")</f>
        <v>#VALUE!</v>
      </c>
      <c r="DT141" t="e">
        <f>AND('Planilla_General_07-12-2012_8_3'!H2116,"AAAAAH7/VXs=")</f>
        <v>#VALUE!</v>
      </c>
      <c r="DU141" t="e">
        <f>AND('Planilla_General_07-12-2012_8_3'!I2116,"AAAAAH7/VXw=")</f>
        <v>#VALUE!</v>
      </c>
      <c r="DV141" t="e">
        <f>AND('Planilla_General_07-12-2012_8_3'!J2116,"AAAAAH7/VX0=")</f>
        <v>#VALUE!</v>
      </c>
      <c r="DW141" t="e">
        <f>AND('Planilla_General_07-12-2012_8_3'!K2116,"AAAAAH7/VX4=")</f>
        <v>#VALUE!</v>
      </c>
      <c r="DX141" t="e">
        <f>AND('Planilla_General_07-12-2012_8_3'!L2116,"AAAAAH7/VX8=")</f>
        <v>#VALUE!</v>
      </c>
      <c r="DY141" t="e">
        <f>AND('Planilla_General_07-12-2012_8_3'!M2116,"AAAAAH7/VYA=")</f>
        <v>#VALUE!</v>
      </c>
      <c r="DZ141" t="e">
        <f>AND('Planilla_General_07-12-2012_8_3'!N2116,"AAAAAH7/VYE=")</f>
        <v>#VALUE!</v>
      </c>
      <c r="EA141" t="e">
        <f>AND('Planilla_General_07-12-2012_8_3'!O2116,"AAAAAH7/VYI=")</f>
        <v>#VALUE!</v>
      </c>
      <c r="EB141" t="e">
        <f>AND('Planilla_General_07-12-2012_8_3'!P2116,"AAAAAH7/VYM=")</f>
        <v>#VALUE!</v>
      </c>
      <c r="EC141">
        <f>IF('Planilla_General_07-12-2012_8_3'!2117:2117,"AAAAAH7/VYQ=",0)</f>
        <v>0</v>
      </c>
      <c r="ED141" t="e">
        <f>AND('Planilla_General_07-12-2012_8_3'!A2117,"AAAAAH7/VYU=")</f>
        <v>#VALUE!</v>
      </c>
      <c r="EE141" t="e">
        <f>AND('Planilla_General_07-12-2012_8_3'!B2117,"AAAAAH7/VYY=")</f>
        <v>#VALUE!</v>
      </c>
      <c r="EF141" t="e">
        <f>AND('Planilla_General_07-12-2012_8_3'!C2117,"AAAAAH7/VYc=")</f>
        <v>#VALUE!</v>
      </c>
      <c r="EG141" t="e">
        <f>AND('Planilla_General_07-12-2012_8_3'!D2117,"AAAAAH7/VYg=")</f>
        <v>#VALUE!</v>
      </c>
      <c r="EH141" t="e">
        <f>AND('Planilla_General_07-12-2012_8_3'!E2117,"AAAAAH7/VYk=")</f>
        <v>#VALUE!</v>
      </c>
      <c r="EI141" t="e">
        <f>AND('Planilla_General_07-12-2012_8_3'!F2117,"AAAAAH7/VYo=")</f>
        <v>#VALUE!</v>
      </c>
      <c r="EJ141" t="e">
        <f>AND('Planilla_General_07-12-2012_8_3'!G2117,"AAAAAH7/VYs=")</f>
        <v>#VALUE!</v>
      </c>
      <c r="EK141" t="e">
        <f>AND('Planilla_General_07-12-2012_8_3'!H2117,"AAAAAH7/VYw=")</f>
        <v>#VALUE!</v>
      </c>
      <c r="EL141" t="e">
        <f>AND('Planilla_General_07-12-2012_8_3'!I2117,"AAAAAH7/VY0=")</f>
        <v>#VALUE!</v>
      </c>
      <c r="EM141" t="e">
        <f>AND('Planilla_General_07-12-2012_8_3'!J2117,"AAAAAH7/VY4=")</f>
        <v>#VALUE!</v>
      </c>
      <c r="EN141" t="e">
        <f>AND('Planilla_General_07-12-2012_8_3'!K2117,"AAAAAH7/VY8=")</f>
        <v>#VALUE!</v>
      </c>
      <c r="EO141" t="e">
        <f>AND('Planilla_General_07-12-2012_8_3'!L2117,"AAAAAH7/VZA=")</f>
        <v>#VALUE!</v>
      </c>
      <c r="EP141" t="e">
        <f>AND('Planilla_General_07-12-2012_8_3'!M2117,"AAAAAH7/VZE=")</f>
        <v>#VALUE!</v>
      </c>
      <c r="EQ141" t="e">
        <f>AND('Planilla_General_07-12-2012_8_3'!N2117,"AAAAAH7/VZI=")</f>
        <v>#VALUE!</v>
      </c>
      <c r="ER141" t="e">
        <f>AND('Planilla_General_07-12-2012_8_3'!O2117,"AAAAAH7/VZM=")</f>
        <v>#VALUE!</v>
      </c>
      <c r="ES141" t="e">
        <f>AND('Planilla_General_07-12-2012_8_3'!P2117,"AAAAAH7/VZQ=")</f>
        <v>#VALUE!</v>
      </c>
      <c r="ET141">
        <f>IF('Planilla_General_07-12-2012_8_3'!2118:2118,"AAAAAH7/VZU=",0)</f>
        <v>0</v>
      </c>
      <c r="EU141" t="e">
        <f>AND('Planilla_General_07-12-2012_8_3'!A2118,"AAAAAH7/VZY=")</f>
        <v>#VALUE!</v>
      </c>
      <c r="EV141" t="e">
        <f>AND('Planilla_General_07-12-2012_8_3'!B2118,"AAAAAH7/VZc=")</f>
        <v>#VALUE!</v>
      </c>
      <c r="EW141" t="e">
        <f>AND('Planilla_General_07-12-2012_8_3'!C2118,"AAAAAH7/VZg=")</f>
        <v>#VALUE!</v>
      </c>
      <c r="EX141" t="e">
        <f>AND('Planilla_General_07-12-2012_8_3'!D2118,"AAAAAH7/VZk=")</f>
        <v>#VALUE!</v>
      </c>
      <c r="EY141" t="e">
        <f>AND('Planilla_General_07-12-2012_8_3'!E2118,"AAAAAH7/VZo=")</f>
        <v>#VALUE!</v>
      </c>
      <c r="EZ141" t="e">
        <f>AND('Planilla_General_07-12-2012_8_3'!F2118,"AAAAAH7/VZs=")</f>
        <v>#VALUE!</v>
      </c>
      <c r="FA141" t="e">
        <f>AND('Planilla_General_07-12-2012_8_3'!G2118,"AAAAAH7/VZw=")</f>
        <v>#VALUE!</v>
      </c>
      <c r="FB141" t="e">
        <f>AND('Planilla_General_07-12-2012_8_3'!H2118,"AAAAAH7/VZ0=")</f>
        <v>#VALUE!</v>
      </c>
      <c r="FC141" t="e">
        <f>AND('Planilla_General_07-12-2012_8_3'!I2118,"AAAAAH7/VZ4=")</f>
        <v>#VALUE!</v>
      </c>
      <c r="FD141" t="e">
        <f>AND('Planilla_General_07-12-2012_8_3'!J2118,"AAAAAH7/VZ8=")</f>
        <v>#VALUE!</v>
      </c>
      <c r="FE141" t="e">
        <f>AND('Planilla_General_07-12-2012_8_3'!K2118,"AAAAAH7/VaA=")</f>
        <v>#VALUE!</v>
      </c>
      <c r="FF141" t="e">
        <f>AND('Planilla_General_07-12-2012_8_3'!L2118,"AAAAAH7/VaE=")</f>
        <v>#VALUE!</v>
      </c>
      <c r="FG141" t="e">
        <f>AND('Planilla_General_07-12-2012_8_3'!M2118,"AAAAAH7/VaI=")</f>
        <v>#VALUE!</v>
      </c>
      <c r="FH141" t="e">
        <f>AND('Planilla_General_07-12-2012_8_3'!N2118,"AAAAAH7/VaM=")</f>
        <v>#VALUE!</v>
      </c>
      <c r="FI141" t="e">
        <f>AND('Planilla_General_07-12-2012_8_3'!O2118,"AAAAAH7/VaQ=")</f>
        <v>#VALUE!</v>
      </c>
      <c r="FJ141" t="e">
        <f>AND('Planilla_General_07-12-2012_8_3'!P2118,"AAAAAH7/VaU=")</f>
        <v>#VALUE!</v>
      </c>
      <c r="FK141">
        <f>IF('Planilla_General_07-12-2012_8_3'!2119:2119,"AAAAAH7/VaY=",0)</f>
        <v>0</v>
      </c>
      <c r="FL141" t="e">
        <f>AND('Planilla_General_07-12-2012_8_3'!A2119,"AAAAAH7/Vac=")</f>
        <v>#VALUE!</v>
      </c>
      <c r="FM141" t="e">
        <f>AND('Planilla_General_07-12-2012_8_3'!B2119,"AAAAAH7/Vag=")</f>
        <v>#VALUE!</v>
      </c>
      <c r="FN141" t="e">
        <f>AND('Planilla_General_07-12-2012_8_3'!C2119,"AAAAAH7/Vak=")</f>
        <v>#VALUE!</v>
      </c>
      <c r="FO141" t="e">
        <f>AND('Planilla_General_07-12-2012_8_3'!D2119,"AAAAAH7/Vao=")</f>
        <v>#VALUE!</v>
      </c>
      <c r="FP141" t="e">
        <f>AND('Planilla_General_07-12-2012_8_3'!E2119,"AAAAAH7/Vas=")</f>
        <v>#VALUE!</v>
      </c>
      <c r="FQ141" t="e">
        <f>AND('Planilla_General_07-12-2012_8_3'!F2119,"AAAAAH7/Vaw=")</f>
        <v>#VALUE!</v>
      </c>
      <c r="FR141" t="e">
        <f>AND('Planilla_General_07-12-2012_8_3'!G2119,"AAAAAH7/Va0=")</f>
        <v>#VALUE!</v>
      </c>
      <c r="FS141" t="e">
        <f>AND('Planilla_General_07-12-2012_8_3'!H2119,"AAAAAH7/Va4=")</f>
        <v>#VALUE!</v>
      </c>
      <c r="FT141" t="e">
        <f>AND('Planilla_General_07-12-2012_8_3'!I2119,"AAAAAH7/Va8=")</f>
        <v>#VALUE!</v>
      </c>
      <c r="FU141" t="e">
        <f>AND('Planilla_General_07-12-2012_8_3'!J2119,"AAAAAH7/VbA=")</f>
        <v>#VALUE!</v>
      </c>
      <c r="FV141" t="e">
        <f>AND('Planilla_General_07-12-2012_8_3'!K2119,"AAAAAH7/VbE=")</f>
        <v>#VALUE!</v>
      </c>
      <c r="FW141" t="e">
        <f>AND('Planilla_General_07-12-2012_8_3'!L2119,"AAAAAH7/VbI=")</f>
        <v>#VALUE!</v>
      </c>
      <c r="FX141" t="e">
        <f>AND('Planilla_General_07-12-2012_8_3'!M2119,"AAAAAH7/VbM=")</f>
        <v>#VALUE!</v>
      </c>
      <c r="FY141" t="e">
        <f>AND('Planilla_General_07-12-2012_8_3'!N2119,"AAAAAH7/VbQ=")</f>
        <v>#VALUE!</v>
      </c>
      <c r="FZ141" t="e">
        <f>AND('Planilla_General_07-12-2012_8_3'!O2119,"AAAAAH7/VbU=")</f>
        <v>#VALUE!</v>
      </c>
      <c r="GA141" t="e">
        <f>AND('Planilla_General_07-12-2012_8_3'!P2119,"AAAAAH7/VbY=")</f>
        <v>#VALUE!</v>
      </c>
      <c r="GB141">
        <f>IF('Planilla_General_07-12-2012_8_3'!2120:2120,"AAAAAH7/Vbc=",0)</f>
        <v>0</v>
      </c>
      <c r="GC141" t="e">
        <f>AND('Planilla_General_07-12-2012_8_3'!A2120,"AAAAAH7/Vbg=")</f>
        <v>#VALUE!</v>
      </c>
      <c r="GD141" t="e">
        <f>AND('Planilla_General_07-12-2012_8_3'!B2120,"AAAAAH7/Vbk=")</f>
        <v>#VALUE!</v>
      </c>
      <c r="GE141" t="e">
        <f>AND('Planilla_General_07-12-2012_8_3'!C2120,"AAAAAH7/Vbo=")</f>
        <v>#VALUE!</v>
      </c>
      <c r="GF141" t="e">
        <f>AND('Planilla_General_07-12-2012_8_3'!D2120,"AAAAAH7/Vbs=")</f>
        <v>#VALUE!</v>
      </c>
      <c r="GG141" t="e">
        <f>AND('Planilla_General_07-12-2012_8_3'!E2120,"AAAAAH7/Vbw=")</f>
        <v>#VALUE!</v>
      </c>
      <c r="GH141" t="e">
        <f>AND('Planilla_General_07-12-2012_8_3'!F2120,"AAAAAH7/Vb0=")</f>
        <v>#VALUE!</v>
      </c>
      <c r="GI141" t="e">
        <f>AND('Planilla_General_07-12-2012_8_3'!G2120,"AAAAAH7/Vb4=")</f>
        <v>#VALUE!</v>
      </c>
      <c r="GJ141" t="e">
        <f>AND('Planilla_General_07-12-2012_8_3'!H2120,"AAAAAH7/Vb8=")</f>
        <v>#VALUE!</v>
      </c>
      <c r="GK141" t="e">
        <f>AND('Planilla_General_07-12-2012_8_3'!I2120,"AAAAAH7/VcA=")</f>
        <v>#VALUE!</v>
      </c>
      <c r="GL141" t="e">
        <f>AND('Planilla_General_07-12-2012_8_3'!J2120,"AAAAAH7/VcE=")</f>
        <v>#VALUE!</v>
      </c>
      <c r="GM141" t="e">
        <f>AND('Planilla_General_07-12-2012_8_3'!K2120,"AAAAAH7/VcI=")</f>
        <v>#VALUE!</v>
      </c>
      <c r="GN141" t="e">
        <f>AND('Planilla_General_07-12-2012_8_3'!L2120,"AAAAAH7/VcM=")</f>
        <v>#VALUE!</v>
      </c>
      <c r="GO141" t="e">
        <f>AND('Planilla_General_07-12-2012_8_3'!M2120,"AAAAAH7/VcQ=")</f>
        <v>#VALUE!</v>
      </c>
      <c r="GP141" t="e">
        <f>AND('Planilla_General_07-12-2012_8_3'!N2120,"AAAAAH7/VcU=")</f>
        <v>#VALUE!</v>
      </c>
      <c r="GQ141" t="e">
        <f>AND('Planilla_General_07-12-2012_8_3'!O2120,"AAAAAH7/VcY=")</f>
        <v>#VALUE!</v>
      </c>
      <c r="GR141" t="e">
        <f>AND('Planilla_General_07-12-2012_8_3'!P2120,"AAAAAH7/Vcc=")</f>
        <v>#VALUE!</v>
      </c>
      <c r="GS141">
        <f>IF('Planilla_General_07-12-2012_8_3'!2121:2121,"AAAAAH7/Vcg=",0)</f>
        <v>0</v>
      </c>
      <c r="GT141" t="e">
        <f>AND('Planilla_General_07-12-2012_8_3'!A2121,"AAAAAH7/Vck=")</f>
        <v>#VALUE!</v>
      </c>
      <c r="GU141" t="e">
        <f>AND('Planilla_General_07-12-2012_8_3'!B2121,"AAAAAH7/Vco=")</f>
        <v>#VALUE!</v>
      </c>
      <c r="GV141" t="e">
        <f>AND('Planilla_General_07-12-2012_8_3'!C2121,"AAAAAH7/Vcs=")</f>
        <v>#VALUE!</v>
      </c>
      <c r="GW141" t="e">
        <f>AND('Planilla_General_07-12-2012_8_3'!D2121,"AAAAAH7/Vcw=")</f>
        <v>#VALUE!</v>
      </c>
      <c r="GX141" t="e">
        <f>AND('Planilla_General_07-12-2012_8_3'!E2121,"AAAAAH7/Vc0=")</f>
        <v>#VALUE!</v>
      </c>
      <c r="GY141" t="e">
        <f>AND('Planilla_General_07-12-2012_8_3'!F2121,"AAAAAH7/Vc4=")</f>
        <v>#VALUE!</v>
      </c>
      <c r="GZ141" t="e">
        <f>AND('Planilla_General_07-12-2012_8_3'!G2121,"AAAAAH7/Vc8=")</f>
        <v>#VALUE!</v>
      </c>
      <c r="HA141" t="e">
        <f>AND('Planilla_General_07-12-2012_8_3'!H2121,"AAAAAH7/VdA=")</f>
        <v>#VALUE!</v>
      </c>
      <c r="HB141" t="e">
        <f>AND('Planilla_General_07-12-2012_8_3'!I2121,"AAAAAH7/VdE=")</f>
        <v>#VALUE!</v>
      </c>
      <c r="HC141" t="e">
        <f>AND('Planilla_General_07-12-2012_8_3'!J2121,"AAAAAH7/VdI=")</f>
        <v>#VALUE!</v>
      </c>
      <c r="HD141" t="e">
        <f>AND('Planilla_General_07-12-2012_8_3'!K2121,"AAAAAH7/VdM=")</f>
        <v>#VALUE!</v>
      </c>
      <c r="HE141" t="e">
        <f>AND('Planilla_General_07-12-2012_8_3'!L2121,"AAAAAH7/VdQ=")</f>
        <v>#VALUE!</v>
      </c>
      <c r="HF141" t="e">
        <f>AND('Planilla_General_07-12-2012_8_3'!M2121,"AAAAAH7/VdU=")</f>
        <v>#VALUE!</v>
      </c>
      <c r="HG141" t="e">
        <f>AND('Planilla_General_07-12-2012_8_3'!N2121,"AAAAAH7/VdY=")</f>
        <v>#VALUE!</v>
      </c>
      <c r="HH141" t="e">
        <f>AND('Planilla_General_07-12-2012_8_3'!O2121,"AAAAAH7/Vdc=")</f>
        <v>#VALUE!</v>
      </c>
      <c r="HI141" t="e">
        <f>AND('Planilla_General_07-12-2012_8_3'!P2121,"AAAAAH7/Vdg=")</f>
        <v>#VALUE!</v>
      </c>
      <c r="HJ141">
        <f>IF('Planilla_General_07-12-2012_8_3'!2122:2122,"AAAAAH7/Vdk=",0)</f>
        <v>0</v>
      </c>
      <c r="HK141" t="e">
        <f>AND('Planilla_General_07-12-2012_8_3'!A2122,"AAAAAH7/Vdo=")</f>
        <v>#VALUE!</v>
      </c>
      <c r="HL141" t="e">
        <f>AND('Planilla_General_07-12-2012_8_3'!B2122,"AAAAAH7/Vds=")</f>
        <v>#VALUE!</v>
      </c>
      <c r="HM141" t="e">
        <f>AND('Planilla_General_07-12-2012_8_3'!C2122,"AAAAAH7/Vdw=")</f>
        <v>#VALUE!</v>
      </c>
      <c r="HN141" t="e">
        <f>AND('Planilla_General_07-12-2012_8_3'!D2122,"AAAAAH7/Vd0=")</f>
        <v>#VALUE!</v>
      </c>
      <c r="HO141" t="e">
        <f>AND('Planilla_General_07-12-2012_8_3'!E2122,"AAAAAH7/Vd4=")</f>
        <v>#VALUE!</v>
      </c>
      <c r="HP141" t="e">
        <f>AND('Planilla_General_07-12-2012_8_3'!F2122,"AAAAAH7/Vd8=")</f>
        <v>#VALUE!</v>
      </c>
      <c r="HQ141" t="e">
        <f>AND('Planilla_General_07-12-2012_8_3'!G2122,"AAAAAH7/VeA=")</f>
        <v>#VALUE!</v>
      </c>
      <c r="HR141" t="e">
        <f>AND('Planilla_General_07-12-2012_8_3'!H2122,"AAAAAH7/VeE=")</f>
        <v>#VALUE!</v>
      </c>
      <c r="HS141" t="e">
        <f>AND('Planilla_General_07-12-2012_8_3'!I2122,"AAAAAH7/VeI=")</f>
        <v>#VALUE!</v>
      </c>
      <c r="HT141" t="e">
        <f>AND('Planilla_General_07-12-2012_8_3'!J2122,"AAAAAH7/VeM=")</f>
        <v>#VALUE!</v>
      </c>
      <c r="HU141" t="e">
        <f>AND('Planilla_General_07-12-2012_8_3'!K2122,"AAAAAH7/VeQ=")</f>
        <v>#VALUE!</v>
      </c>
      <c r="HV141" t="e">
        <f>AND('Planilla_General_07-12-2012_8_3'!L2122,"AAAAAH7/VeU=")</f>
        <v>#VALUE!</v>
      </c>
      <c r="HW141" t="e">
        <f>AND('Planilla_General_07-12-2012_8_3'!M2122,"AAAAAH7/VeY=")</f>
        <v>#VALUE!</v>
      </c>
      <c r="HX141" t="e">
        <f>AND('Planilla_General_07-12-2012_8_3'!N2122,"AAAAAH7/Vec=")</f>
        <v>#VALUE!</v>
      </c>
      <c r="HY141" t="e">
        <f>AND('Planilla_General_07-12-2012_8_3'!O2122,"AAAAAH7/Veg=")</f>
        <v>#VALUE!</v>
      </c>
      <c r="HZ141" t="e">
        <f>AND('Planilla_General_07-12-2012_8_3'!P2122,"AAAAAH7/Vek=")</f>
        <v>#VALUE!</v>
      </c>
      <c r="IA141">
        <f>IF('Planilla_General_07-12-2012_8_3'!2123:2123,"AAAAAH7/Veo=",0)</f>
        <v>0</v>
      </c>
      <c r="IB141" t="e">
        <f>AND('Planilla_General_07-12-2012_8_3'!A2123,"AAAAAH7/Ves=")</f>
        <v>#VALUE!</v>
      </c>
      <c r="IC141" t="e">
        <f>AND('Planilla_General_07-12-2012_8_3'!B2123,"AAAAAH7/Vew=")</f>
        <v>#VALUE!</v>
      </c>
      <c r="ID141" t="e">
        <f>AND('Planilla_General_07-12-2012_8_3'!C2123,"AAAAAH7/Ve0=")</f>
        <v>#VALUE!</v>
      </c>
      <c r="IE141" t="e">
        <f>AND('Planilla_General_07-12-2012_8_3'!D2123,"AAAAAH7/Ve4=")</f>
        <v>#VALUE!</v>
      </c>
      <c r="IF141" t="e">
        <f>AND('Planilla_General_07-12-2012_8_3'!E2123,"AAAAAH7/Ve8=")</f>
        <v>#VALUE!</v>
      </c>
      <c r="IG141" t="e">
        <f>AND('Planilla_General_07-12-2012_8_3'!F2123,"AAAAAH7/VfA=")</f>
        <v>#VALUE!</v>
      </c>
      <c r="IH141" t="e">
        <f>AND('Planilla_General_07-12-2012_8_3'!G2123,"AAAAAH7/VfE=")</f>
        <v>#VALUE!</v>
      </c>
      <c r="II141" t="e">
        <f>AND('Planilla_General_07-12-2012_8_3'!H2123,"AAAAAH7/VfI=")</f>
        <v>#VALUE!</v>
      </c>
      <c r="IJ141" t="e">
        <f>AND('Planilla_General_07-12-2012_8_3'!I2123,"AAAAAH7/VfM=")</f>
        <v>#VALUE!</v>
      </c>
      <c r="IK141" t="e">
        <f>AND('Planilla_General_07-12-2012_8_3'!J2123,"AAAAAH7/VfQ=")</f>
        <v>#VALUE!</v>
      </c>
      <c r="IL141" t="e">
        <f>AND('Planilla_General_07-12-2012_8_3'!K2123,"AAAAAH7/VfU=")</f>
        <v>#VALUE!</v>
      </c>
      <c r="IM141" t="e">
        <f>AND('Planilla_General_07-12-2012_8_3'!L2123,"AAAAAH7/VfY=")</f>
        <v>#VALUE!</v>
      </c>
      <c r="IN141" t="e">
        <f>AND('Planilla_General_07-12-2012_8_3'!M2123,"AAAAAH7/Vfc=")</f>
        <v>#VALUE!</v>
      </c>
      <c r="IO141" t="e">
        <f>AND('Planilla_General_07-12-2012_8_3'!N2123,"AAAAAH7/Vfg=")</f>
        <v>#VALUE!</v>
      </c>
      <c r="IP141" t="e">
        <f>AND('Planilla_General_07-12-2012_8_3'!O2123,"AAAAAH7/Vfk=")</f>
        <v>#VALUE!</v>
      </c>
      <c r="IQ141" t="e">
        <f>AND('Planilla_General_07-12-2012_8_3'!P2123,"AAAAAH7/Vfo=")</f>
        <v>#VALUE!</v>
      </c>
      <c r="IR141">
        <f>IF('Planilla_General_07-12-2012_8_3'!2124:2124,"AAAAAH7/Vfs=",0)</f>
        <v>0</v>
      </c>
      <c r="IS141" t="e">
        <f>AND('Planilla_General_07-12-2012_8_3'!A2124,"AAAAAH7/Vfw=")</f>
        <v>#VALUE!</v>
      </c>
      <c r="IT141" t="e">
        <f>AND('Planilla_General_07-12-2012_8_3'!B2124,"AAAAAH7/Vf0=")</f>
        <v>#VALUE!</v>
      </c>
      <c r="IU141" t="e">
        <f>AND('Planilla_General_07-12-2012_8_3'!C2124,"AAAAAH7/Vf4=")</f>
        <v>#VALUE!</v>
      </c>
      <c r="IV141" t="e">
        <f>AND('Planilla_General_07-12-2012_8_3'!D2124,"AAAAAH7/Vf8=")</f>
        <v>#VALUE!</v>
      </c>
    </row>
    <row r="142" spans="1:256" x14ac:dyDescent="0.25">
      <c r="A142" t="e">
        <f>AND('Planilla_General_07-12-2012_8_3'!E2124,"AAAAAG26/wA=")</f>
        <v>#VALUE!</v>
      </c>
      <c r="B142" t="e">
        <f>AND('Planilla_General_07-12-2012_8_3'!F2124,"AAAAAG26/wE=")</f>
        <v>#VALUE!</v>
      </c>
      <c r="C142" t="e">
        <f>AND('Planilla_General_07-12-2012_8_3'!G2124,"AAAAAG26/wI=")</f>
        <v>#VALUE!</v>
      </c>
      <c r="D142" t="e">
        <f>AND('Planilla_General_07-12-2012_8_3'!H2124,"AAAAAG26/wM=")</f>
        <v>#VALUE!</v>
      </c>
      <c r="E142" t="e">
        <f>AND('Planilla_General_07-12-2012_8_3'!I2124,"AAAAAG26/wQ=")</f>
        <v>#VALUE!</v>
      </c>
      <c r="F142" t="e">
        <f>AND('Planilla_General_07-12-2012_8_3'!J2124,"AAAAAG26/wU=")</f>
        <v>#VALUE!</v>
      </c>
      <c r="G142" t="e">
        <f>AND('Planilla_General_07-12-2012_8_3'!K2124,"AAAAAG26/wY=")</f>
        <v>#VALUE!</v>
      </c>
      <c r="H142" t="e">
        <f>AND('Planilla_General_07-12-2012_8_3'!L2124,"AAAAAG26/wc=")</f>
        <v>#VALUE!</v>
      </c>
      <c r="I142" t="e">
        <f>AND('Planilla_General_07-12-2012_8_3'!M2124,"AAAAAG26/wg=")</f>
        <v>#VALUE!</v>
      </c>
      <c r="J142" t="e">
        <f>AND('Planilla_General_07-12-2012_8_3'!N2124,"AAAAAG26/wk=")</f>
        <v>#VALUE!</v>
      </c>
      <c r="K142" t="e">
        <f>AND('Planilla_General_07-12-2012_8_3'!O2124,"AAAAAG26/wo=")</f>
        <v>#VALUE!</v>
      </c>
      <c r="L142" t="e">
        <f>AND('Planilla_General_07-12-2012_8_3'!P2124,"AAAAAG26/ws=")</f>
        <v>#VALUE!</v>
      </c>
      <c r="M142" t="str">
        <f>IF('Planilla_General_07-12-2012_8_3'!2125:2125,"AAAAAG26/ww=",0)</f>
        <v>AAAAAG26/ww=</v>
      </c>
      <c r="N142" t="e">
        <f>AND('Planilla_General_07-12-2012_8_3'!A2125,"AAAAAG26/w0=")</f>
        <v>#VALUE!</v>
      </c>
      <c r="O142" t="e">
        <f>AND('Planilla_General_07-12-2012_8_3'!B2125,"AAAAAG26/w4=")</f>
        <v>#VALUE!</v>
      </c>
      <c r="P142" t="e">
        <f>AND('Planilla_General_07-12-2012_8_3'!C2125,"AAAAAG26/w8=")</f>
        <v>#VALUE!</v>
      </c>
      <c r="Q142" t="e">
        <f>AND('Planilla_General_07-12-2012_8_3'!D2125,"AAAAAG26/xA=")</f>
        <v>#VALUE!</v>
      </c>
      <c r="R142" t="e">
        <f>AND('Planilla_General_07-12-2012_8_3'!E2125,"AAAAAG26/xE=")</f>
        <v>#VALUE!</v>
      </c>
      <c r="S142" t="e">
        <f>AND('Planilla_General_07-12-2012_8_3'!F2125,"AAAAAG26/xI=")</f>
        <v>#VALUE!</v>
      </c>
      <c r="T142" t="e">
        <f>AND('Planilla_General_07-12-2012_8_3'!G2125,"AAAAAG26/xM=")</f>
        <v>#VALUE!</v>
      </c>
      <c r="U142" t="e">
        <f>AND('Planilla_General_07-12-2012_8_3'!H2125,"AAAAAG26/xQ=")</f>
        <v>#VALUE!</v>
      </c>
      <c r="V142" t="e">
        <f>AND('Planilla_General_07-12-2012_8_3'!I2125,"AAAAAG26/xU=")</f>
        <v>#VALUE!</v>
      </c>
      <c r="W142" t="e">
        <f>AND('Planilla_General_07-12-2012_8_3'!J2125,"AAAAAG26/xY=")</f>
        <v>#VALUE!</v>
      </c>
      <c r="X142" t="e">
        <f>AND('Planilla_General_07-12-2012_8_3'!K2125,"AAAAAG26/xc=")</f>
        <v>#VALUE!</v>
      </c>
      <c r="Y142" t="e">
        <f>AND('Planilla_General_07-12-2012_8_3'!L2125,"AAAAAG26/xg=")</f>
        <v>#VALUE!</v>
      </c>
      <c r="Z142" t="e">
        <f>AND('Planilla_General_07-12-2012_8_3'!M2125,"AAAAAG26/xk=")</f>
        <v>#VALUE!</v>
      </c>
      <c r="AA142" t="e">
        <f>AND('Planilla_General_07-12-2012_8_3'!N2125,"AAAAAG26/xo=")</f>
        <v>#VALUE!</v>
      </c>
      <c r="AB142" t="e">
        <f>AND('Planilla_General_07-12-2012_8_3'!O2125,"AAAAAG26/xs=")</f>
        <v>#VALUE!</v>
      </c>
      <c r="AC142" t="e">
        <f>AND('Planilla_General_07-12-2012_8_3'!P2125,"AAAAAG26/xw=")</f>
        <v>#VALUE!</v>
      </c>
      <c r="AD142">
        <f>IF('Planilla_General_07-12-2012_8_3'!2126:2126,"AAAAAG26/x0=",0)</f>
        <v>0</v>
      </c>
      <c r="AE142" t="e">
        <f>AND('Planilla_General_07-12-2012_8_3'!A2126,"AAAAAG26/x4=")</f>
        <v>#VALUE!</v>
      </c>
      <c r="AF142" t="e">
        <f>AND('Planilla_General_07-12-2012_8_3'!B2126,"AAAAAG26/x8=")</f>
        <v>#VALUE!</v>
      </c>
      <c r="AG142" t="e">
        <f>AND('Planilla_General_07-12-2012_8_3'!C2126,"AAAAAG26/yA=")</f>
        <v>#VALUE!</v>
      </c>
      <c r="AH142" t="e">
        <f>AND('Planilla_General_07-12-2012_8_3'!D2126,"AAAAAG26/yE=")</f>
        <v>#VALUE!</v>
      </c>
      <c r="AI142" t="e">
        <f>AND('Planilla_General_07-12-2012_8_3'!E2126,"AAAAAG26/yI=")</f>
        <v>#VALUE!</v>
      </c>
      <c r="AJ142" t="e">
        <f>AND('Planilla_General_07-12-2012_8_3'!F2126,"AAAAAG26/yM=")</f>
        <v>#VALUE!</v>
      </c>
      <c r="AK142" t="e">
        <f>AND('Planilla_General_07-12-2012_8_3'!G2126,"AAAAAG26/yQ=")</f>
        <v>#VALUE!</v>
      </c>
      <c r="AL142" t="e">
        <f>AND('Planilla_General_07-12-2012_8_3'!H2126,"AAAAAG26/yU=")</f>
        <v>#VALUE!</v>
      </c>
      <c r="AM142" t="e">
        <f>AND('Planilla_General_07-12-2012_8_3'!I2126,"AAAAAG26/yY=")</f>
        <v>#VALUE!</v>
      </c>
      <c r="AN142" t="e">
        <f>AND('Planilla_General_07-12-2012_8_3'!J2126,"AAAAAG26/yc=")</f>
        <v>#VALUE!</v>
      </c>
      <c r="AO142" t="e">
        <f>AND('Planilla_General_07-12-2012_8_3'!K2126,"AAAAAG26/yg=")</f>
        <v>#VALUE!</v>
      </c>
      <c r="AP142" t="e">
        <f>AND('Planilla_General_07-12-2012_8_3'!L2126,"AAAAAG26/yk=")</f>
        <v>#VALUE!</v>
      </c>
      <c r="AQ142" t="e">
        <f>AND('Planilla_General_07-12-2012_8_3'!M2126,"AAAAAG26/yo=")</f>
        <v>#VALUE!</v>
      </c>
      <c r="AR142" t="e">
        <f>AND('Planilla_General_07-12-2012_8_3'!N2126,"AAAAAG26/ys=")</f>
        <v>#VALUE!</v>
      </c>
      <c r="AS142" t="e">
        <f>AND('Planilla_General_07-12-2012_8_3'!O2126,"AAAAAG26/yw=")</f>
        <v>#VALUE!</v>
      </c>
      <c r="AT142" t="e">
        <f>AND('Planilla_General_07-12-2012_8_3'!P2126,"AAAAAG26/y0=")</f>
        <v>#VALUE!</v>
      </c>
      <c r="AU142">
        <f>IF('Planilla_General_07-12-2012_8_3'!2127:2127,"AAAAAG26/y4=",0)</f>
        <v>0</v>
      </c>
      <c r="AV142" t="e">
        <f>AND('Planilla_General_07-12-2012_8_3'!A2127,"AAAAAG26/y8=")</f>
        <v>#VALUE!</v>
      </c>
      <c r="AW142" t="e">
        <f>AND('Planilla_General_07-12-2012_8_3'!B2127,"AAAAAG26/zA=")</f>
        <v>#VALUE!</v>
      </c>
      <c r="AX142" t="e">
        <f>AND('Planilla_General_07-12-2012_8_3'!C2127,"AAAAAG26/zE=")</f>
        <v>#VALUE!</v>
      </c>
      <c r="AY142" t="e">
        <f>AND('Planilla_General_07-12-2012_8_3'!D2127,"AAAAAG26/zI=")</f>
        <v>#VALUE!</v>
      </c>
      <c r="AZ142" t="e">
        <f>AND('Planilla_General_07-12-2012_8_3'!E2127,"AAAAAG26/zM=")</f>
        <v>#VALUE!</v>
      </c>
      <c r="BA142" t="e">
        <f>AND('Planilla_General_07-12-2012_8_3'!F2127,"AAAAAG26/zQ=")</f>
        <v>#VALUE!</v>
      </c>
      <c r="BB142" t="e">
        <f>AND('Planilla_General_07-12-2012_8_3'!G2127,"AAAAAG26/zU=")</f>
        <v>#VALUE!</v>
      </c>
      <c r="BC142" t="e">
        <f>AND('Planilla_General_07-12-2012_8_3'!H2127,"AAAAAG26/zY=")</f>
        <v>#VALUE!</v>
      </c>
      <c r="BD142" t="e">
        <f>AND('Planilla_General_07-12-2012_8_3'!I2127,"AAAAAG26/zc=")</f>
        <v>#VALUE!</v>
      </c>
      <c r="BE142" t="e">
        <f>AND('Planilla_General_07-12-2012_8_3'!J2127,"AAAAAG26/zg=")</f>
        <v>#VALUE!</v>
      </c>
      <c r="BF142" t="e">
        <f>AND('Planilla_General_07-12-2012_8_3'!K2127,"AAAAAG26/zk=")</f>
        <v>#VALUE!</v>
      </c>
      <c r="BG142" t="e">
        <f>AND('Planilla_General_07-12-2012_8_3'!L2127,"AAAAAG26/zo=")</f>
        <v>#VALUE!</v>
      </c>
      <c r="BH142" t="e">
        <f>AND('Planilla_General_07-12-2012_8_3'!M2127,"AAAAAG26/zs=")</f>
        <v>#VALUE!</v>
      </c>
      <c r="BI142" t="e">
        <f>AND('Planilla_General_07-12-2012_8_3'!N2127,"AAAAAG26/zw=")</f>
        <v>#VALUE!</v>
      </c>
      <c r="BJ142" t="e">
        <f>AND('Planilla_General_07-12-2012_8_3'!O2127,"AAAAAG26/z0=")</f>
        <v>#VALUE!</v>
      </c>
      <c r="BK142" t="e">
        <f>AND('Planilla_General_07-12-2012_8_3'!P2127,"AAAAAG26/z4=")</f>
        <v>#VALUE!</v>
      </c>
      <c r="BL142">
        <f>IF('Planilla_General_07-12-2012_8_3'!2128:2128,"AAAAAG26/z8=",0)</f>
        <v>0</v>
      </c>
      <c r="BM142" t="e">
        <f>AND('Planilla_General_07-12-2012_8_3'!A2128,"AAAAAG26/0A=")</f>
        <v>#VALUE!</v>
      </c>
      <c r="BN142" t="e">
        <f>AND('Planilla_General_07-12-2012_8_3'!B2128,"AAAAAG26/0E=")</f>
        <v>#VALUE!</v>
      </c>
      <c r="BO142" t="e">
        <f>AND('Planilla_General_07-12-2012_8_3'!C2128,"AAAAAG26/0I=")</f>
        <v>#VALUE!</v>
      </c>
      <c r="BP142" t="e">
        <f>AND('Planilla_General_07-12-2012_8_3'!D2128,"AAAAAG26/0M=")</f>
        <v>#VALUE!</v>
      </c>
      <c r="BQ142" t="e">
        <f>AND('Planilla_General_07-12-2012_8_3'!E2128,"AAAAAG26/0Q=")</f>
        <v>#VALUE!</v>
      </c>
      <c r="BR142" t="e">
        <f>AND('Planilla_General_07-12-2012_8_3'!F2128,"AAAAAG26/0U=")</f>
        <v>#VALUE!</v>
      </c>
      <c r="BS142" t="e">
        <f>AND('Planilla_General_07-12-2012_8_3'!G2128,"AAAAAG26/0Y=")</f>
        <v>#VALUE!</v>
      </c>
      <c r="BT142" t="e">
        <f>AND('Planilla_General_07-12-2012_8_3'!H2128,"AAAAAG26/0c=")</f>
        <v>#VALUE!</v>
      </c>
      <c r="BU142" t="e">
        <f>AND('Planilla_General_07-12-2012_8_3'!I2128,"AAAAAG26/0g=")</f>
        <v>#VALUE!</v>
      </c>
      <c r="BV142" t="e">
        <f>AND('Planilla_General_07-12-2012_8_3'!J2128,"AAAAAG26/0k=")</f>
        <v>#VALUE!</v>
      </c>
      <c r="BW142" t="e">
        <f>AND('Planilla_General_07-12-2012_8_3'!K2128,"AAAAAG26/0o=")</f>
        <v>#VALUE!</v>
      </c>
      <c r="BX142" t="e">
        <f>AND('Planilla_General_07-12-2012_8_3'!L2128,"AAAAAG26/0s=")</f>
        <v>#VALUE!</v>
      </c>
      <c r="BY142" t="e">
        <f>AND('Planilla_General_07-12-2012_8_3'!M2128,"AAAAAG26/0w=")</f>
        <v>#VALUE!</v>
      </c>
      <c r="BZ142" t="e">
        <f>AND('Planilla_General_07-12-2012_8_3'!N2128,"AAAAAG26/00=")</f>
        <v>#VALUE!</v>
      </c>
      <c r="CA142" t="e">
        <f>AND('Planilla_General_07-12-2012_8_3'!O2128,"AAAAAG26/04=")</f>
        <v>#VALUE!</v>
      </c>
      <c r="CB142" t="e">
        <f>AND('Planilla_General_07-12-2012_8_3'!P2128,"AAAAAG26/08=")</f>
        <v>#VALUE!</v>
      </c>
      <c r="CC142">
        <f>IF('Planilla_General_07-12-2012_8_3'!2129:2129,"AAAAAG26/1A=",0)</f>
        <v>0</v>
      </c>
      <c r="CD142" t="e">
        <f>AND('Planilla_General_07-12-2012_8_3'!A2129,"AAAAAG26/1E=")</f>
        <v>#VALUE!</v>
      </c>
      <c r="CE142" t="e">
        <f>AND('Planilla_General_07-12-2012_8_3'!B2129,"AAAAAG26/1I=")</f>
        <v>#VALUE!</v>
      </c>
      <c r="CF142" t="e">
        <f>AND('Planilla_General_07-12-2012_8_3'!C2129,"AAAAAG26/1M=")</f>
        <v>#VALUE!</v>
      </c>
      <c r="CG142" t="e">
        <f>AND('Planilla_General_07-12-2012_8_3'!D2129,"AAAAAG26/1Q=")</f>
        <v>#VALUE!</v>
      </c>
      <c r="CH142" t="e">
        <f>AND('Planilla_General_07-12-2012_8_3'!E2129,"AAAAAG26/1U=")</f>
        <v>#VALUE!</v>
      </c>
      <c r="CI142" t="e">
        <f>AND('Planilla_General_07-12-2012_8_3'!F2129,"AAAAAG26/1Y=")</f>
        <v>#VALUE!</v>
      </c>
      <c r="CJ142" t="e">
        <f>AND('Planilla_General_07-12-2012_8_3'!G2129,"AAAAAG26/1c=")</f>
        <v>#VALUE!</v>
      </c>
      <c r="CK142" t="e">
        <f>AND('Planilla_General_07-12-2012_8_3'!H2129,"AAAAAG26/1g=")</f>
        <v>#VALUE!</v>
      </c>
      <c r="CL142" t="e">
        <f>AND('Planilla_General_07-12-2012_8_3'!I2129,"AAAAAG26/1k=")</f>
        <v>#VALUE!</v>
      </c>
      <c r="CM142" t="e">
        <f>AND('Planilla_General_07-12-2012_8_3'!J2129,"AAAAAG26/1o=")</f>
        <v>#VALUE!</v>
      </c>
      <c r="CN142" t="e">
        <f>AND('Planilla_General_07-12-2012_8_3'!K2129,"AAAAAG26/1s=")</f>
        <v>#VALUE!</v>
      </c>
      <c r="CO142" t="e">
        <f>AND('Planilla_General_07-12-2012_8_3'!L2129,"AAAAAG26/1w=")</f>
        <v>#VALUE!</v>
      </c>
      <c r="CP142" t="e">
        <f>AND('Planilla_General_07-12-2012_8_3'!M2129,"AAAAAG26/10=")</f>
        <v>#VALUE!</v>
      </c>
      <c r="CQ142" t="e">
        <f>AND('Planilla_General_07-12-2012_8_3'!N2129,"AAAAAG26/14=")</f>
        <v>#VALUE!</v>
      </c>
      <c r="CR142" t="e">
        <f>AND('Planilla_General_07-12-2012_8_3'!O2129,"AAAAAG26/18=")</f>
        <v>#VALUE!</v>
      </c>
      <c r="CS142" t="e">
        <f>AND('Planilla_General_07-12-2012_8_3'!P2129,"AAAAAG26/2A=")</f>
        <v>#VALUE!</v>
      </c>
      <c r="CT142">
        <f>IF('Planilla_General_07-12-2012_8_3'!2130:2130,"AAAAAG26/2E=",0)</f>
        <v>0</v>
      </c>
      <c r="CU142" t="e">
        <f>AND('Planilla_General_07-12-2012_8_3'!A2130,"AAAAAG26/2I=")</f>
        <v>#VALUE!</v>
      </c>
      <c r="CV142" t="e">
        <f>AND('Planilla_General_07-12-2012_8_3'!B2130,"AAAAAG26/2M=")</f>
        <v>#VALUE!</v>
      </c>
      <c r="CW142" t="e">
        <f>AND('Planilla_General_07-12-2012_8_3'!C2130,"AAAAAG26/2Q=")</f>
        <v>#VALUE!</v>
      </c>
      <c r="CX142" t="e">
        <f>AND('Planilla_General_07-12-2012_8_3'!D2130,"AAAAAG26/2U=")</f>
        <v>#VALUE!</v>
      </c>
      <c r="CY142" t="e">
        <f>AND('Planilla_General_07-12-2012_8_3'!E2130,"AAAAAG26/2Y=")</f>
        <v>#VALUE!</v>
      </c>
      <c r="CZ142" t="e">
        <f>AND('Planilla_General_07-12-2012_8_3'!F2130,"AAAAAG26/2c=")</f>
        <v>#VALUE!</v>
      </c>
      <c r="DA142" t="e">
        <f>AND('Planilla_General_07-12-2012_8_3'!G2130,"AAAAAG26/2g=")</f>
        <v>#VALUE!</v>
      </c>
      <c r="DB142" t="e">
        <f>AND('Planilla_General_07-12-2012_8_3'!H2130,"AAAAAG26/2k=")</f>
        <v>#VALUE!</v>
      </c>
      <c r="DC142" t="e">
        <f>AND('Planilla_General_07-12-2012_8_3'!I2130,"AAAAAG26/2o=")</f>
        <v>#VALUE!</v>
      </c>
      <c r="DD142" t="e">
        <f>AND('Planilla_General_07-12-2012_8_3'!J2130,"AAAAAG26/2s=")</f>
        <v>#VALUE!</v>
      </c>
      <c r="DE142" t="e">
        <f>AND('Planilla_General_07-12-2012_8_3'!K2130,"AAAAAG26/2w=")</f>
        <v>#VALUE!</v>
      </c>
      <c r="DF142" t="e">
        <f>AND('Planilla_General_07-12-2012_8_3'!L2130,"AAAAAG26/20=")</f>
        <v>#VALUE!</v>
      </c>
      <c r="DG142" t="e">
        <f>AND('Planilla_General_07-12-2012_8_3'!M2130,"AAAAAG26/24=")</f>
        <v>#VALUE!</v>
      </c>
      <c r="DH142" t="e">
        <f>AND('Planilla_General_07-12-2012_8_3'!N2130,"AAAAAG26/28=")</f>
        <v>#VALUE!</v>
      </c>
      <c r="DI142" t="e">
        <f>AND('Planilla_General_07-12-2012_8_3'!O2130,"AAAAAG26/3A=")</f>
        <v>#VALUE!</v>
      </c>
      <c r="DJ142" t="e">
        <f>AND('Planilla_General_07-12-2012_8_3'!P2130,"AAAAAG26/3E=")</f>
        <v>#VALUE!</v>
      </c>
      <c r="DK142">
        <f>IF('Planilla_General_07-12-2012_8_3'!2131:2131,"AAAAAG26/3I=",0)</f>
        <v>0</v>
      </c>
      <c r="DL142" t="e">
        <f>AND('Planilla_General_07-12-2012_8_3'!A2131,"AAAAAG26/3M=")</f>
        <v>#VALUE!</v>
      </c>
      <c r="DM142" t="e">
        <f>AND('Planilla_General_07-12-2012_8_3'!B2131,"AAAAAG26/3Q=")</f>
        <v>#VALUE!</v>
      </c>
      <c r="DN142" t="e">
        <f>AND('Planilla_General_07-12-2012_8_3'!C2131,"AAAAAG26/3U=")</f>
        <v>#VALUE!</v>
      </c>
      <c r="DO142" t="e">
        <f>AND('Planilla_General_07-12-2012_8_3'!D2131,"AAAAAG26/3Y=")</f>
        <v>#VALUE!</v>
      </c>
      <c r="DP142" t="e">
        <f>AND('Planilla_General_07-12-2012_8_3'!E2131,"AAAAAG26/3c=")</f>
        <v>#VALUE!</v>
      </c>
      <c r="DQ142" t="e">
        <f>AND('Planilla_General_07-12-2012_8_3'!F2131,"AAAAAG26/3g=")</f>
        <v>#VALUE!</v>
      </c>
      <c r="DR142" t="e">
        <f>AND('Planilla_General_07-12-2012_8_3'!G2131,"AAAAAG26/3k=")</f>
        <v>#VALUE!</v>
      </c>
      <c r="DS142" t="e">
        <f>AND('Planilla_General_07-12-2012_8_3'!H2131,"AAAAAG26/3o=")</f>
        <v>#VALUE!</v>
      </c>
      <c r="DT142" t="e">
        <f>AND('Planilla_General_07-12-2012_8_3'!I2131,"AAAAAG26/3s=")</f>
        <v>#VALUE!</v>
      </c>
      <c r="DU142" t="e">
        <f>AND('Planilla_General_07-12-2012_8_3'!J2131,"AAAAAG26/3w=")</f>
        <v>#VALUE!</v>
      </c>
      <c r="DV142" t="e">
        <f>AND('Planilla_General_07-12-2012_8_3'!K2131,"AAAAAG26/30=")</f>
        <v>#VALUE!</v>
      </c>
      <c r="DW142" t="e">
        <f>AND('Planilla_General_07-12-2012_8_3'!L2131,"AAAAAG26/34=")</f>
        <v>#VALUE!</v>
      </c>
      <c r="DX142" t="e">
        <f>AND('Planilla_General_07-12-2012_8_3'!M2131,"AAAAAG26/38=")</f>
        <v>#VALUE!</v>
      </c>
      <c r="DY142" t="e">
        <f>AND('Planilla_General_07-12-2012_8_3'!N2131,"AAAAAG26/4A=")</f>
        <v>#VALUE!</v>
      </c>
      <c r="DZ142" t="e">
        <f>AND('Planilla_General_07-12-2012_8_3'!O2131,"AAAAAG26/4E=")</f>
        <v>#VALUE!</v>
      </c>
      <c r="EA142" t="e">
        <f>AND('Planilla_General_07-12-2012_8_3'!P2131,"AAAAAG26/4I=")</f>
        <v>#VALUE!</v>
      </c>
      <c r="EB142">
        <f>IF('Planilla_General_07-12-2012_8_3'!2132:2132,"AAAAAG26/4M=",0)</f>
        <v>0</v>
      </c>
      <c r="EC142" t="e">
        <f>AND('Planilla_General_07-12-2012_8_3'!A2132,"AAAAAG26/4Q=")</f>
        <v>#VALUE!</v>
      </c>
      <c r="ED142" t="e">
        <f>AND('Planilla_General_07-12-2012_8_3'!B2132,"AAAAAG26/4U=")</f>
        <v>#VALUE!</v>
      </c>
      <c r="EE142" t="e">
        <f>AND('Planilla_General_07-12-2012_8_3'!C2132,"AAAAAG26/4Y=")</f>
        <v>#VALUE!</v>
      </c>
      <c r="EF142" t="e">
        <f>AND('Planilla_General_07-12-2012_8_3'!D2132,"AAAAAG26/4c=")</f>
        <v>#VALUE!</v>
      </c>
      <c r="EG142" t="e">
        <f>AND('Planilla_General_07-12-2012_8_3'!E2132,"AAAAAG26/4g=")</f>
        <v>#VALUE!</v>
      </c>
      <c r="EH142" t="e">
        <f>AND('Planilla_General_07-12-2012_8_3'!F2132,"AAAAAG26/4k=")</f>
        <v>#VALUE!</v>
      </c>
      <c r="EI142" t="e">
        <f>AND('Planilla_General_07-12-2012_8_3'!G2132,"AAAAAG26/4o=")</f>
        <v>#VALUE!</v>
      </c>
      <c r="EJ142" t="e">
        <f>AND('Planilla_General_07-12-2012_8_3'!H2132,"AAAAAG26/4s=")</f>
        <v>#VALUE!</v>
      </c>
      <c r="EK142" t="e">
        <f>AND('Planilla_General_07-12-2012_8_3'!I2132,"AAAAAG26/4w=")</f>
        <v>#VALUE!</v>
      </c>
      <c r="EL142" t="e">
        <f>AND('Planilla_General_07-12-2012_8_3'!J2132,"AAAAAG26/40=")</f>
        <v>#VALUE!</v>
      </c>
      <c r="EM142" t="e">
        <f>AND('Planilla_General_07-12-2012_8_3'!K2132,"AAAAAG26/44=")</f>
        <v>#VALUE!</v>
      </c>
      <c r="EN142" t="e">
        <f>AND('Planilla_General_07-12-2012_8_3'!L2132,"AAAAAG26/48=")</f>
        <v>#VALUE!</v>
      </c>
      <c r="EO142" t="e">
        <f>AND('Planilla_General_07-12-2012_8_3'!M2132,"AAAAAG26/5A=")</f>
        <v>#VALUE!</v>
      </c>
      <c r="EP142" t="e">
        <f>AND('Planilla_General_07-12-2012_8_3'!N2132,"AAAAAG26/5E=")</f>
        <v>#VALUE!</v>
      </c>
      <c r="EQ142" t="e">
        <f>AND('Planilla_General_07-12-2012_8_3'!O2132,"AAAAAG26/5I=")</f>
        <v>#VALUE!</v>
      </c>
      <c r="ER142" t="e">
        <f>AND('Planilla_General_07-12-2012_8_3'!P2132,"AAAAAG26/5M=")</f>
        <v>#VALUE!</v>
      </c>
      <c r="ES142">
        <f>IF('Planilla_General_07-12-2012_8_3'!2133:2133,"AAAAAG26/5Q=",0)</f>
        <v>0</v>
      </c>
      <c r="ET142" t="e">
        <f>AND('Planilla_General_07-12-2012_8_3'!A2133,"AAAAAG26/5U=")</f>
        <v>#VALUE!</v>
      </c>
      <c r="EU142" t="e">
        <f>AND('Planilla_General_07-12-2012_8_3'!B2133,"AAAAAG26/5Y=")</f>
        <v>#VALUE!</v>
      </c>
      <c r="EV142" t="e">
        <f>AND('Planilla_General_07-12-2012_8_3'!C2133,"AAAAAG26/5c=")</f>
        <v>#VALUE!</v>
      </c>
      <c r="EW142" t="e">
        <f>AND('Planilla_General_07-12-2012_8_3'!D2133,"AAAAAG26/5g=")</f>
        <v>#VALUE!</v>
      </c>
      <c r="EX142" t="e">
        <f>AND('Planilla_General_07-12-2012_8_3'!E2133,"AAAAAG26/5k=")</f>
        <v>#VALUE!</v>
      </c>
      <c r="EY142" t="e">
        <f>AND('Planilla_General_07-12-2012_8_3'!F2133,"AAAAAG26/5o=")</f>
        <v>#VALUE!</v>
      </c>
      <c r="EZ142" t="e">
        <f>AND('Planilla_General_07-12-2012_8_3'!G2133,"AAAAAG26/5s=")</f>
        <v>#VALUE!</v>
      </c>
      <c r="FA142" t="e">
        <f>AND('Planilla_General_07-12-2012_8_3'!H2133,"AAAAAG26/5w=")</f>
        <v>#VALUE!</v>
      </c>
      <c r="FB142" t="e">
        <f>AND('Planilla_General_07-12-2012_8_3'!I2133,"AAAAAG26/50=")</f>
        <v>#VALUE!</v>
      </c>
      <c r="FC142" t="e">
        <f>AND('Planilla_General_07-12-2012_8_3'!J2133,"AAAAAG26/54=")</f>
        <v>#VALUE!</v>
      </c>
      <c r="FD142" t="e">
        <f>AND('Planilla_General_07-12-2012_8_3'!K2133,"AAAAAG26/58=")</f>
        <v>#VALUE!</v>
      </c>
      <c r="FE142" t="e">
        <f>AND('Planilla_General_07-12-2012_8_3'!L2133,"AAAAAG26/6A=")</f>
        <v>#VALUE!</v>
      </c>
      <c r="FF142" t="e">
        <f>AND('Planilla_General_07-12-2012_8_3'!M2133,"AAAAAG26/6E=")</f>
        <v>#VALUE!</v>
      </c>
      <c r="FG142" t="e">
        <f>AND('Planilla_General_07-12-2012_8_3'!N2133,"AAAAAG26/6I=")</f>
        <v>#VALUE!</v>
      </c>
      <c r="FH142" t="e">
        <f>AND('Planilla_General_07-12-2012_8_3'!O2133,"AAAAAG26/6M=")</f>
        <v>#VALUE!</v>
      </c>
      <c r="FI142" t="e">
        <f>AND('Planilla_General_07-12-2012_8_3'!P2133,"AAAAAG26/6Q=")</f>
        <v>#VALUE!</v>
      </c>
      <c r="FJ142">
        <f>IF('Planilla_General_07-12-2012_8_3'!2134:2134,"AAAAAG26/6U=",0)</f>
        <v>0</v>
      </c>
      <c r="FK142" t="e">
        <f>AND('Planilla_General_07-12-2012_8_3'!A2134,"AAAAAG26/6Y=")</f>
        <v>#VALUE!</v>
      </c>
      <c r="FL142" t="e">
        <f>AND('Planilla_General_07-12-2012_8_3'!B2134,"AAAAAG26/6c=")</f>
        <v>#VALUE!</v>
      </c>
      <c r="FM142" t="e">
        <f>AND('Planilla_General_07-12-2012_8_3'!C2134,"AAAAAG26/6g=")</f>
        <v>#VALUE!</v>
      </c>
      <c r="FN142" t="e">
        <f>AND('Planilla_General_07-12-2012_8_3'!D2134,"AAAAAG26/6k=")</f>
        <v>#VALUE!</v>
      </c>
      <c r="FO142" t="e">
        <f>AND('Planilla_General_07-12-2012_8_3'!E2134,"AAAAAG26/6o=")</f>
        <v>#VALUE!</v>
      </c>
      <c r="FP142" t="e">
        <f>AND('Planilla_General_07-12-2012_8_3'!F2134,"AAAAAG26/6s=")</f>
        <v>#VALUE!</v>
      </c>
      <c r="FQ142" t="e">
        <f>AND('Planilla_General_07-12-2012_8_3'!G2134,"AAAAAG26/6w=")</f>
        <v>#VALUE!</v>
      </c>
      <c r="FR142" t="e">
        <f>AND('Planilla_General_07-12-2012_8_3'!H2134,"AAAAAG26/60=")</f>
        <v>#VALUE!</v>
      </c>
      <c r="FS142" t="e">
        <f>AND('Planilla_General_07-12-2012_8_3'!I2134,"AAAAAG26/64=")</f>
        <v>#VALUE!</v>
      </c>
      <c r="FT142" t="e">
        <f>AND('Planilla_General_07-12-2012_8_3'!J2134,"AAAAAG26/68=")</f>
        <v>#VALUE!</v>
      </c>
      <c r="FU142" t="e">
        <f>AND('Planilla_General_07-12-2012_8_3'!K2134,"AAAAAG26/7A=")</f>
        <v>#VALUE!</v>
      </c>
      <c r="FV142" t="e">
        <f>AND('Planilla_General_07-12-2012_8_3'!L2134,"AAAAAG26/7E=")</f>
        <v>#VALUE!</v>
      </c>
      <c r="FW142" t="e">
        <f>AND('Planilla_General_07-12-2012_8_3'!M2134,"AAAAAG26/7I=")</f>
        <v>#VALUE!</v>
      </c>
      <c r="FX142" t="e">
        <f>AND('Planilla_General_07-12-2012_8_3'!N2134,"AAAAAG26/7M=")</f>
        <v>#VALUE!</v>
      </c>
      <c r="FY142" t="e">
        <f>AND('Planilla_General_07-12-2012_8_3'!O2134,"AAAAAG26/7Q=")</f>
        <v>#VALUE!</v>
      </c>
      <c r="FZ142" t="e">
        <f>AND('Planilla_General_07-12-2012_8_3'!P2134,"AAAAAG26/7U=")</f>
        <v>#VALUE!</v>
      </c>
      <c r="GA142">
        <f>IF('Planilla_General_07-12-2012_8_3'!2135:2135,"AAAAAG26/7Y=",0)</f>
        <v>0</v>
      </c>
      <c r="GB142" t="e">
        <f>AND('Planilla_General_07-12-2012_8_3'!A2135,"AAAAAG26/7c=")</f>
        <v>#VALUE!</v>
      </c>
      <c r="GC142" t="e">
        <f>AND('Planilla_General_07-12-2012_8_3'!B2135,"AAAAAG26/7g=")</f>
        <v>#VALUE!</v>
      </c>
      <c r="GD142" t="e">
        <f>AND('Planilla_General_07-12-2012_8_3'!C2135,"AAAAAG26/7k=")</f>
        <v>#VALUE!</v>
      </c>
      <c r="GE142" t="e">
        <f>AND('Planilla_General_07-12-2012_8_3'!D2135,"AAAAAG26/7o=")</f>
        <v>#VALUE!</v>
      </c>
      <c r="GF142" t="e">
        <f>AND('Planilla_General_07-12-2012_8_3'!E2135,"AAAAAG26/7s=")</f>
        <v>#VALUE!</v>
      </c>
      <c r="GG142" t="e">
        <f>AND('Planilla_General_07-12-2012_8_3'!F2135,"AAAAAG26/7w=")</f>
        <v>#VALUE!</v>
      </c>
      <c r="GH142" t="e">
        <f>AND('Planilla_General_07-12-2012_8_3'!G2135,"AAAAAG26/70=")</f>
        <v>#VALUE!</v>
      </c>
      <c r="GI142" t="e">
        <f>AND('Planilla_General_07-12-2012_8_3'!H2135,"AAAAAG26/74=")</f>
        <v>#VALUE!</v>
      </c>
      <c r="GJ142" t="e">
        <f>AND('Planilla_General_07-12-2012_8_3'!I2135,"AAAAAG26/78=")</f>
        <v>#VALUE!</v>
      </c>
      <c r="GK142" t="e">
        <f>AND('Planilla_General_07-12-2012_8_3'!J2135,"AAAAAG26/8A=")</f>
        <v>#VALUE!</v>
      </c>
      <c r="GL142" t="e">
        <f>AND('Planilla_General_07-12-2012_8_3'!K2135,"AAAAAG26/8E=")</f>
        <v>#VALUE!</v>
      </c>
      <c r="GM142" t="e">
        <f>AND('Planilla_General_07-12-2012_8_3'!L2135,"AAAAAG26/8I=")</f>
        <v>#VALUE!</v>
      </c>
      <c r="GN142" t="e">
        <f>AND('Planilla_General_07-12-2012_8_3'!M2135,"AAAAAG26/8M=")</f>
        <v>#VALUE!</v>
      </c>
      <c r="GO142" t="e">
        <f>AND('Planilla_General_07-12-2012_8_3'!N2135,"AAAAAG26/8Q=")</f>
        <v>#VALUE!</v>
      </c>
      <c r="GP142" t="e">
        <f>AND('Planilla_General_07-12-2012_8_3'!O2135,"AAAAAG26/8U=")</f>
        <v>#VALUE!</v>
      </c>
      <c r="GQ142" t="e">
        <f>AND('Planilla_General_07-12-2012_8_3'!P2135,"AAAAAG26/8Y=")</f>
        <v>#VALUE!</v>
      </c>
      <c r="GR142">
        <f>IF('Planilla_General_07-12-2012_8_3'!2136:2136,"AAAAAG26/8c=",0)</f>
        <v>0</v>
      </c>
      <c r="GS142" t="e">
        <f>AND('Planilla_General_07-12-2012_8_3'!A2136,"AAAAAG26/8g=")</f>
        <v>#VALUE!</v>
      </c>
      <c r="GT142" t="e">
        <f>AND('Planilla_General_07-12-2012_8_3'!B2136,"AAAAAG26/8k=")</f>
        <v>#VALUE!</v>
      </c>
      <c r="GU142" t="e">
        <f>AND('Planilla_General_07-12-2012_8_3'!C2136,"AAAAAG26/8o=")</f>
        <v>#VALUE!</v>
      </c>
      <c r="GV142" t="e">
        <f>AND('Planilla_General_07-12-2012_8_3'!D2136,"AAAAAG26/8s=")</f>
        <v>#VALUE!</v>
      </c>
      <c r="GW142" t="e">
        <f>AND('Planilla_General_07-12-2012_8_3'!E2136,"AAAAAG26/8w=")</f>
        <v>#VALUE!</v>
      </c>
      <c r="GX142" t="e">
        <f>AND('Planilla_General_07-12-2012_8_3'!F2136,"AAAAAG26/80=")</f>
        <v>#VALUE!</v>
      </c>
      <c r="GY142" t="e">
        <f>AND('Planilla_General_07-12-2012_8_3'!G2136,"AAAAAG26/84=")</f>
        <v>#VALUE!</v>
      </c>
      <c r="GZ142" t="e">
        <f>AND('Planilla_General_07-12-2012_8_3'!H2136,"AAAAAG26/88=")</f>
        <v>#VALUE!</v>
      </c>
      <c r="HA142" t="e">
        <f>AND('Planilla_General_07-12-2012_8_3'!I2136,"AAAAAG26/9A=")</f>
        <v>#VALUE!</v>
      </c>
      <c r="HB142" t="e">
        <f>AND('Planilla_General_07-12-2012_8_3'!J2136,"AAAAAG26/9E=")</f>
        <v>#VALUE!</v>
      </c>
      <c r="HC142" t="e">
        <f>AND('Planilla_General_07-12-2012_8_3'!K2136,"AAAAAG26/9I=")</f>
        <v>#VALUE!</v>
      </c>
      <c r="HD142" t="e">
        <f>AND('Planilla_General_07-12-2012_8_3'!L2136,"AAAAAG26/9M=")</f>
        <v>#VALUE!</v>
      </c>
      <c r="HE142" t="e">
        <f>AND('Planilla_General_07-12-2012_8_3'!M2136,"AAAAAG26/9Q=")</f>
        <v>#VALUE!</v>
      </c>
      <c r="HF142" t="e">
        <f>AND('Planilla_General_07-12-2012_8_3'!N2136,"AAAAAG26/9U=")</f>
        <v>#VALUE!</v>
      </c>
      <c r="HG142" t="e">
        <f>AND('Planilla_General_07-12-2012_8_3'!O2136,"AAAAAG26/9Y=")</f>
        <v>#VALUE!</v>
      </c>
      <c r="HH142" t="e">
        <f>AND('Planilla_General_07-12-2012_8_3'!P2136,"AAAAAG26/9c=")</f>
        <v>#VALUE!</v>
      </c>
      <c r="HI142">
        <f>IF('Planilla_General_07-12-2012_8_3'!2137:2137,"AAAAAG26/9g=",0)</f>
        <v>0</v>
      </c>
      <c r="HJ142" t="e">
        <f>AND('Planilla_General_07-12-2012_8_3'!A2137,"AAAAAG26/9k=")</f>
        <v>#VALUE!</v>
      </c>
      <c r="HK142" t="e">
        <f>AND('Planilla_General_07-12-2012_8_3'!B2137,"AAAAAG26/9o=")</f>
        <v>#VALUE!</v>
      </c>
      <c r="HL142" t="e">
        <f>AND('Planilla_General_07-12-2012_8_3'!C2137,"AAAAAG26/9s=")</f>
        <v>#VALUE!</v>
      </c>
      <c r="HM142" t="e">
        <f>AND('Planilla_General_07-12-2012_8_3'!D2137,"AAAAAG26/9w=")</f>
        <v>#VALUE!</v>
      </c>
      <c r="HN142" t="e">
        <f>AND('Planilla_General_07-12-2012_8_3'!E2137,"AAAAAG26/90=")</f>
        <v>#VALUE!</v>
      </c>
      <c r="HO142" t="e">
        <f>AND('Planilla_General_07-12-2012_8_3'!F2137,"AAAAAG26/94=")</f>
        <v>#VALUE!</v>
      </c>
      <c r="HP142" t="e">
        <f>AND('Planilla_General_07-12-2012_8_3'!G2137,"AAAAAG26/98=")</f>
        <v>#VALUE!</v>
      </c>
      <c r="HQ142" t="e">
        <f>AND('Planilla_General_07-12-2012_8_3'!H2137,"AAAAAG26/+A=")</f>
        <v>#VALUE!</v>
      </c>
      <c r="HR142" t="e">
        <f>AND('Planilla_General_07-12-2012_8_3'!I2137,"AAAAAG26/+E=")</f>
        <v>#VALUE!</v>
      </c>
      <c r="HS142" t="e">
        <f>AND('Planilla_General_07-12-2012_8_3'!J2137,"AAAAAG26/+I=")</f>
        <v>#VALUE!</v>
      </c>
      <c r="HT142" t="e">
        <f>AND('Planilla_General_07-12-2012_8_3'!K2137,"AAAAAG26/+M=")</f>
        <v>#VALUE!</v>
      </c>
      <c r="HU142" t="e">
        <f>AND('Planilla_General_07-12-2012_8_3'!L2137,"AAAAAG26/+Q=")</f>
        <v>#VALUE!</v>
      </c>
      <c r="HV142" t="e">
        <f>AND('Planilla_General_07-12-2012_8_3'!M2137,"AAAAAG26/+U=")</f>
        <v>#VALUE!</v>
      </c>
      <c r="HW142" t="e">
        <f>AND('Planilla_General_07-12-2012_8_3'!N2137,"AAAAAG26/+Y=")</f>
        <v>#VALUE!</v>
      </c>
      <c r="HX142" t="e">
        <f>AND('Planilla_General_07-12-2012_8_3'!O2137,"AAAAAG26/+c=")</f>
        <v>#VALUE!</v>
      </c>
      <c r="HY142" t="e">
        <f>AND('Planilla_General_07-12-2012_8_3'!P2137,"AAAAAG26/+g=")</f>
        <v>#VALUE!</v>
      </c>
      <c r="HZ142">
        <f>IF('Planilla_General_07-12-2012_8_3'!2138:2138,"AAAAAG26/+k=",0)</f>
        <v>0</v>
      </c>
      <c r="IA142" t="e">
        <f>AND('Planilla_General_07-12-2012_8_3'!A2138,"AAAAAG26/+o=")</f>
        <v>#VALUE!</v>
      </c>
      <c r="IB142" t="e">
        <f>AND('Planilla_General_07-12-2012_8_3'!B2138,"AAAAAG26/+s=")</f>
        <v>#VALUE!</v>
      </c>
      <c r="IC142" t="e">
        <f>AND('Planilla_General_07-12-2012_8_3'!C2138,"AAAAAG26/+w=")</f>
        <v>#VALUE!</v>
      </c>
      <c r="ID142" t="e">
        <f>AND('Planilla_General_07-12-2012_8_3'!D2138,"AAAAAG26/+0=")</f>
        <v>#VALUE!</v>
      </c>
      <c r="IE142" t="e">
        <f>AND('Planilla_General_07-12-2012_8_3'!E2138,"AAAAAG26/+4=")</f>
        <v>#VALUE!</v>
      </c>
      <c r="IF142" t="e">
        <f>AND('Planilla_General_07-12-2012_8_3'!F2138,"AAAAAG26/+8=")</f>
        <v>#VALUE!</v>
      </c>
      <c r="IG142" t="e">
        <f>AND('Planilla_General_07-12-2012_8_3'!G2138,"AAAAAG26//A=")</f>
        <v>#VALUE!</v>
      </c>
      <c r="IH142" t="e">
        <f>AND('Planilla_General_07-12-2012_8_3'!H2138,"AAAAAG26//E=")</f>
        <v>#VALUE!</v>
      </c>
      <c r="II142" t="e">
        <f>AND('Planilla_General_07-12-2012_8_3'!I2138,"AAAAAG26//I=")</f>
        <v>#VALUE!</v>
      </c>
      <c r="IJ142" t="e">
        <f>AND('Planilla_General_07-12-2012_8_3'!J2138,"AAAAAG26//M=")</f>
        <v>#VALUE!</v>
      </c>
      <c r="IK142" t="e">
        <f>AND('Planilla_General_07-12-2012_8_3'!K2138,"AAAAAG26//Q=")</f>
        <v>#VALUE!</v>
      </c>
      <c r="IL142" t="e">
        <f>AND('Planilla_General_07-12-2012_8_3'!L2138,"AAAAAG26//U=")</f>
        <v>#VALUE!</v>
      </c>
      <c r="IM142" t="e">
        <f>AND('Planilla_General_07-12-2012_8_3'!M2138,"AAAAAG26//Y=")</f>
        <v>#VALUE!</v>
      </c>
      <c r="IN142" t="e">
        <f>AND('Planilla_General_07-12-2012_8_3'!N2138,"AAAAAG26//c=")</f>
        <v>#VALUE!</v>
      </c>
      <c r="IO142" t="e">
        <f>AND('Planilla_General_07-12-2012_8_3'!O2138,"AAAAAG26//g=")</f>
        <v>#VALUE!</v>
      </c>
      <c r="IP142" t="e">
        <f>AND('Planilla_General_07-12-2012_8_3'!P2138,"AAAAAG26//k=")</f>
        <v>#VALUE!</v>
      </c>
      <c r="IQ142">
        <f>IF('Planilla_General_07-12-2012_8_3'!2139:2139,"AAAAAG26//o=",0)</f>
        <v>0</v>
      </c>
      <c r="IR142" t="e">
        <f>AND('Planilla_General_07-12-2012_8_3'!A2139,"AAAAAG26//s=")</f>
        <v>#VALUE!</v>
      </c>
      <c r="IS142" t="e">
        <f>AND('Planilla_General_07-12-2012_8_3'!B2139,"AAAAAG26//w=")</f>
        <v>#VALUE!</v>
      </c>
      <c r="IT142" t="e">
        <f>AND('Planilla_General_07-12-2012_8_3'!C2139,"AAAAAG26//0=")</f>
        <v>#VALUE!</v>
      </c>
      <c r="IU142" t="e">
        <f>AND('Planilla_General_07-12-2012_8_3'!D2139,"AAAAAG26//4=")</f>
        <v>#VALUE!</v>
      </c>
      <c r="IV142" t="e">
        <f>AND('Planilla_General_07-12-2012_8_3'!E2139,"AAAAAG26//8=")</f>
        <v>#VALUE!</v>
      </c>
    </row>
    <row r="143" spans="1:256" x14ac:dyDescent="0.25">
      <c r="A143" t="e">
        <f>AND('Planilla_General_07-12-2012_8_3'!F2139,"AAAAAFs++wA=")</f>
        <v>#VALUE!</v>
      </c>
      <c r="B143" t="e">
        <f>AND('Planilla_General_07-12-2012_8_3'!G2139,"AAAAAFs++wE=")</f>
        <v>#VALUE!</v>
      </c>
      <c r="C143" t="e">
        <f>AND('Planilla_General_07-12-2012_8_3'!H2139,"AAAAAFs++wI=")</f>
        <v>#VALUE!</v>
      </c>
      <c r="D143" t="e">
        <f>AND('Planilla_General_07-12-2012_8_3'!I2139,"AAAAAFs++wM=")</f>
        <v>#VALUE!</v>
      </c>
      <c r="E143" t="e">
        <f>AND('Planilla_General_07-12-2012_8_3'!J2139,"AAAAAFs++wQ=")</f>
        <v>#VALUE!</v>
      </c>
      <c r="F143" t="e">
        <f>AND('Planilla_General_07-12-2012_8_3'!K2139,"AAAAAFs++wU=")</f>
        <v>#VALUE!</v>
      </c>
      <c r="G143" t="e">
        <f>AND('Planilla_General_07-12-2012_8_3'!L2139,"AAAAAFs++wY=")</f>
        <v>#VALUE!</v>
      </c>
      <c r="H143" t="e">
        <f>AND('Planilla_General_07-12-2012_8_3'!M2139,"AAAAAFs++wc=")</f>
        <v>#VALUE!</v>
      </c>
      <c r="I143" t="e">
        <f>AND('Planilla_General_07-12-2012_8_3'!N2139,"AAAAAFs++wg=")</f>
        <v>#VALUE!</v>
      </c>
      <c r="J143" t="e">
        <f>AND('Planilla_General_07-12-2012_8_3'!O2139,"AAAAAFs++wk=")</f>
        <v>#VALUE!</v>
      </c>
      <c r="K143" t="e">
        <f>AND('Planilla_General_07-12-2012_8_3'!P2139,"AAAAAFs++wo=")</f>
        <v>#VALUE!</v>
      </c>
      <c r="L143" t="str">
        <f>IF('Planilla_General_07-12-2012_8_3'!2140:2140,"AAAAAFs++ws=",0)</f>
        <v>AAAAAFs++ws=</v>
      </c>
      <c r="M143" t="e">
        <f>AND('Planilla_General_07-12-2012_8_3'!A2140,"AAAAAFs++ww=")</f>
        <v>#VALUE!</v>
      </c>
      <c r="N143" t="e">
        <f>AND('Planilla_General_07-12-2012_8_3'!B2140,"AAAAAFs++w0=")</f>
        <v>#VALUE!</v>
      </c>
      <c r="O143" t="e">
        <f>AND('Planilla_General_07-12-2012_8_3'!C2140,"AAAAAFs++w4=")</f>
        <v>#VALUE!</v>
      </c>
      <c r="P143" t="e">
        <f>AND('Planilla_General_07-12-2012_8_3'!D2140,"AAAAAFs++w8=")</f>
        <v>#VALUE!</v>
      </c>
      <c r="Q143" t="e">
        <f>AND('Planilla_General_07-12-2012_8_3'!E2140,"AAAAAFs++xA=")</f>
        <v>#VALUE!</v>
      </c>
      <c r="R143" t="e">
        <f>AND('Planilla_General_07-12-2012_8_3'!F2140,"AAAAAFs++xE=")</f>
        <v>#VALUE!</v>
      </c>
      <c r="S143" t="e">
        <f>AND('Planilla_General_07-12-2012_8_3'!G2140,"AAAAAFs++xI=")</f>
        <v>#VALUE!</v>
      </c>
      <c r="T143" t="e">
        <f>AND('Planilla_General_07-12-2012_8_3'!H2140,"AAAAAFs++xM=")</f>
        <v>#VALUE!</v>
      </c>
      <c r="U143" t="e">
        <f>AND('Planilla_General_07-12-2012_8_3'!I2140,"AAAAAFs++xQ=")</f>
        <v>#VALUE!</v>
      </c>
      <c r="V143" t="e">
        <f>AND('Planilla_General_07-12-2012_8_3'!J2140,"AAAAAFs++xU=")</f>
        <v>#VALUE!</v>
      </c>
      <c r="W143" t="e">
        <f>AND('Planilla_General_07-12-2012_8_3'!K2140,"AAAAAFs++xY=")</f>
        <v>#VALUE!</v>
      </c>
      <c r="X143" t="e">
        <f>AND('Planilla_General_07-12-2012_8_3'!L2140,"AAAAAFs++xc=")</f>
        <v>#VALUE!</v>
      </c>
      <c r="Y143" t="e">
        <f>AND('Planilla_General_07-12-2012_8_3'!M2140,"AAAAAFs++xg=")</f>
        <v>#VALUE!</v>
      </c>
      <c r="Z143" t="e">
        <f>AND('Planilla_General_07-12-2012_8_3'!N2140,"AAAAAFs++xk=")</f>
        <v>#VALUE!</v>
      </c>
      <c r="AA143" t="e">
        <f>AND('Planilla_General_07-12-2012_8_3'!O2140,"AAAAAFs++xo=")</f>
        <v>#VALUE!</v>
      </c>
      <c r="AB143" t="e">
        <f>AND('Planilla_General_07-12-2012_8_3'!P2140,"AAAAAFs++xs=")</f>
        <v>#VALUE!</v>
      </c>
      <c r="AC143">
        <f>IF('Planilla_General_07-12-2012_8_3'!2141:2141,"AAAAAFs++xw=",0)</f>
        <v>0</v>
      </c>
      <c r="AD143" t="e">
        <f>AND('Planilla_General_07-12-2012_8_3'!A2141,"AAAAAFs++x0=")</f>
        <v>#VALUE!</v>
      </c>
      <c r="AE143" t="e">
        <f>AND('Planilla_General_07-12-2012_8_3'!B2141,"AAAAAFs++x4=")</f>
        <v>#VALUE!</v>
      </c>
      <c r="AF143" t="e">
        <f>AND('Planilla_General_07-12-2012_8_3'!C2141,"AAAAAFs++x8=")</f>
        <v>#VALUE!</v>
      </c>
      <c r="AG143" t="e">
        <f>AND('Planilla_General_07-12-2012_8_3'!D2141,"AAAAAFs++yA=")</f>
        <v>#VALUE!</v>
      </c>
      <c r="AH143" t="e">
        <f>AND('Planilla_General_07-12-2012_8_3'!E2141,"AAAAAFs++yE=")</f>
        <v>#VALUE!</v>
      </c>
      <c r="AI143" t="e">
        <f>AND('Planilla_General_07-12-2012_8_3'!F2141,"AAAAAFs++yI=")</f>
        <v>#VALUE!</v>
      </c>
      <c r="AJ143" t="e">
        <f>AND('Planilla_General_07-12-2012_8_3'!G2141,"AAAAAFs++yM=")</f>
        <v>#VALUE!</v>
      </c>
      <c r="AK143" t="e">
        <f>AND('Planilla_General_07-12-2012_8_3'!H2141,"AAAAAFs++yQ=")</f>
        <v>#VALUE!</v>
      </c>
      <c r="AL143" t="e">
        <f>AND('Planilla_General_07-12-2012_8_3'!I2141,"AAAAAFs++yU=")</f>
        <v>#VALUE!</v>
      </c>
      <c r="AM143" t="e">
        <f>AND('Planilla_General_07-12-2012_8_3'!J2141,"AAAAAFs++yY=")</f>
        <v>#VALUE!</v>
      </c>
      <c r="AN143" t="e">
        <f>AND('Planilla_General_07-12-2012_8_3'!K2141,"AAAAAFs++yc=")</f>
        <v>#VALUE!</v>
      </c>
      <c r="AO143" t="e">
        <f>AND('Planilla_General_07-12-2012_8_3'!L2141,"AAAAAFs++yg=")</f>
        <v>#VALUE!</v>
      </c>
      <c r="AP143" t="e">
        <f>AND('Planilla_General_07-12-2012_8_3'!M2141,"AAAAAFs++yk=")</f>
        <v>#VALUE!</v>
      </c>
      <c r="AQ143" t="e">
        <f>AND('Planilla_General_07-12-2012_8_3'!N2141,"AAAAAFs++yo=")</f>
        <v>#VALUE!</v>
      </c>
      <c r="AR143" t="e">
        <f>AND('Planilla_General_07-12-2012_8_3'!O2141,"AAAAAFs++ys=")</f>
        <v>#VALUE!</v>
      </c>
      <c r="AS143" t="e">
        <f>AND('Planilla_General_07-12-2012_8_3'!P2141,"AAAAAFs++yw=")</f>
        <v>#VALUE!</v>
      </c>
      <c r="AT143">
        <f>IF('Planilla_General_07-12-2012_8_3'!2142:2142,"AAAAAFs++y0=",0)</f>
        <v>0</v>
      </c>
      <c r="AU143" t="e">
        <f>AND('Planilla_General_07-12-2012_8_3'!A2142,"AAAAAFs++y4=")</f>
        <v>#VALUE!</v>
      </c>
      <c r="AV143" t="e">
        <f>AND('Planilla_General_07-12-2012_8_3'!B2142,"AAAAAFs++y8=")</f>
        <v>#VALUE!</v>
      </c>
      <c r="AW143" t="e">
        <f>AND('Planilla_General_07-12-2012_8_3'!C2142,"AAAAAFs++zA=")</f>
        <v>#VALUE!</v>
      </c>
      <c r="AX143" t="e">
        <f>AND('Planilla_General_07-12-2012_8_3'!D2142,"AAAAAFs++zE=")</f>
        <v>#VALUE!</v>
      </c>
      <c r="AY143" t="e">
        <f>AND('Planilla_General_07-12-2012_8_3'!E2142,"AAAAAFs++zI=")</f>
        <v>#VALUE!</v>
      </c>
      <c r="AZ143" t="e">
        <f>AND('Planilla_General_07-12-2012_8_3'!F2142,"AAAAAFs++zM=")</f>
        <v>#VALUE!</v>
      </c>
      <c r="BA143" t="e">
        <f>AND('Planilla_General_07-12-2012_8_3'!G2142,"AAAAAFs++zQ=")</f>
        <v>#VALUE!</v>
      </c>
      <c r="BB143" t="e">
        <f>AND('Planilla_General_07-12-2012_8_3'!H2142,"AAAAAFs++zU=")</f>
        <v>#VALUE!</v>
      </c>
      <c r="BC143" t="e">
        <f>AND('Planilla_General_07-12-2012_8_3'!I2142,"AAAAAFs++zY=")</f>
        <v>#VALUE!</v>
      </c>
      <c r="BD143" t="e">
        <f>AND('Planilla_General_07-12-2012_8_3'!J2142,"AAAAAFs++zc=")</f>
        <v>#VALUE!</v>
      </c>
      <c r="BE143" t="e">
        <f>AND('Planilla_General_07-12-2012_8_3'!K2142,"AAAAAFs++zg=")</f>
        <v>#VALUE!</v>
      </c>
      <c r="BF143" t="e">
        <f>AND('Planilla_General_07-12-2012_8_3'!L2142,"AAAAAFs++zk=")</f>
        <v>#VALUE!</v>
      </c>
      <c r="BG143" t="e">
        <f>AND('Planilla_General_07-12-2012_8_3'!M2142,"AAAAAFs++zo=")</f>
        <v>#VALUE!</v>
      </c>
      <c r="BH143" t="e">
        <f>AND('Planilla_General_07-12-2012_8_3'!N2142,"AAAAAFs++zs=")</f>
        <v>#VALUE!</v>
      </c>
      <c r="BI143" t="e">
        <f>AND('Planilla_General_07-12-2012_8_3'!O2142,"AAAAAFs++zw=")</f>
        <v>#VALUE!</v>
      </c>
      <c r="BJ143" t="e">
        <f>AND('Planilla_General_07-12-2012_8_3'!P2142,"AAAAAFs++z0=")</f>
        <v>#VALUE!</v>
      </c>
      <c r="BK143">
        <f>IF('Planilla_General_07-12-2012_8_3'!2143:2143,"AAAAAFs++z4=",0)</f>
        <v>0</v>
      </c>
      <c r="BL143" t="e">
        <f>AND('Planilla_General_07-12-2012_8_3'!A2143,"AAAAAFs++z8=")</f>
        <v>#VALUE!</v>
      </c>
      <c r="BM143" t="e">
        <f>AND('Planilla_General_07-12-2012_8_3'!B2143,"AAAAAFs++0A=")</f>
        <v>#VALUE!</v>
      </c>
      <c r="BN143" t="e">
        <f>AND('Planilla_General_07-12-2012_8_3'!C2143,"AAAAAFs++0E=")</f>
        <v>#VALUE!</v>
      </c>
      <c r="BO143" t="e">
        <f>AND('Planilla_General_07-12-2012_8_3'!D2143,"AAAAAFs++0I=")</f>
        <v>#VALUE!</v>
      </c>
      <c r="BP143" t="e">
        <f>AND('Planilla_General_07-12-2012_8_3'!E2143,"AAAAAFs++0M=")</f>
        <v>#VALUE!</v>
      </c>
      <c r="BQ143" t="e">
        <f>AND('Planilla_General_07-12-2012_8_3'!F2143,"AAAAAFs++0Q=")</f>
        <v>#VALUE!</v>
      </c>
      <c r="BR143" t="e">
        <f>AND('Planilla_General_07-12-2012_8_3'!G2143,"AAAAAFs++0U=")</f>
        <v>#VALUE!</v>
      </c>
      <c r="BS143" t="e">
        <f>AND('Planilla_General_07-12-2012_8_3'!H2143,"AAAAAFs++0Y=")</f>
        <v>#VALUE!</v>
      </c>
      <c r="BT143" t="e">
        <f>AND('Planilla_General_07-12-2012_8_3'!I2143,"AAAAAFs++0c=")</f>
        <v>#VALUE!</v>
      </c>
      <c r="BU143" t="e">
        <f>AND('Planilla_General_07-12-2012_8_3'!J2143,"AAAAAFs++0g=")</f>
        <v>#VALUE!</v>
      </c>
      <c r="BV143" t="e">
        <f>AND('Planilla_General_07-12-2012_8_3'!K2143,"AAAAAFs++0k=")</f>
        <v>#VALUE!</v>
      </c>
      <c r="BW143" t="e">
        <f>AND('Planilla_General_07-12-2012_8_3'!L2143,"AAAAAFs++0o=")</f>
        <v>#VALUE!</v>
      </c>
      <c r="BX143" t="e">
        <f>AND('Planilla_General_07-12-2012_8_3'!M2143,"AAAAAFs++0s=")</f>
        <v>#VALUE!</v>
      </c>
      <c r="BY143" t="e">
        <f>AND('Planilla_General_07-12-2012_8_3'!N2143,"AAAAAFs++0w=")</f>
        <v>#VALUE!</v>
      </c>
      <c r="BZ143" t="e">
        <f>AND('Planilla_General_07-12-2012_8_3'!O2143,"AAAAAFs++00=")</f>
        <v>#VALUE!</v>
      </c>
      <c r="CA143" t="e">
        <f>AND('Planilla_General_07-12-2012_8_3'!P2143,"AAAAAFs++04=")</f>
        <v>#VALUE!</v>
      </c>
      <c r="CB143">
        <f>IF('Planilla_General_07-12-2012_8_3'!2144:2144,"AAAAAFs++08=",0)</f>
        <v>0</v>
      </c>
      <c r="CC143" t="e">
        <f>AND('Planilla_General_07-12-2012_8_3'!A2144,"AAAAAFs++1A=")</f>
        <v>#VALUE!</v>
      </c>
      <c r="CD143" t="e">
        <f>AND('Planilla_General_07-12-2012_8_3'!B2144,"AAAAAFs++1E=")</f>
        <v>#VALUE!</v>
      </c>
      <c r="CE143" t="e">
        <f>AND('Planilla_General_07-12-2012_8_3'!C2144,"AAAAAFs++1I=")</f>
        <v>#VALUE!</v>
      </c>
      <c r="CF143" t="e">
        <f>AND('Planilla_General_07-12-2012_8_3'!D2144,"AAAAAFs++1M=")</f>
        <v>#VALUE!</v>
      </c>
      <c r="CG143" t="e">
        <f>AND('Planilla_General_07-12-2012_8_3'!E2144,"AAAAAFs++1Q=")</f>
        <v>#VALUE!</v>
      </c>
      <c r="CH143" t="e">
        <f>AND('Planilla_General_07-12-2012_8_3'!F2144,"AAAAAFs++1U=")</f>
        <v>#VALUE!</v>
      </c>
      <c r="CI143" t="e">
        <f>AND('Planilla_General_07-12-2012_8_3'!G2144,"AAAAAFs++1Y=")</f>
        <v>#VALUE!</v>
      </c>
      <c r="CJ143" t="e">
        <f>AND('Planilla_General_07-12-2012_8_3'!H2144,"AAAAAFs++1c=")</f>
        <v>#VALUE!</v>
      </c>
      <c r="CK143" t="e">
        <f>AND('Planilla_General_07-12-2012_8_3'!I2144,"AAAAAFs++1g=")</f>
        <v>#VALUE!</v>
      </c>
      <c r="CL143" t="e">
        <f>AND('Planilla_General_07-12-2012_8_3'!J2144,"AAAAAFs++1k=")</f>
        <v>#VALUE!</v>
      </c>
      <c r="CM143" t="e">
        <f>AND('Planilla_General_07-12-2012_8_3'!K2144,"AAAAAFs++1o=")</f>
        <v>#VALUE!</v>
      </c>
      <c r="CN143" t="e">
        <f>AND('Planilla_General_07-12-2012_8_3'!L2144,"AAAAAFs++1s=")</f>
        <v>#VALUE!</v>
      </c>
      <c r="CO143" t="e">
        <f>AND('Planilla_General_07-12-2012_8_3'!M2144,"AAAAAFs++1w=")</f>
        <v>#VALUE!</v>
      </c>
      <c r="CP143" t="e">
        <f>AND('Planilla_General_07-12-2012_8_3'!N2144,"AAAAAFs++10=")</f>
        <v>#VALUE!</v>
      </c>
      <c r="CQ143" t="e">
        <f>AND('Planilla_General_07-12-2012_8_3'!O2144,"AAAAAFs++14=")</f>
        <v>#VALUE!</v>
      </c>
      <c r="CR143" t="e">
        <f>AND('Planilla_General_07-12-2012_8_3'!P2144,"AAAAAFs++18=")</f>
        <v>#VALUE!</v>
      </c>
      <c r="CS143">
        <f>IF('Planilla_General_07-12-2012_8_3'!2145:2145,"AAAAAFs++2A=",0)</f>
        <v>0</v>
      </c>
      <c r="CT143" t="e">
        <f>AND('Planilla_General_07-12-2012_8_3'!A2145,"AAAAAFs++2E=")</f>
        <v>#VALUE!</v>
      </c>
      <c r="CU143" t="e">
        <f>AND('Planilla_General_07-12-2012_8_3'!B2145,"AAAAAFs++2I=")</f>
        <v>#VALUE!</v>
      </c>
      <c r="CV143" t="e">
        <f>AND('Planilla_General_07-12-2012_8_3'!C2145,"AAAAAFs++2M=")</f>
        <v>#VALUE!</v>
      </c>
      <c r="CW143" t="e">
        <f>AND('Planilla_General_07-12-2012_8_3'!D2145,"AAAAAFs++2Q=")</f>
        <v>#VALUE!</v>
      </c>
      <c r="CX143" t="e">
        <f>AND('Planilla_General_07-12-2012_8_3'!E2145,"AAAAAFs++2U=")</f>
        <v>#VALUE!</v>
      </c>
      <c r="CY143" t="e">
        <f>AND('Planilla_General_07-12-2012_8_3'!F2145,"AAAAAFs++2Y=")</f>
        <v>#VALUE!</v>
      </c>
      <c r="CZ143" t="e">
        <f>AND('Planilla_General_07-12-2012_8_3'!G2145,"AAAAAFs++2c=")</f>
        <v>#VALUE!</v>
      </c>
      <c r="DA143" t="e">
        <f>AND('Planilla_General_07-12-2012_8_3'!H2145,"AAAAAFs++2g=")</f>
        <v>#VALUE!</v>
      </c>
      <c r="DB143" t="e">
        <f>AND('Planilla_General_07-12-2012_8_3'!I2145,"AAAAAFs++2k=")</f>
        <v>#VALUE!</v>
      </c>
      <c r="DC143" t="e">
        <f>AND('Planilla_General_07-12-2012_8_3'!J2145,"AAAAAFs++2o=")</f>
        <v>#VALUE!</v>
      </c>
      <c r="DD143" t="e">
        <f>AND('Planilla_General_07-12-2012_8_3'!K2145,"AAAAAFs++2s=")</f>
        <v>#VALUE!</v>
      </c>
      <c r="DE143" t="e">
        <f>AND('Planilla_General_07-12-2012_8_3'!L2145,"AAAAAFs++2w=")</f>
        <v>#VALUE!</v>
      </c>
      <c r="DF143" t="e">
        <f>AND('Planilla_General_07-12-2012_8_3'!M2145,"AAAAAFs++20=")</f>
        <v>#VALUE!</v>
      </c>
      <c r="DG143" t="e">
        <f>AND('Planilla_General_07-12-2012_8_3'!N2145,"AAAAAFs++24=")</f>
        <v>#VALUE!</v>
      </c>
      <c r="DH143" t="e">
        <f>AND('Planilla_General_07-12-2012_8_3'!O2145,"AAAAAFs++28=")</f>
        <v>#VALUE!</v>
      </c>
      <c r="DI143" t="e">
        <f>AND('Planilla_General_07-12-2012_8_3'!P2145,"AAAAAFs++3A=")</f>
        <v>#VALUE!</v>
      </c>
      <c r="DJ143">
        <f>IF('Planilla_General_07-12-2012_8_3'!2146:2146,"AAAAAFs++3E=",0)</f>
        <v>0</v>
      </c>
      <c r="DK143" t="e">
        <f>AND('Planilla_General_07-12-2012_8_3'!A2146,"AAAAAFs++3I=")</f>
        <v>#VALUE!</v>
      </c>
      <c r="DL143" t="e">
        <f>AND('Planilla_General_07-12-2012_8_3'!B2146,"AAAAAFs++3M=")</f>
        <v>#VALUE!</v>
      </c>
      <c r="DM143" t="e">
        <f>AND('Planilla_General_07-12-2012_8_3'!C2146,"AAAAAFs++3Q=")</f>
        <v>#VALUE!</v>
      </c>
      <c r="DN143" t="e">
        <f>AND('Planilla_General_07-12-2012_8_3'!D2146,"AAAAAFs++3U=")</f>
        <v>#VALUE!</v>
      </c>
      <c r="DO143" t="e">
        <f>AND('Planilla_General_07-12-2012_8_3'!E2146,"AAAAAFs++3Y=")</f>
        <v>#VALUE!</v>
      </c>
      <c r="DP143" t="e">
        <f>AND('Planilla_General_07-12-2012_8_3'!F2146,"AAAAAFs++3c=")</f>
        <v>#VALUE!</v>
      </c>
      <c r="DQ143" t="e">
        <f>AND('Planilla_General_07-12-2012_8_3'!G2146,"AAAAAFs++3g=")</f>
        <v>#VALUE!</v>
      </c>
      <c r="DR143" t="e">
        <f>AND('Planilla_General_07-12-2012_8_3'!H2146,"AAAAAFs++3k=")</f>
        <v>#VALUE!</v>
      </c>
      <c r="DS143" t="e">
        <f>AND('Planilla_General_07-12-2012_8_3'!I2146,"AAAAAFs++3o=")</f>
        <v>#VALUE!</v>
      </c>
      <c r="DT143" t="e">
        <f>AND('Planilla_General_07-12-2012_8_3'!J2146,"AAAAAFs++3s=")</f>
        <v>#VALUE!</v>
      </c>
      <c r="DU143" t="e">
        <f>AND('Planilla_General_07-12-2012_8_3'!K2146,"AAAAAFs++3w=")</f>
        <v>#VALUE!</v>
      </c>
      <c r="DV143" t="e">
        <f>AND('Planilla_General_07-12-2012_8_3'!L2146,"AAAAAFs++30=")</f>
        <v>#VALUE!</v>
      </c>
      <c r="DW143" t="e">
        <f>AND('Planilla_General_07-12-2012_8_3'!M2146,"AAAAAFs++34=")</f>
        <v>#VALUE!</v>
      </c>
      <c r="DX143" t="e">
        <f>AND('Planilla_General_07-12-2012_8_3'!N2146,"AAAAAFs++38=")</f>
        <v>#VALUE!</v>
      </c>
      <c r="DY143" t="e">
        <f>AND('Planilla_General_07-12-2012_8_3'!O2146,"AAAAAFs++4A=")</f>
        <v>#VALUE!</v>
      </c>
      <c r="DZ143" t="e">
        <f>AND('Planilla_General_07-12-2012_8_3'!P2146,"AAAAAFs++4E=")</f>
        <v>#VALUE!</v>
      </c>
      <c r="EA143">
        <f>IF('Planilla_General_07-12-2012_8_3'!2147:2147,"AAAAAFs++4I=",0)</f>
        <v>0</v>
      </c>
      <c r="EB143" t="e">
        <f>AND('Planilla_General_07-12-2012_8_3'!A2147,"AAAAAFs++4M=")</f>
        <v>#VALUE!</v>
      </c>
      <c r="EC143" t="e">
        <f>AND('Planilla_General_07-12-2012_8_3'!B2147,"AAAAAFs++4Q=")</f>
        <v>#VALUE!</v>
      </c>
      <c r="ED143" t="e">
        <f>AND('Planilla_General_07-12-2012_8_3'!C2147,"AAAAAFs++4U=")</f>
        <v>#VALUE!</v>
      </c>
      <c r="EE143" t="e">
        <f>AND('Planilla_General_07-12-2012_8_3'!D2147,"AAAAAFs++4Y=")</f>
        <v>#VALUE!</v>
      </c>
      <c r="EF143" t="e">
        <f>AND('Planilla_General_07-12-2012_8_3'!E2147,"AAAAAFs++4c=")</f>
        <v>#VALUE!</v>
      </c>
      <c r="EG143" t="e">
        <f>AND('Planilla_General_07-12-2012_8_3'!F2147,"AAAAAFs++4g=")</f>
        <v>#VALUE!</v>
      </c>
      <c r="EH143" t="e">
        <f>AND('Planilla_General_07-12-2012_8_3'!G2147,"AAAAAFs++4k=")</f>
        <v>#VALUE!</v>
      </c>
      <c r="EI143" t="e">
        <f>AND('Planilla_General_07-12-2012_8_3'!H2147,"AAAAAFs++4o=")</f>
        <v>#VALUE!</v>
      </c>
      <c r="EJ143" t="e">
        <f>AND('Planilla_General_07-12-2012_8_3'!I2147,"AAAAAFs++4s=")</f>
        <v>#VALUE!</v>
      </c>
      <c r="EK143" t="e">
        <f>AND('Planilla_General_07-12-2012_8_3'!J2147,"AAAAAFs++4w=")</f>
        <v>#VALUE!</v>
      </c>
      <c r="EL143" t="e">
        <f>AND('Planilla_General_07-12-2012_8_3'!K2147,"AAAAAFs++40=")</f>
        <v>#VALUE!</v>
      </c>
      <c r="EM143" t="e">
        <f>AND('Planilla_General_07-12-2012_8_3'!L2147,"AAAAAFs++44=")</f>
        <v>#VALUE!</v>
      </c>
      <c r="EN143" t="e">
        <f>AND('Planilla_General_07-12-2012_8_3'!M2147,"AAAAAFs++48=")</f>
        <v>#VALUE!</v>
      </c>
      <c r="EO143" t="e">
        <f>AND('Planilla_General_07-12-2012_8_3'!N2147,"AAAAAFs++5A=")</f>
        <v>#VALUE!</v>
      </c>
      <c r="EP143" t="e">
        <f>AND('Planilla_General_07-12-2012_8_3'!O2147,"AAAAAFs++5E=")</f>
        <v>#VALUE!</v>
      </c>
      <c r="EQ143" t="e">
        <f>AND('Planilla_General_07-12-2012_8_3'!P2147,"AAAAAFs++5I=")</f>
        <v>#VALUE!</v>
      </c>
      <c r="ER143">
        <f>IF('Planilla_General_07-12-2012_8_3'!2148:2148,"AAAAAFs++5M=",0)</f>
        <v>0</v>
      </c>
      <c r="ES143" t="e">
        <f>AND('Planilla_General_07-12-2012_8_3'!A2148,"AAAAAFs++5Q=")</f>
        <v>#VALUE!</v>
      </c>
      <c r="ET143" t="e">
        <f>AND('Planilla_General_07-12-2012_8_3'!B2148,"AAAAAFs++5U=")</f>
        <v>#VALUE!</v>
      </c>
      <c r="EU143" t="e">
        <f>AND('Planilla_General_07-12-2012_8_3'!C2148,"AAAAAFs++5Y=")</f>
        <v>#VALUE!</v>
      </c>
      <c r="EV143" t="e">
        <f>AND('Planilla_General_07-12-2012_8_3'!D2148,"AAAAAFs++5c=")</f>
        <v>#VALUE!</v>
      </c>
      <c r="EW143" t="e">
        <f>AND('Planilla_General_07-12-2012_8_3'!E2148,"AAAAAFs++5g=")</f>
        <v>#VALUE!</v>
      </c>
      <c r="EX143" t="e">
        <f>AND('Planilla_General_07-12-2012_8_3'!F2148,"AAAAAFs++5k=")</f>
        <v>#VALUE!</v>
      </c>
      <c r="EY143" t="e">
        <f>AND('Planilla_General_07-12-2012_8_3'!G2148,"AAAAAFs++5o=")</f>
        <v>#VALUE!</v>
      </c>
      <c r="EZ143" t="e">
        <f>AND('Planilla_General_07-12-2012_8_3'!H2148,"AAAAAFs++5s=")</f>
        <v>#VALUE!</v>
      </c>
      <c r="FA143" t="e">
        <f>AND('Planilla_General_07-12-2012_8_3'!I2148,"AAAAAFs++5w=")</f>
        <v>#VALUE!</v>
      </c>
      <c r="FB143" t="e">
        <f>AND('Planilla_General_07-12-2012_8_3'!J2148,"AAAAAFs++50=")</f>
        <v>#VALUE!</v>
      </c>
      <c r="FC143" t="e">
        <f>AND('Planilla_General_07-12-2012_8_3'!K2148,"AAAAAFs++54=")</f>
        <v>#VALUE!</v>
      </c>
      <c r="FD143" t="e">
        <f>AND('Planilla_General_07-12-2012_8_3'!L2148,"AAAAAFs++58=")</f>
        <v>#VALUE!</v>
      </c>
      <c r="FE143" t="e">
        <f>AND('Planilla_General_07-12-2012_8_3'!M2148,"AAAAAFs++6A=")</f>
        <v>#VALUE!</v>
      </c>
      <c r="FF143" t="e">
        <f>AND('Planilla_General_07-12-2012_8_3'!N2148,"AAAAAFs++6E=")</f>
        <v>#VALUE!</v>
      </c>
      <c r="FG143" t="e">
        <f>AND('Planilla_General_07-12-2012_8_3'!O2148,"AAAAAFs++6I=")</f>
        <v>#VALUE!</v>
      </c>
      <c r="FH143" t="e">
        <f>AND('Planilla_General_07-12-2012_8_3'!P2148,"AAAAAFs++6M=")</f>
        <v>#VALUE!</v>
      </c>
      <c r="FI143">
        <f>IF('Planilla_General_07-12-2012_8_3'!2149:2149,"AAAAAFs++6Q=",0)</f>
        <v>0</v>
      </c>
      <c r="FJ143" t="e">
        <f>AND('Planilla_General_07-12-2012_8_3'!A2149,"AAAAAFs++6U=")</f>
        <v>#VALUE!</v>
      </c>
      <c r="FK143" t="e">
        <f>AND('Planilla_General_07-12-2012_8_3'!B2149,"AAAAAFs++6Y=")</f>
        <v>#VALUE!</v>
      </c>
      <c r="FL143" t="e">
        <f>AND('Planilla_General_07-12-2012_8_3'!C2149,"AAAAAFs++6c=")</f>
        <v>#VALUE!</v>
      </c>
      <c r="FM143" t="e">
        <f>AND('Planilla_General_07-12-2012_8_3'!D2149,"AAAAAFs++6g=")</f>
        <v>#VALUE!</v>
      </c>
      <c r="FN143" t="e">
        <f>AND('Planilla_General_07-12-2012_8_3'!E2149,"AAAAAFs++6k=")</f>
        <v>#VALUE!</v>
      </c>
      <c r="FO143" t="e">
        <f>AND('Planilla_General_07-12-2012_8_3'!F2149,"AAAAAFs++6o=")</f>
        <v>#VALUE!</v>
      </c>
      <c r="FP143" t="e">
        <f>AND('Planilla_General_07-12-2012_8_3'!G2149,"AAAAAFs++6s=")</f>
        <v>#VALUE!</v>
      </c>
      <c r="FQ143" t="e">
        <f>AND('Planilla_General_07-12-2012_8_3'!H2149,"AAAAAFs++6w=")</f>
        <v>#VALUE!</v>
      </c>
      <c r="FR143" t="e">
        <f>AND('Planilla_General_07-12-2012_8_3'!I2149,"AAAAAFs++60=")</f>
        <v>#VALUE!</v>
      </c>
      <c r="FS143" t="e">
        <f>AND('Planilla_General_07-12-2012_8_3'!J2149,"AAAAAFs++64=")</f>
        <v>#VALUE!</v>
      </c>
      <c r="FT143" t="e">
        <f>AND('Planilla_General_07-12-2012_8_3'!K2149,"AAAAAFs++68=")</f>
        <v>#VALUE!</v>
      </c>
      <c r="FU143" t="e">
        <f>AND('Planilla_General_07-12-2012_8_3'!L2149,"AAAAAFs++7A=")</f>
        <v>#VALUE!</v>
      </c>
      <c r="FV143" t="e">
        <f>AND('Planilla_General_07-12-2012_8_3'!M2149,"AAAAAFs++7E=")</f>
        <v>#VALUE!</v>
      </c>
      <c r="FW143" t="e">
        <f>AND('Planilla_General_07-12-2012_8_3'!N2149,"AAAAAFs++7I=")</f>
        <v>#VALUE!</v>
      </c>
      <c r="FX143" t="e">
        <f>AND('Planilla_General_07-12-2012_8_3'!O2149,"AAAAAFs++7M=")</f>
        <v>#VALUE!</v>
      </c>
      <c r="FY143" t="e">
        <f>AND('Planilla_General_07-12-2012_8_3'!P2149,"AAAAAFs++7Q=")</f>
        <v>#VALUE!</v>
      </c>
      <c r="FZ143">
        <f>IF('Planilla_General_07-12-2012_8_3'!2150:2150,"AAAAAFs++7U=",0)</f>
        <v>0</v>
      </c>
      <c r="GA143" t="e">
        <f>AND('Planilla_General_07-12-2012_8_3'!A2150,"AAAAAFs++7Y=")</f>
        <v>#VALUE!</v>
      </c>
      <c r="GB143" t="e">
        <f>AND('Planilla_General_07-12-2012_8_3'!B2150,"AAAAAFs++7c=")</f>
        <v>#VALUE!</v>
      </c>
      <c r="GC143" t="e">
        <f>AND('Planilla_General_07-12-2012_8_3'!C2150,"AAAAAFs++7g=")</f>
        <v>#VALUE!</v>
      </c>
      <c r="GD143" t="e">
        <f>AND('Planilla_General_07-12-2012_8_3'!D2150,"AAAAAFs++7k=")</f>
        <v>#VALUE!</v>
      </c>
      <c r="GE143" t="e">
        <f>AND('Planilla_General_07-12-2012_8_3'!E2150,"AAAAAFs++7o=")</f>
        <v>#VALUE!</v>
      </c>
      <c r="GF143" t="e">
        <f>AND('Planilla_General_07-12-2012_8_3'!F2150,"AAAAAFs++7s=")</f>
        <v>#VALUE!</v>
      </c>
      <c r="GG143" t="e">
        <f>AND('Planilla_General_07-12-2012_8_3'!G2150,"AAAAAFs++7w=")</f>
        <v>#VALUE!</v>
      </c>
      <c r="GH143" t="e">
        <f>AND('Planilla_General_07-12-2012_8_3'!H2150,"AAAAAFs++70=")</f>
        <v>#VALUE!</v>
      </c>
      <c r="GI143" t="e">
        <f>AND('Planilla_General_07-12-2012_8_3'!I2150,"AAAAAFs++74=")</f>
        <v>#VALUE!</v>
      </c>
      <c r="GJ143" t="e">
        <f>AND('Planilla_General_07-12-2012_8_3'!J2150,"AAAAAFs++78=")</f>
        <v>#VALUE!</v>
      </c>
      <c r="GK143" t="e">
        <f>AND('Planilla_General_07-12-2012_8_3'!K2150,"AAAAAFs++8A=")</f>
        <v>#VALUE!</v>
      </c>
      <c r="GL143" t="e">
        <f>AND('Planilla_General_07-12-2012_8_3'!L2150,"AAAAAFs++8E=")</f>
        <v>#VALUE!</v>
      </c>
      <c r="GM143" t="e">
        <f>AND('Planilla_General_07-12-2012_8_3'!M2150,"AAAAAFs++8I=")</f>
        <v>#VALUE!</v>
      </c>
      <c r="GN143" t="e">
        <f>AND('Planilla_General_07-12-2012_8_3'!N2150,"AAAAAFs++8M=")</f>
        <v>#VALUE!</v>
      </c>
      <c r="GO143" t="e">
        <f>AND('Planilla_General_07-12-2012_8_3'!O2150,"AAAAAFs++8Q=")</f>
        <v>#VALUE!</v>
      </c>
      <c r="GP143" t="e">
        <f>AND('Planilla_General_07-12-2012_8_3'!P2150,"AAAAAFs++8U=")</f>
        <v>#VALUE!</v>
      </c>
      <c r="GQ143">
        <f>IF('Planilla_General_07-12-2012_8_3'!2151:2151,"AAAAAFs++8Y=",0)</f>
        <v>0</v>
      </c>
      <c r="GR143" t="e">
        <f>AND('Planilla_General_07-12-2012_8_3'!A2151,"AAAAAFs++8c=")</f>
        <v>#VALUE!</v>
      </c>
      <c r="GS143" t="e">
        <f>AND('Planilla_General_07-12-2012_8_3'!B2151,"AAAAAFs++8g=")</f>
        <v>#VALUE!</v>
      </c>
      <c r="GT143" t="e">
        <f>AND('Planilla_General_07-12-2012_8_3'!C2151,"AAAAAFs++8k=")</f>
        <v>#VALUE!</v>
      </c>
      <c r="GU143" t="e">
        <f>AND('Planilla_General_07-12-2012_8_3'!D2151,"AAAAAFs++8o=")</f>
        <v>#VALUE!</v>
      </c>
      <c r="GV143" t="e">
        <f>AND('Planilla_General_07-12-2012_8_3'!E2151,"AAAAAFs++8s=")</f>
        <v>#VALUE!</v>
      </c>
      <c r="GW143" t="e">
        <f>AND('Planilla_General_07-12-2012_8_3'!F2151,"AAAAAFs++8w=")</f>
        <v>#VALUE!</v>
      </c>
      <c r="GX143" t="e">
        <f>AND('Planilla_General_07-12-2012_8_3'!G2151,"AAAAAFs++80=")</f>
        <v>#VALUE!</v>
      </c>
      <c r="GY143" t="e">
        <f>AND('Planilla_General_07-12-2012_8_3'!H2151,"AAAAAFs++84=")</f>
        <v>#VALUE!</v>
      </c>
      <c r="GZ143" t="e">
        <f>AND('Planilla_General_07-12-2012_8_3'!I2151,"AAAAAFs++88=")</f>
        <v>#VALUE!</v>
      </c>
      <c r="HA143" t="e">
        <f>AND('Planilla_General_07-12-2012_8_3'!J2151,"AAAAAFs++9A=")</f>
        <v>#VALUE!</v>
      </c>
      <c r="HB143" t="e">
        <f>AND('Planilla_General_07-12-2012_8_3'!K2151,"AAAAAFs++9E=")</f>
        <v>#VALUE!</v>
      </c>
      <c r="HC143" t="e">
        <f>AND('Planilla_General_07-12-2012_8_3'!L2151,"AAAAAFs++9I=")</f>
        <v>#VALUE!</v>
      </c>
      <c r="HD143" t="e">
        <f>AND('Planilla_General_07-12-2012_8_3'!M2151,"AAAAAFs++9M=")</f>
        <v>#VALUE!</v>
      </c>
      <c r="HE143" t="e">
        <f>AND('Planilla_General_07-12-2012_8_3'!N2151,"AAAAAFs++9Q=")</f>
        <v>#VALUE!</v>
      </c>
      <c r="HF143" t="e">
        <f>AND('Planilla_General_07-12-2012_8_3'!O2151,"AAAAAFs++9U=")</f>
        <v>#VALUE!</v>
      </c>
      <c r="HG143" t="e">
        <f>AND('Planilla_General_07-12-2012_8_3'!P2151,"AAAAAFs++9Y=")</f>
        <v>#VALUE!</v>
      </c>
      <c r="HH143">
        <f>IF('Planilla_General_07-12-2012_8_3'!2152:2152,"AAAAAFs++9c=",0)</f>
        <v>0</v>
      </c>
      <c r="HI143" t="e">
        <f>AND('Planilla_General_07-12-2012_8_3'!A2152,"AAAAAFs++9g=")</f>
        <v>#VALUE!</v>
      </c>
      <c r="HJ143" t="e">
        <f>AND('Planilla_General_07-12-2012_8_3'!B2152,"AAAAAFs++9k=")</f>
        <v>#VALUE!</v>
      </c>
      <c r="HK143" t="e">
        <f>AND('Planilla_General_07-12-2012_8_3'!C2152,"AAAAAFs++9o=")</f>
        <v>#VALUE!</v>
      </c>
      <c r="HL143" t="e">
        <f>AND('Planilla_General_07-12-2012_8_3'!D2152,"AAAAAFs++9s=")</f>
        <v>#VALUE!</v>
      </c>
      <c r="HM143" t="e">
        <f>AND('Planilla_General_07-12-2012_8_3'!E2152,"AAAAAFs++9w=")</f>
        <v>#VALUE!</v>
      </c>
      <c r="HN143" t="e">
        <f>AND('Planilla_General_07-12-2012_8_3'!F2152,"AAAAAFs++90=")</f>
        <v>#VALUE!</v>
      </c>
      <c r="HO143" t="e">
        <f>AND('Planilla_General_07-12-2012_8_3'!G2152,"AAAAAFs++94=")</f>
        <v>#VALUE!</v>
      </c>
      <c r="HP143" t="e">
        <f>AND('Planilla_General_07-12-2012_8_3'!H2152,"AAAAAFs++98=")</f>
        <v>#VALUE!</v>
      </c>
      <c r="HQ143" t="e">
        <f>AND('Planilla_General_07-12-2012_8_3'!I2152,"AAAAAFs+++A=")</f>
        <v>#VALUE!</v>
      </c>
      <c r="HR143" t="e">
        <f>AND('Planilla_General_07-12-2012_8_3'!J2152,"AAAAAFs+++E=")</f>
        <v>#VALUE!</v>
      </c>
      <c r="HS143" t="e">
        <f>AND('Planilla_General_07-12-2012_8_3'!K2152,"AAAAAFs+++I=")</f>
        <v>#VALUE!</v>
      </c>
      <c r="HT143" t="e">
        <f>AND('Planilla_General_07-12-2012_8_3'!L2152,"AAAAAFs+++M=")</f>
        <v>#VALUE!</v>
      </c>
      <c r="HU143" t="e">
        <f>AND('Planilla_General_07-12-2012_8_3'!M2152,"AAAAAFs+++Q=")</f>
        <v>#VALUE!</v>
      </c>
      <c r="HV143" t="e">
        <f>AND('Planilla_General_07-12-2012_8_3'!N2152,"AAAAAFs+++U=")</f>
        <v>#VALUE!</v>
      </c>
      <c r="HW143" t="e">
        <f>AND('Planilla_General_07-12-2012_8_3'!O2152,"AAAAAFs+++Y=")</f>
        <v>#VALUE!</v>
      </c>
      <c r="HX143" t="e">
        <f>AND('Planilla_General_07-12-2012_8_3'!P2152,"AAAAAFs+++c=")</f>
        <v>#VALUE!</v>
      </c>
      <c r="HY143">
        <f>IF('Planilla_General_07-12-2012_8_3'!2153:2153,"AAAAAFs+++g=",0)</f>
        <v>0</v>
      </c>
      <c r="HZ143" t="e">
        <f>AND('Planilla_General_07-12-2012_8_3'!A2153,"AAAAAFs+++k=")</f>
        <v>#VALUE!</v>
      </c>
      <c r="IA143" t="e">
        <f>AND('Planilla_General_07-12-2012_8_3'!B2153,"AAAAAFs+++o=")</f>
        <v>#VALUE!</v>
      </c>
      <c r="IB143" t="e">
        <f>AND('Planilla_General_07-12-2012_8_3'!C2153,"AAAAAFs+++s=")</f>
        <v>#VALUE!</v>
      </c>
      <c r="IC143" t="e">
        <f>AND('Planilla_General_07-12-2012_8_3'!D2153,"AAAAAFs+++w=")</f>
        <v>#VALUE!</v>
      </c>
      <c r="ID143" t="e">
        <f>AND('Planilla_General_07-12-2012_8_3'!E2153,"AAAAAFs+++0=")</f>
        <v>#VALUE!</v>
      </c>
      <c r="IE143" t="e">
        <f>AND('Planilla_General_07-12-2012_8_3'!F2153,"AAAAAFs+++4=")</f>
        <v>#VALUE!</v>
      </c>
      <c r="IF143" t="e">
        <f>AND('Planilla_General_07-12-2012_8_3'!G2153,"AAAAAFs+++8=")</f>
        <v>#VALUE!</v>
      </c>
      <c r="IG143" t="e">
        <f>AND('Planilla_General_07-12-2012_8_3'!H2153,"AAAAAFs++/A=")</f>
        <v>#VALUE!</v>
      </c>
      <c r="IH143" t="e">
        <f>AND('Planilla_General_07-12-2012_8_3'!I2153,"AAAAAFs++/E=")</f>
        <v>#VALUE!</v>
      </c>
      <c r="II143" t="e">
        <f>AND('Planilla_General_07-12-2012_8_3'!J2153,"AAAAAFs++/I=")</f>
        <v>#VALUE!</v>
      </c>
      <c r="IJ143" t="e">
        <f>AND('Planilla_General_07-12-2012_8_3'!K2153,"AAAAAFs++/M=")</f>
        <v>#VALUE!</v>
      </c>
      <c r="IK143" t="e">
        <f>AND('Planilla_General_07-12-2012_8_3'!L2153,"AAAAAFs++/Q=")</f>
        <v>#VALUE!</v>
      </c>
      <c r="IL143" t="e">
        <f>AND('Planilla_General_07-12-2012_8_3'!M2153,"AAAAAFs++/U=")</f>
        <v>#VALUE!</v>
      </c>
      <c r="IM143" t="e">
        <f>AND('Planilla_General_07-12-2012_8_3'!N2153,"AAAAAFs++/Y=")</f>
        <v>#VALUE!</v>
      </c>
      <c r="IN143" t="e">
        <f>AND('Planilla_General_07-12-2012_8_3'!O2153,"AAAAAFs++/c=")</f>
        <v>#VALUE!</v>
      </c>
      <c r="IO143" t="e">
        <f>AND('Planilla_General_07-12-2012_8_3'!P2153,"AAAAAFs++/g=")</f>
        <v>#VALUE!</v>
      </c>
      <c r="IP143">
        <f>IF('Planilla_General_07-12-2012_8_3'!2154:2154,"AAAAAFs++/k=",0)</f>
        <v>0</v>
      </c>
      <c r="IQ143" t="e">
        <f>AND('Planilla_General_07-12-2012_8_3'!A2154,"AAAAAFs++/o=")</f>
        <v>#VALUE!</v>
      </c>
      <c r="IR143" t="e">
        <f>AND('Planilla_General_07-12-2012_8_3'!B2154,"AAAAAFs++/s=")</f>
        <v>#VALUE!</v>
      </c>
      <c r="IS143" t="e">
        <f>AND('Planilla_General_07-12-2012_8_3'!C2154,"AAAAAFs++/w=")</f>
        <v>#VALUE!</v>
      </c>
      <c r="IT143" t="e">
        <f>AND('Planilla_General_07-12-2012_8_3'!D2154,"AAAAAFs++/0=")</f>
        <v>#VALUE!</v>
      </c>
      <c r="IU143" t="e">
        <f>AND('Planilla_General_07-12-2012_8_3'!E2154,"AAAAAFs++/4=")</f>
        <v>#VALUE!</v>
      </c>
      <c r="IV143" t="e">
        <f>AND('Planilla_General_07-12-2012_8_3'!F2154,"AAAAAFs++/8=")</f>
        <v>#VALUE!</v>
      </c>
    </row>
    <row r="144" spans="1:256" x14ac:dyDescent="0.25">
      <c r="A144" t="e">
        <f>AND('Planilla_General_07-12-2012_8_3'!G2154,"AAAAAC+t3wA=")</f>
        <v>#VALUE!</v>
      </c>
      <c r="B144" t="e">
        <f>AND('Planilla_General_07-12-2012_8_3'!H2154,"AAAAAC+t3wE=")</f>
        <v>#VALUE!</v>
      </c>
      <c r="C144" t="e">
        <f>AND('Planilla_General_07-12-2012_8_3'!I2154,"AAAAAC+t3wI=")</f>
        <v>#VALUE!</v>
      </c>
      <c r="D144" t="e">
        <f>AND('Planilla_General_07-12-2012_8_3'!J2154,"AAAAAC+t3wM=")</f>
        <v>#VALUE!</v>
      </c>
      <c r="E144" t="e">
        <f>AND('Planilla_General_07-12-2012_8_3'!K2154,"AAAAAC+t3wQ=")</f>
        <v>#VALUE!</v>
      </c>
      <c r="F144" t="e">
        <f>AND('Planilla_General_07-12-2012_8_3'!L2154,"AAAAAC+t3wU=")</f>
        <v>#VALUE!</v>
      </c>
      <c r="G144" t="e">
        <f>AND('Planilla_General_07-12-2012_8_3'!M2154,"AAAAAC+t3wY=")</f>
        <v>#VALUE!</v>
      </c>
      <c r="H144" t="e">
        <f>AND('Planilla_General_07-12-2012_8_3'!N2154,"AAAAAC+t3wc=")</f>
        <v>#VALUE!</v>
      </c>
      <c r="I144" t="e">
        <f>AND('Planilla_General_07-12-2012_8_3'!O2154,"AAAAAC+t3wg=")</f>
        <v>#VALUE!</v>
      </c>
      <c r="J144" t="e">
        <f>AND('Planilla_General_07-12-2012_8_3'!P2154,"AAAAAC+t3wk=")</f>
        <v>#VALUE!</v>
      </c>
      <c r="K144" t="str">
        <f>IF('Planilla_General_07-12-2012_8_3'!2155:2155,"AAAAAC+t3wo=",0)</f>
        <v>AAAAAC+t3wo=</v>
      </c>
      <c r="L144" t="e">
        <f>AND('Planilla_General_07-12-2012_8_3'!A2155,"AAAAAC+t3ws=")</f>
        <v>#VALUE!</v>
      </c>
      <c r="M144" t="e">
        <f>AND('Planilla_General_07-12-2012_8_3'!B2155,"AAAAAC+t3ww=")</f>
        <v>#VALUE!</v>
      </c>
      <c r="N144" t="e">
        <f>AND('Planilla_General_07-12-2012_8_3'!C2155,"AAAAAC+t3w0=")</f>
        <v>#VALUE!</v>
      </c>
      <c r="O144" t="e">
        <f>AND('Planilla_General_07-12-2012_8_3'!D2155,"AAAAAC+t3w4=")</f>
        <v>#VALUE!</v>
      </c>
      <c r="P144" t="e">
        <f>AND('Planilla_General_07-12-2012_8_3'!E2155,"AAAAAC+t3w8=")</f>
        <v>#VALUE!</v>
      </c>
      <c r="Q144" t="e">
        <f>AND('Planilla_General_07-12-2012_8_3'!F2155,"AAAAAC+t3xA=")</f>
        <v>#VALUE!</v>
      </c>
      <c r="R144" t="e">
        <f>AND('Planilla_General_07-12-2012_8_3'!G2155,"AAAAAC+t3xE=")</f>
        <v>#VALUE!</v>
      </c>
      <c r="S144" t="e">
        <f>AND('Planilla_General_07-12-2012_8_3'!H2155,"AAAAAC+t3xI=")</f>
        <v>#VALUE!</v>
      </c>
      <c r="T144" t="e">
        <f>AND('Planilla_General_07-12-2012_8_3'!I2155,"AAAAAC+t3xM=")</f>
        <v>#VALUE!</v>
      </c>
      <c r="U144" t="e">
        <f>AND('Planilla_General_07-12-2012_8_3'!J2155,"AAAAAC+t3xQ=")</f>
        <v>#VALUE!</v>
      </c>
      <c r="V144" t="e">
        <f>AND('Planilla_General_07-12-2012_8_3'!K2155,"AAAAAC+t3xU=")</f>
        <v>#VALUE!</v>
      </c>
      <c r="W144" t="e">
        <f>AND('Planilla_General_07-12-2012_8_3'!L2155,"AAAAAC+t3xY=")</f>
        <v>#VALUE!</v>
      </c>
      <c r="X144" t="e">
        <f>AND('Planilla_General_07-12-2012_8_3'!M2155,"AAAAAC+t3xc=")</f>
        <v>#VALUE!</v>
      </c>
      <c r="Y144" t="e">
        <f>AND('Planilla_General_07-12-2012_8_3'!N2155,"AAAAAC+t3xg=")</f>
        <v>#VALUE!</v>
      </c>
      <c r="Z144" t="e">
        <f>AND('Planilla_General_07-12-2012_8_3'!O2155,"AAAAAC+t3xk=")</f>
        <v>#VALUE!</v>
      </c>
      <c r="AA144" t="e">
        <f>AND('Planilla_General_07-12-2012_8_3'!P2155,"AAAAAC+t3xo=")</f>
        <v>#VALUE!</v>
      </c>
      <c r="AB144">
        <f>IF('Planilla_General_07-12-2012_8_3'!2156:2156,"AAAAAC+t3xs=",0)</f>
        <v>0</v>
      </c>
      <c r="AC144" t="e">
        <f>AND('Planilla_General_07-12-2012_8_3'!A2156,"AAAAAC+t3xw=")</f>
        <v>#VALUE!</v>
      </c>
      <c r="AD144" t="e">
        <f>AND('Planilla_General_07-12-2012_8_3'!B2156,"AAAAAC+t3x0=")</f>
        <v>#VALUE!</v>
      </c>
      <c r="AE144" t="e">
        <f>AND('Planilla_General_07-12-2012_8_3'!C2156,"AAAAAC+t3x4=")</f>
        <v>#VALUE!</v>
      </c>
      <c r="AF144" t="e">
        <f>AND('Planilla_General_07-12-2012_8_3'!D2156,"AAAAAC+t3x8=")</f>
        <v>#VALUE!</v>
      </c>
      <c r="AG144" t="e">
        <f>AND('Planilla_General_07-12-2012_8_3'!E2156,"AAAAAC+t3yA=")</f>
        <v>#VALUE!</v>
      </c>
      <c r="AH144" t="e">
        <f>AND('Planilla_General_07-12-2012_8_3'!F2156,"AAAAAC+t3yE=")</f>
        <v>#VALUE!</v>
      </c>
      <c r="AI144" t="e">
        <f>AND('Planilla_General_07-12-2012_8_3'!G2156,"AAAAAC+t3yI=")</f>
        <v>#VALUE!</v>
      </c>
      <c r="AJ144" t="e">
        <f>AND('Planilla_General_07-12-2012_8_3'!H2156,"AAAAAC+t3yM=")</f>
        <v>#VALUE!</v>
      </c>
      <c r="AK144" t="e">
        <f>AND('Planilla_General_07-12-2012_8_3'!I2156,"AAAAAC+t3yQ=")</f>
        <v>#VALUE!</v>
      </c>
      <c r="AL144" t="e">
        <f>AND('Planilla_General_07-12-2012_8_3'!J2156,"AAAAAC+t3yU=")</f>
        <v>#VALUE!</v>
      </c>
      <c r="AM144" t="e">
        <f>AND('Planilla_General_07-12-2012_8_3'!K2156,"AAAAAC+t3yY=")</f>
        <v>#VALUE!</v>
      </c>
      <c r="AN144" t="e">
        <f>AND('Planilla_General_07-12-2012_8_3'!L2156,"AAAAAC+t3yc=")</f>
        <v>#VALUE!</v>
      </c>
      <c r="AO144" t="e">
        <f>AND('Planilla_General_07-12-2012_8_3'!M2156,"AAAAAC+t3yg=")</f>
        <v>#VALUE!</v>
      </c>
      <c r="AP144" t="e">
        <f>AND('Planilla_General_07-12-2012_8_3'!N2156,"AAAAAC+t3yk=")</f>
        <v>#VALUE!</v>
      </c>
      <c r="AQ144" t="e">
        <f>AND('Planilla_General_07-12-2012_8_3'!O2156,"AAAAAC+t3yo=")</f>
        <v>#VALUE!</v>
      </c>
      <c r="AR144" t="e">
        <f>AND('Planilla_General_07-12-2012_8_3'!P2156,"AAAAAC+t3ys=")</f>
        <v>#VALUE!</v>
      </c>
      <c r="AS144">
        <f>IF('Planilla_General_07-12-2012_8_3'!2157:2157,"AAAAAC+t3yw=",0)</f>
        <v>0</v>
      </c>
      <c r="AT144" t="e">
        <f>AND('Planilla_General_07-12-2012_8_3'!A2157,"AAAAAC+t3y0=")</f>
        <v>#VALUE!</v>
      </c>
      <c r="AU144" t="e">
        <f>AND('Planilla_General_07-12-2012_8_3'!B2157,"AAAAAC+t3y4=")</f>
        <v>#VALUE!</v>
      </c>
      <c r="AV144" t="e">
        <f>AND('Planilla_General_07-12-2012_8_3'!C2157,"AAAAAC+t3y8=")</f>
        <v>#VALUE!</v>
      </c>
      <c r="AW144" t="e">
        <f>AND('Planilla_General_07-12-2012_8_3'!D2157,"AAAAAC+t3zA=")</f>
        <v>#VALUE!</v>
      </c>
      <c r="AX144" t="e">
        <f>AND('Planilla_General_07-12-2012_8_3'!E2157,"AAAAAC+t3zE=")</f>
        <v>#VALUE!</v>
      </c>
      <c r="AY144" t="e">
        <f>AND('Planilla_General_07-12-2012_8_3'!F2157,"AAAAAC+t3zI=")</f>
        <v>#VALUE!</v>
      </c>
      <c r="AZ144" t="e">
        <f>AND('Planilla_General_07-12-2012_8_3'!G2157,"AAAAAC+t3zM=")</f>
        <v>#VALUE!</v>
      </c>
      <c r="BA144" t="e">
        <f>AND('Planilla_General_07-12-2012_8_3'!H2157,"AAAAAC+t3zQ=")</f>
        <v>#VALUE!</v>
      </c>
      <c r="BB144" t="e">
        <f>AND('Planilla_General_07-12-2012_8_3'!I2157,"AAAAAC+t3zU=")</f>
        <v>#VALUE!</v>
      </c>
      <c r="BC144" t="e">
        <f>AND('Planilla_General_07-12-2012_8_3'!J2157,"AAAAAC+t3zY=")</f>
        <v>#VALUE!</v>
      </c>
      <c r="BD144" t="e">
        <f>AND('Planilla_General_07-12-2012_8_3'!K2157,"AAAAAC+t3zc=")</f>
        <v>#VALUE!</v>
      </c>
      <c r="BE144" t="e">
        <f>AND('Planilla_General_07-12-2012_8_3'!L2157,"AAAAAC+t3zg=")</f>
        <v>#VALUE!</v>
      </c>
      <c r="BF144" t="e">
        <f>AND('Planilla_General_07-12-2012_8_3'!M2157,"AAAAAC+t3zk=")</f>
        <v>#VALUE!</v>
      </c>
      <c r="BG144" t="e">
        <f>AND('Planilla_General_07-12-2012_8_3'!N2157,"AAAAAC+t3zo=")</f>
        <v>#VALUE!</v>
      </c>
      <c r="BH144" t="e">
        <f>AND('Planilla_General_07-12-2012_8_3'!O2157,"AAAAAC+t3zs=")</f>
        <v>#VALUE!</v>
      </c>
      <c r="BI144" t="e">
        <f>AND('Planilla_General_07-12-2012_8_3'!P2157,"AAAAAC+t3zw=")</f>
        <v>#VALUE!</v>
      </c>
      <c r="BJ144">
        <f>IF('Planilla_General_07-12-2012_8_3'!2158:2158,"AAAAAC+t3z0=",0)</f>
        <v>0</v>
      </c>
      <c r="BK144" t="e">
        <f>AND('Planilla_General_07-12-2012_8_3'!A2158,"AAAAAC+t3z4=")</f>
        <v>#VALUE!</v>
      </c>
      <c r="BL144" t="e">
        <f>AND('Planilla_General_07-12-2012_8_3'!B2158,"AAAAAC+t3z8=")</f>
        <v>#VALUE!</v>
      </c>
      <c r="BM144" t="e">
        <f>AND('Planilla_General_07-12-2012_8_3'!C2158,"AAAAAC+t30A=")</f>
        <v>#VALUE!</v>
      </c>
      <c r="BN144" t="e">
        <f>AND('Planilla_General_07-12-2012_8_3'!D2158,"AAAAAC+t30E=")</f>
        <v>#VALUE!</v>
      </c>
      <c r="BO144" t="e">
        <f>AND('Planilla_General_07-12-2012_8_3'!E2158,"AAAAAC+t30I=")</f>
        <v>#VALUE!</v>
      </c>
      <c r="BP144" t="e">
        <f>AND('Planilla_General_07-12-2012_8_3'!F2158,"AAAAAC+t30M=")</f>
        <v>#VALUE!</v>
      </c>
      <c r="BQ144" t="e">
        <f>AND('Planilla_General_07-12-2012_8_3'!G2158,"AAAAAC+t30Q=")</f>
        <v>#VALUE!</v>
      </c>
      <c r="BR144" t="e">
        <f>AND('Planilla_General_07-12-2012_8_3'!H2158,"AAAAAC+t30U=")</f>
        <v>#VALUE!</v>
      </c>
      <c r="BS144" t="e">
        <f>AND('Planilla_General_07-12-2012_8_3'!I2158,"AAAAAC+t30Y=")</f>
        <v>#VALUE!</v>
      </c>
      <c r="BT144" t="e">
        <f>AND('Planilla_General_07-12-2012_8_3'!J2158,"AAAAAC+t30c=")</f>
        <v>#VALUE!</v>
      </c>
      <c r="BU144" t="e">
        <f>AND('Planilla_General_07-12-2012_8_3'!K2158,"AAAAAC+t30g=")</f>
        <v>#VALUE!</v>
      </c>
      <c r="BV144" t="e">
        <f>AND('Planilla_General_07-12-2012_8_3'!L2158,"AAAAAC+t30k=")</f>
        <v>#VALUE!</v>
      </c>
      <c r="BW144" t="e">
        <f>AND('Planilla_General_07-12-2012_8_3'!M2158,"AAAAAC+t30o=")</f>
        <v>#VALUE!</v>
      </c>
      <c r="BX144" t="e">
        <f>AND('Planilla_General_07-12-2012_8_3'!N2158,"AAAAAC+t30s=")</f>
        <v>#VALUE!</v>
      </c>
      <c r="BY144" t="e">
        <f>AND('Planilla_General_07-12-2012_8_3'!O2158,"AAAAAC+t30w=")</f>
        <v>#VALUE!</v>
      </c>
      <c r="BZ144" t="e">
        <f>AND('Planilla_General_07-12-2012_8_3'!P2158,"AAAAAC+t300=")</f>
        <v>#VALUE!</v>
      </c>
      <c r="CA144">
        <f>IF('Planilla_General_07-12-2012_8_3'!2159:2159,"AAAAAC+t304=",0)</f>
        <v>0</v>
      </c>
      <c r="CB144" t="e">
        <f>AND('Planilla_General_07-12-2012_8_3'!A2159,"AAAAAC+t308=")</f>
        <v>#VALUE!</v>
      </c>
      <c r="CC144" t="e">
        <f>AND('Planilla_General_07-12-2012_8_3'!B2159,"AAAAAC+t31A=")</f>
        <v>#VALUE!</v>
      </c>
      <c r="CD144" t="e">
        <f>AND('Planilla_General_07-12-2012_8_3'!C2159,"AAAAAC+t31E=")</f>
        <v>#VALUE!</v>
      </c>
      <c r="CE144" t="e">
        <f>AND('Planilla_General_07-12-2012_8_3'!D2159,"AAAAAC+t31I=")</f>
        <v>#VALUE!</v>
      </c>
      <c r="CF144" t="e">
        <f>AND('Planilla_General_07-12-2012_8_3'!E2159,"AAAAAC+t31M=")</f>
        <v>#VALUE!</v>
      </c>
      <c r="CG144" t="e">
        <f>AND('Planilla_General_07-12-2012_8_3'!F2159,"AAAAAC+t31Q=")</f>
        <v>#VALUE!</v>
      </c>
      <c r="CH144" t="e">
        <f>AND('Planilla_General_07-12-2012_8_3'!G2159,"AAAAAC+t31U=")</f>
        <v>#VALUE!</v>
      </c>
      <c r="CI144" t="e">
        <f>AND('Planilla_General_07-12-2012_8_3'!H2159,"AAAAAC+t31Y=")</f>
        <v>#VALUE!</v>
      </c>
      <c r="CJ144" t="e">
        <f>AND('Planilla_General_07-12-2012_8_3'!I2159,"AAAAAC+t31c=")</f>
        <v>#VALUE!</v>
      </c>
      <c r="CK144" t="e">
        <f>AND('Planilla_General_07-12-2012_8_3'!J2159,"AAAAAC+t31g=")</f>
        <v>#VALUE!</v>
      </c>
      <c r="CL144" t="e">
        <f>AND('Planilla_General_07-12-2012_8_3'!K2159,"AAAAAC+t31k=")</f>
        <v>#VALUE!</v>
      </c>
      <c r="CM144" t="e">
        <f>AND('Planilla_General_07-12-2012_8_3'!L2159,"AAAAAC+t31o=")</f>
        <v>#VALUE!</v>
      </c>
      <c r="CN144" t="e">
        <f>AND('Planilla_General_07-12-2012_8_3'!M2159,"AAAAAC+t31s=")</f>
        <v>#VALUE!</v>
      </c>
      <c r="CO144" t="e">
        <f>AND('Planilla_General_07-12-2012_8_3'!N2159,"AAAAAC+t31w=")</f>
        <v>#VALUE!</v>
      </c>
      <c r="CP144" t="e">
        <f>AND('Planilla_General_07-12-2012_8_3'!O2159,"AAAAAC+t310=")</f>
        <v>#VALUE!</v>
      </c>
      <c r="CQ144" t="e">
        <f>AND('Planilla_General_07-12-2012_8_3'!P2159,"AAAAAC+t314=")</f>
        <v>#VALUE!</v>
      </c>
      <c r="CR144">
        <f>IF('Planilla_General_07-12-2012_8_3'!2160:2160,"AAAAAC+t318=",0)</f>
        <v>0</v>
      </c>
      <c r="CS144" t="e">
        <f>AND('Planilla_General_07-12-2012_8_3'!A2160,"AAAAAC+t32A=")</f>
        <v>#VALUE!</v>
      </c>
      <c r="CT144" t="e">
        <f>AND('Planilla_General_07-12-2012_8_3'!B2160,"AAAAAC+t32E=")</f>
        <v>#VALUE!</v>
      </c>
      <c r="CU144" t="e">
        <f>AND('Planilla_General_07-12-2012_8_3'!C2160,"AAAAAC+t32I=")</f>
        <v>#VALUE!</v>
      </c>
      <c r="CV144" t="e">
        <f>AND('Planilla_General_07-12-2012_8_3'!D2160,"AAAAAC+t32M=")</f>
        <v>#VALUE!</v>
      </c>
      <c r="CW144" t="e">
        <f>AND('Planilla_General_07-12-2012_8_3'!E2160,"AAAAAC+t32Q=")</f>
        <v>#VALUE!</v>
      </c>
      <c r="CX144" t="e">
        <f>AND('Planilla_General_07-12-2012_8_3'!F2160,"AAAAAC+t32U=")</f>
        <v>#VALUE!</v>
      </c>
      <c r="CY144" t="e">
        <f>AND('Planilla_General_07-12-2012_8_3'!G2160,"AAAAAC+t32Y=")</f>
        <v>#VALUE!</v>
      </c>
      <c r="CZ144" t="e">
        <f>AND('Planilla_General_07-12-2012_8_3'!H2160,"AAAAAC+t32c=")</f>
        <v>#VALUE!</v>
      </c>
      <c r="DA144" t="e">
        <f>AND('Planilla_General_07-12-2012_8_3'!I2160,"AAAAAC+t32g=")</f>
        <v>#VALUE!</v>
      </c>
      <c r="DB144" t="e">
        <f>AND('Planilla_General_07-12-2012_8_3'!J2160,"AAAAAC+t32k=")</f>
        <v>#VALUE!</v>
      </c>
      <c r="DC144" t="e">
        <f>AND('Planilla_General_07-12-2012_8_3'!K2160,"AAAAAC+t32o=")</f>
        <v>#VALUE!</v>
      </c>
      <c r="DD144" t="e">
        <f>AND('Planilla_General_07-12-2012_8_3'!L2160,"AAAAAC+t32s=")</f>
        <v>#VALUE!</v>
      </c>
      <c r="DE144" t="e">
        <f>AND('Planilla_General_07-12-2012_8_3'!M2160,"AAAAAC+t32w=")</f>
        <v>#VALUE!</v>
      </c>
      <c r="DF144" t="e">
        <f>AND('Planilla_General_07-12-2012_8_3'!N2160,"AAAAAC+t320=")</f>
        <v>#VALUE!</v>
      </c>
      <c r="DG144" t="e">
        <f>AND('Planilla_General_07-12-2012_8_3'!O2160,"AAAAAC+t324=")</f>
        <v>#VALUE!</v>
      </c>
      <c r="DH144" t="e">
        <f>AND('Planilla_General_07-12-2012_8_3'!P2160,"AAAAAC+t328=")</f>
        <v>#VALUE!</v>
      </c>
      <c r="DI144">
        <f>IF('Planilla_General_07-12-2012_8_3'!2161:2161,"AAAAAC+t33A=",0)</f>
        <v>0</v>
      </c>
      <c r="DJ144" t="e">
        <f>AND('Planilla_General_07-12-2012_8_3'!A2161,"AAAAAC+t33E=")</f>
        <v>#VALUE!</v>
      </c>
      <c r="DK144" t="e">
        <f>AND('Planilla_General_07-12-2012_8_3'!B2161,"AAAAAC+t33I=")</f>
        <v>#VALUE!</v>
      </c>
      <c r="DL144" t="e">
        <f>AND('Planilla_General_07-12-2012_8_3'!C2161,"AAAAAC+t33M=")</f>
        <v>#VALUE!</v>
      </c>
      <c r="DM144" t="e">
        <f>AND('Planilla_General_07-12-2012_8_3'!D2161,"AAAAAC+t33Q=")</f>
        <v>#VALUE!</v>
      </c>
      <c r="DN144" t="e">
        <f>AND('Planilla_General_07-12-2012_8_3'!E2161,"AAAAAC+t33U=")</f>
        <v>#VALUE!</v>
      </c>
      <c r="DO144" t="e">
        <f>AND('Planilla_General_07-12-2012_8_3'!F2161,"AAAAAC+t33Y=")</f>
        <v>#VALUE!</v>
      </c>
      <c r="DP144" t="e">
        <f>AND('Planilla_General_07-12-2012_8_3'!G2161,"AAAAAC+t33c=")</f>
        <v>#VALUE!</v>
      </c>
      <c r="DQ144" t="e">
        <f>AND('Planilla_General_07-12-2012_8_3'!H2161,"AAAAAC+t33g=")</f>
        <v>#VALUE!</v>
      </c>
      <c r="DR144" t="e">
        <f>AND('Planilla_General_07-12-2012_8_3'!I2161,"AAAAAC+t33k=")</f>
        <v>#VALUE!</v>
      </c>
      <c r="DS144" t="e">
        <f>AND('Planilla_General_07-12-2012_8_3'!J2161,"AAAAAC+t33o=")</f>
        <v>#VALUE!</v>
      </c>
      <c r="DT144" t="e">
        <f>AND('Planilla_General_07-12-2012_8_3'!K2161,"AAAAAC+t33s=")</f>
        <v>#VALUE!</v>
      </c>
      <c r="DU144" t="e">
        <f>AND('Planilla_General_07-12-2012_8_3'!L2161,"AAAAAC+t33w=")</f>
        <v>#VALUE!</v>
      </c>
      <c r="DV144" t="e">
        <f>AND('Planilla_General_07-12-2012_8_3'!M2161,"AAAAAC+t330=")</f>
        <v>#VALUE!</v>
      </c>
      <c r="DW144" t="e">
        <f>AND('Planilla_General_07-12-2012_8_3'!N2161,"AAAAAC+t334=")</f>
        <v>#VALUE!</v>
      </c>
      <c r="DX144" t="e">
        <f>AND('Planilla_General_07-12-2012_8_3'!O2161,"AAAAAC+t338=")</f>
        <v>#VALUE!</v>
      </c>
      <c r="DY144" t="e">
        <f>AND('Planilla_General_07-12-2012_8_3'!P2161,"AAAAAC+t34A=")</f>
        <v>#VALUE!</v>
      </c>
      <c r="DZ144">
        <f>IF('Planilla_General_07-12-2012_8_3'!2162:2162,"AAAAAC+t34E=",0)</f>
        <v>0</v>
      </c>
      <c r="EA144" t="e">
        <f>AND('Planilla_General_07-12-2012_8_3'!A2162,"AAAAAC+t34I=")</f>
        <v>#VALUE!</v>
      </c>
      <c r="EB144" t="e">
        <f>AND('Planilla_General_07-12-2012_8_3'!B2162,"AAAAAC+t34M=")</f>
        <v>#VALUE!</v>
      </c>
      <c r="EC144" t="e">
        <f>AND('Planilla_General_07-12-2012_8_3'!C2162,"AAAAAC+t34Q=")</f>
        <v>#VALUE!</v>
      </c>
      <c r="ED144" t="e">
        <f>AND('Planilla_General_07-12-2012_8_3'!D2162,"AAAAAC+t34U=")</f>
        <v>#VALUE!</v>
      </c>
      <c r="EE144" t="e">
        <f>AND('Planilla_General_07-12-2012_8_3'!E2162,"AAAAAC+t34Y=")</f>
        <v>#VALUE!</v>
      </c>
      <c r="EF144" t="e">
        <f>AND('Planilla_General_07-12-2012_8_3'!F2162,"AAAAAC+t34c=")</f>
        <v>#VALUE!</v>
      </c>
      <c r="EG144" t="e">
        <f>AND('Planilla_General_07-12-2012_8_3'!G2162,"AAAAAC+t34g=")</f>
        <v>#VALUE!</v>
      </c>
      <c r="EH144" t="e">
        <f>AND('Planilla_General_07-12-2012_8_3'!H2162,"AAAAAC+t34k=")</f>
        <v>#VALUE!</v>
      </c>
      <c r="EI144" t="e">
        <f>AND('Planilla_General_07-12-2012_8_3'!I2162,"AAAAAC+t34o=")</f>
        <v>#VALUE!</v>
      </c>
      <c r="EJ144" t="e">
        <f>AND('Planilla_General_07-12-2012_8_3'!J2162,"AAAAAC+t34s=")</f>
        <v>#VALUE!</v>
      </c>
      <c r="EK144" t="e">
        <f>AND('Planilla_General_07-12-2012_8_3'!K2162,"AAAAAC+t34w=")</f>
        <v>#VALUE!</v>
      </c>
      <c r="EL144" t="e">
        <f>AND('Planilla_General_07-12-2012_8_3'!L2162,"AAAAAC+t340=")</f>
        <v>#VALUE!</v>
      </c>
      <c r="EM144" t="e">
        <f>AND('Planilla_General_07-12-2012_8_3'!M2162,"AAAAAC+t344=")</f>
        <v>#VALUE!</v>
      </c>
      <c r="EN144" t="e">
        <f>AND('Planilla_General_07-12-2012_8_3'!N2162,"AAAAAC+t348=")</f>
        <v>#VALUE!</v>
      </c>
      <c r="EO144" t="e">
        <f>AND('Planilla_General_07-12-2012_8_3'!O2162,"AAAAAC+t35A=")</f>
        <v>#VALUE!</v>
      </c>
      <c r="EP144" t="e">
        <f>AND('Planilla_General_07-12-2012_8_3'!P2162,"AAAAAC+t35E=")</f>
        <v>#VALUE!</v>
      </c>
      <c r="EQ144">
        <f>IF('Planilla_General_07-12-2012_8_3'!2163:2163,"AAAAAC+t35I=",0)</f>
        <v>0</v>
      </c>
      <c r="ER144" t="e">
        <f>AND('Planilla_General_07-12-2012_8_3'!A2163,"AAAAAC+t35M=")</f>
        <v>#VALUE!</v>
      </c>
      <c r="ES144" t="e">
        <f>AND('Planilla_General_07-12-2012_8_3'!B2163,"AAAAAC+t35Q=")</f>
        <v>#VALUE!</v>
      </c>
      <c r="ET144" t="e">
        <f>AND('Planilla_General_07-12-2012_8_3'!C2163,"AAAAAC+t35U=")</f>
        <v>#VALUE!</v>
      </c>
      <c r="EU144" t="e">
        <f>AND('Planilla_General_07-12-2012_8_3'!D2163,"AAAAAC+t35Y=")</f>
        <v>#VALUE!</v>
      </c>
      <c r="EV144" t="e">
        <f>AND('Planilla_General_07-12-2012_8_3'!E2163,"AAAAAC+t35c=")</f>
        <v>#VALUE!</v>
      </c>
      <c r="EW144" t="e">
        <f>AND('Planilla_General_07-12-2012_8_3'!F2163,"AAAAAC+t35g=")</f>
        <v>#VALUE!</v>
      </c>
      <c r="EX144" t="e">
        <f>AND('Planilla_General_07-12-2012_8_3'!G2163,"AAAAAC+t35k=")</f>
        <v>#VALUE!</v>
      </c>
      <c r="EY144" t="e">
        <f>AND('Planilla_General_07-12-2012_8_3'!H2163,"AAAAAC+t35o=")</f>
        <v>#VALUE!</v>
      </c>
      <c r="EZ144" t="e">
        <f>AND('Planilla_General_07-12-2012_8_3'!I2163,"AAAAAC+t35s=")</f>
        <v>#VALUE!</v>
      </c>
      <c r="FA144" t="e">
        <f>AND('Planilla_General_07-12-2012_8_3'!J2163,"AAAAAC+t35w=")</f>
        <v>#VALUE!</v>
      </c>
      <c r="FB144" t="e">
        <f>AND('Planilla_General_07-12-2012_8_3'!K2163,"AAAAAC+t350=")</f>
        <v>#VALUE!</v>
      </c>
      <c r="FC144" t="e">
        <f>AND('Planilla_General_07-12-2012_8_3'!L2163,"AAAAAC+t354=")</f>
        <v>#VALUE!</v>
      </c>
      <c r="FD144" t="e">
        <f>AND('Planilla_General_07-12-2012_8_3'!M2163,"AAAAAC+t358=")</f>
        <v>#VALUE!</v>
      </c>
      <c r="FE144" t="e">
        <f>AND('Planilla_General_07-12-2012_8_3'!N2163,"AAAAAC+t36A=")</f>
        <v>#VALUE!</v>
      </c>
      <c r="FF144" t="e">
        <f>AND('Planilla_General_07-12-2012_8_3'!O2163,"AAAAAC+t36E=")</f>
        <v>#VALUE!</v>
      </c>
      <c r="FG144" t="e">
        <f>AND('Planilla_General_07-12-2012_8_3'!P2163,"AAAAAC+t36I=")</f>
        <v>#VALUE!</v>
      </c>
      <c r="FH144">
        <f>IF('Planilla_General_07-12-2012_8_3'!2164:2164,"AAAAAC+t36M=",0)</f>
        <v>0</v>
      </c>
      <c r="FI144" t="e">
        <f>AND('Planilla_General_07-12-2012_8_3'!A2164,"AAAAAC+t36Q=")</f>
        <v>#VALUE!</v>
      </c>
      <c r="FJ144" t="e">
        <f>AND('Planilla_General_07-12-2012_8_3'!B2164,"AAAAAC+t36U=")</f>
        <v>#VALUE!</v>
      </c>
      <c r="FK144" t="e">
        <f>AND('Planilla_General_07-12-2012_8_3'!C2164,"AAAAAC+t36Y=")</f>
        <v>#VALUE!</v>
      </c>
      <c r="FL144" t="e">
        <f>AND('Planilla_General_07-12-2012_8_3'!D2164,"AAAAAC+t36c=")</f>
        <v>#VALUE!</v>
      </c>
      <c r="FM144" t="e">
        <f>AND('Planilla_General_07-12-2012_8_3'!E2164,"AAAAAC+t36g=")</f>
        <v>#VALUE!</v>
      </c>
      <c r="FN144" t="e">
        <f>AND('Planilla_General_07-12-2012_8_3'!F2164,"AAAAAC+t36k=")</f>
        <v>#VALUE!</v>
      </c>
      <c r="FO144" t="e">
        <f>AND('Planilla_General_07-12-2012_8_3'!G2164,"AAAAAC+t36o=")</f>
        <v>#VALUE!</v>
      </c>
      <c r="FP144" t="e">
        <f>AND('Planilla_General_07-12-2012_8_3'!H2164,"AAAAAC+t36s=")</f>
        <v>#VALUE!</v>
      </c>
      <c r="FQ144" t="e">
        <f>AND('Planilla_General_07-12-2012_8_3'!I2164,"AAAAAC+t36w=")</f>
        <v>#VALUE!</v>
      </c>
      <c r="FR144" t="e">
        <f>AND('Planilla_General_07-12-2012_8_3'!J2164,"AAAAAC+t360=")</f>
        <v>#VALUE!</v>
      </c>
      <c r="FS144" t="e">
        <f>AND('Planilla_General_07-12-2012_8_3'!K2164,"AAAAAC+t364=")</f>
        <v>#VALUE!</v>
      </c>
      <c r="FT144" t="e">
        <f>AND('Planilla_General_07-12-2012_8_3'!L2164,"AAAAAC+t368=")</f>
        <v>#VALUE!</v>
      </c>
      <c r="FU144" t="e">
        <f>AND('Planilla_General_07-12-2012_8_3'!M2164,"AAAAAC+t37A=")</f>
        <v>#VALUE!</v>
      </c>
      <c r="FV144" t="e">
        <f>AND('Planilla_General_07-12-2012_8_3'!N2164,"AAAAAC+t37E=")</f>
        <v>#VALUE!</v>
      </c>
      <c r="FW144" t="e">
        <f>AND('Planilla_General_07-12-2012_8_3'!O2164,"AAAAAC+t37I=")</f>
        <v>#VALUE!</v>
      </c>
      <c r="FX144" t="e">
        <f>AND('Planilla_General_07-12-2012_8_3'!P2164,"AAAAAC+t37M=")</f>
        <v>#VALUE!</v>
      </c>
      <c r="FY144">
        <f>IF('Planilla_General_07-12-2012_8_3'!2165:2165,"AAAAAC+t37Q=",0)</f>
        <v>0</v>
      </c>
      <c r="FZ144" t="e">
        <f>AND('Planilla_General_07-12-2012_8_3'!A2165,"AAAAAC+t37U=")</f>
        <v>#VALUE!</v>
      </c>
      <c r="GA144" t="e">
        <f>AND('Planilla_General_07-12-2012_8_3'!B2165,"AAAAAC+t37Y=")</f>
        <v>#VALUE!</v>
      </c>
      <c r="GB144" t="e">
        <f>AND('Planilla_General_07-12-2012_8_3'!C2165,"AAAAAC+t37c=")</f>
        <v>#VALUE!</v>
      </c>
      <c r="GC144" t="e">
        <f>AND('Planilla_General_07-12-2012_8_3'!D2165,"AAAAAC+t37g=")</f>
        <v>#VALUE!</v>
      </c>
      <c r="GD144" t="e">
        <f>AND('Planilla_General_07-12-2012_8_3'!E2165,"AAAAAC+t37k=")</f>
        <v>#VALUE!</v>
      </c>
      <c r="GE144" t="e">
        <f>AND('Planilla_General_07-12-2012_8_3'!F2165,"AAAAAC+t37o=")</f>
        <v>#VALUE!</v>
      </c>
      <c r="GF144" t="e">
        <f>AND('Planilla_General_07-12-2012_8_3'!G2165,"AAAAAC+t37s=")</f>
        <v>#VALUE!</v>
      </c>
      <c r="GG144" t="e">
        <f>AND('Planilla_General_07-12-2012_8_3'!H2165,"AAAAAC+t37w=")</f>
        <v>#VALUE!</v>
      </c>
      <c r="GH144" t="e">
        <f>AND('Planilla_General_07-12-2012_8_3'!I2165,"AAAAAC+t370=")</f>
        <v>#VALUE!</v>
      </c>
      <c r="GI144" t="e">
        <f>AND('Planilla_General_07-12-2012_8_3'!J2165,"AAAAAC+t374=")</f>
        <v>#VALUE!</v>
      </c>
      <c r="GJ144" t="e">
        <f>AND('Planilla_General_07-12-2012_8_3'!K2165,"AAAAAC+t378=")</f>
        <v>#VALUE!</v>
      </c>
      <c r="GK144" t="e">
        <f>AND('Planilla_General_07-12-2012_8_3'!L2165,"AAAAAC+t38A=")</f>
        <v>#VALUE!</v>
      </c>
      <c r="GL144" t="e">
        <f>AND('Planilla_General_07-12-2012_8_3'!M2165,"AAAAAC+t38E=")</f>
        <v>#VALUE!</v>
      </c>
      <c r="GM144" t="e">
        <f>AND('Planilla_General_07-12-2012_8_3'!N2165,"AAAAAC+t38I=")</f>
        <v>#VALUE!</v>
      </c>
      <c r="GN144" t="e">
        <f>AND('Planilla_General_07-12-2012_8_3'!O2165,"AAAAAC+t38M=")</f>
        <v>#VALUE!</v>
      </c>
      <c r="GO144" t="e">
        <f>AND('Planilla_General_07-12-2012_8_3'!P2165,"AAAAAC+t38Q=")</f>
        <v>#VALUE!</v>
      </c>
      <c r="GP144">
        <f>IF('Planilla_General_07-12-2012_8_3'!2166:2166,"AAAAAC+t38U=",0)</f>
        <v>0</v>
      </c>
      <c r="GQ144" t="e">
        <f>AND('Planilla_General_07-12-2012_8_3'!A2166,"AAAAAC+t38Y=")</f>
        <v>#VALUE!</v>
      </c>
      <c r="GR144" t="e">
        <f>AND('Planilla_General_07-12-2012_8_3'!B2166,"AAAAAC+t38c=")</f>
        <v>#VALUE!</v>
      </c>
      <c r="GS144" t="e">
        <f>AND('Planilla_General_07-12-2012_8_3'!C2166,"AAAAAC+t38g=")</f>
        <v>#VALUE!</v>
      </c>
      <c r="GT144" t="e">
        <f>AND('Planilla_General_07-12-2012_8_3'!D2166,"AAAAAC+t38k=")</f>
        <v>#VALUE!</v>
      </c>
      <c r="GU144" t="e">
        <f>AND('Planilla_General_07-12-2012_8_3'!E2166,"AAAAAC+t38o=")</f>
        <v>#VALUE!</v>
      </c>
      <c r="GV144" t="e">
        <f>AND('Planilla_General_07-12-2012_8_3'!F2166,"AAAAAC+t38s=")</f>
        <v>#VALUE!</v>
      </c>
      <c r="GW144" t="e">
        <f>AND('Planilla_General_07-12-2012_8_3'!G2166,"AAAAAC+t38w=")</f>
        <v>#VALUE!</v>
      </c>
      <c r="GX144" t="e">
        <f>AND('Planilla_General_07-12-2012_8_3'!H2166,"AAAAAC+t380=")</f>
        <v>#VALUE!</v>
      </c>
      <c r="GY144" t="e">
        <f>AND('Planilla_General_07-12-2012_8_3'!I2166,"AAAAAC+t384=")</f>
        <v>#VALUE!</v>
      </c>
      <c r="GZ144" t="e">
        <f>AND('Planilla_General_07-12-2012_8_3'!J2166,"AAAAAC+t388=")</f>
        <v>#VALUE!</v>
      </c>
      <c r="HA144" t="e">
        <f>AND('Planilla_General_07-12-2012_8_3'!K2166,"AAAAAC+t39A=")</f>
        <v>#VALUE!</v>
      </c>
      <c r="HB144" t="e">
        <f>AND('Planilla_General_07-12-2012_8_3'!L2166,"AAAAAC+t39E=")</f>
        <v>#VALUE!</v>
      </c>
      <c r="HC144" t="e">
        <f>AND('Planilla_General_07-12-2012_8_3'!M2166,"AAAAAC+t39I=")</f>
        <v>#VALUE!</v>
      </c>
      <c r="HD144" t="e">
        <f>AND('Planilla_General_07-12-2012_8_3'!N2166,"AAAAAC+t39M=")</f>
        <v>#VALUE!</v>
      </c>
      <c r="HE144" t="e">
        <f>AND('Planilla_General_07-12-2012_8_3'!O2166,"AAAAAC+t39Q=")</f>
        <v>#VALUE!</v>
      </c>
      <c r="HF144" t="e">
        <f>AND('Planilla_General_07-12-2012_8_3'!P2166,"AAAAAC+t39U=")</f>
        <v>#VALUE!</v>
      </c>
      <c r="HG144">
        <f>IF('Planilla_General_07-12-2012_8_3'!2167:2167,"AAAAAC+t39Y=",0)</f>
        <v>0</v>
      </c>
      <c r="HH144" t="e">
        <f>AND('Planilla_General_07-12-2012_8_3'!A2167,"AAAAAC+t39c=")</f>
        <v>#VALUE!</v>
      </c>
      <c r="HI144" t="e">
        <f>AND('Planilla_General_07-12-2012_8_3'!B2167,"AAAAAC+t39g=")</f>
        <v>#VALUE!</v>
      </c>
      <c r="HJ144" t="e">
        <f>AND('Planilla_General_07-12-2012_8_3'!C2167,"AAAAAC+t39k=")</f>
        <v>#VALUE!</v>
      </c>
      <c r="HK144" t="e">
        <f>AND('Planilla_General_07-12-2012_8_3'!D2167,"AAAAAC+t39o=")</f>
        <v>#VALUE!</v>
      </c>
      <c r="HL144" t="e">
        <f>AND('Planilla_General_07-12-2012_8_3'!E2167,"AAAAAC+t39s=")</f>
        <v>#VALUE!</v>
      </c>
      <c r="HM144" t="e">
        <f>AND('Planilla_General_07-12-2012_8_3'!F2167,"AAAAAC+t39w=")</f>
        <v>#VALUE!</v>
      </c>
      <c r="HN144" t="e">
        <f>AND('Planilla_General_07-12-2012_8_3'!G2167,"AAAAAC+t390=")</f>
        <v>#VALUE!</v>
      </c>
      <c r="HO144" t="e">
        <f>AND('Planilla_General_07-12-2012_8_3'!H2167,"AAAAAC+t394=")</f>
        <v>#VALUE!</v>
      </c>
      <c r="HP144" t="e">
        <f>AND('Planilla_General_07-12-2012_8_3'!I2167,"AAAAAC+t398=")</f>
        <v>#VALUE!</v>
      </c>
      <c r="HQ144" t="e">
        <f>AND('Planilla_General_07-12-2012_8_3'!J2167,"AAAAAC+t3+A=")</f>
        <v>#VALUE!</v>
      </c>
      <c r="HR144" t="e">
        <f>AND('Planilla_General_07-12-2012_8_3'!K2167,"AAAAAC+t3+E=")</f>
        <v>#VALUE!</v>
      </c>
      <c r="HS144" t="e">
        <f>AND('Planilla_General_07-12-2012_8_3'!L2167,"AAAAAC+t3+I=")</f>
        <v>#VALUE!</v>
      </c>
      <c r="HT144" t="e">
        <f>AND('Planilla_General_07-12-2012_8_3'!M2167,"AAAAAC+t3+M=")</f>
        <v>#VALUE!</v>
      </c>
      <c r="HU144" t="e">
        <f>AND('Planilla_General_07-12-2012_8_3'!N2167,"AAAAAC+t3+Q=")</f>
        <v>#VALUE!</v>
      </c>
      <c r="HV144" t="e">
        <f>AND('Planilla_General_07-12-2012_8_3'!O2167,"AAAAAC+t3+U=")</f>
        <v>#VALUE!</v>
      </c>
      <c r="HW144" t="e">
        <f>AND('Planilla_General_07-12-2012_8_3'!P2167,"AAAAAC+t3+Y=")</f>
        <v>#VALUE!</v>
      </c>
      <c r="HX144">
        <f>IF('Planilla_General_07-12-2012_8_3'!2168:2168,"AAAAAC+t3+c=",0)</f>
        <v>0</v>
      </c>
      <c r="HY144" t="e">
        <f>AND('Planilla_General_07-12-2012_8_3'!A2168,"AAAAAC+t3+g=")</f>
        <v>#VALUE!</v>
      </c>
      <c r="HZ144" t="e">
        <f>AND('Planilla_General_07-12-2012_8_3'!B2168,"AAAAAC+t3+k=")</f>
        <v>#VALUE!</v>
      </c>
      <c r="IA144" t="e">
        <f>AND('Planilla_General_07-12-2012_8_3'!C2168,"AAAAAC+t3+o=")</f>
        <v>#VALUE!</v>
      </c>
      <c r="IB144" t="e">
        <f>AND('Planilla_General_07-12-2012_8_3'!D2168,"AAAAAC+t3+s=")</f>
        <v>#VALUE!</v>
      </c>
      <c r="IC144" t="e">
        <f>AND('Planilla_General_07-12-2012_8_3'!E2168,"AAAAAC+t3+w=")</f>
        <v>#VALUE!</v>
      </c>
      <c r="ID144" t="e">
        <f>AND('Planilla_General_07-12-2012_8_3'!F2168,"AAAAAC+t3+0=")</f>
        <v>#VALUE!</v>
      </c>
      <c r="IE144" t="e">
        <f>AND('Planilla_General_07-12-2012_8_3'!G2168,"AAAAAC+t3+4=")</f>
        <v>#VALUE!</v>
      </c>
      <c r="IF144" t="e">
        <f>AND('Planilla_General_07-12-2012_8_3'!H2168,"AAAAAC+t3+8=")</f>
        <v>#VALUE!</v>
      </c>
      <c r="IG144" t="e">
        <f>AND('Planilla_General_07-12-2012_8_3'!I2168,"AAAAAC+t3/A=")</f>
        <v>#VALUE!</v>
      </c>
      <c r="IH144" t="e">
        <f>AND('Planilla_General_07-12-2012_8_3'!J2168,"AAAAAC+t3/E=")</f>
        <v>#VALUE!</v>
      </c>
      <c r="II144" t="e">
        <f>AND('Planilla_General_07-12-2012_8_3'!K2168,"AAAAAC+t3/I=")</f>
        <v>#VALUE!</v>
      </c>
      <c r="IJ144" t="e">
        <f>AND('Planilla_General_07-12-2012_8_3'!L2168,"AAAAAC+t3/M=")</f>
        <v>#VALUE!</v>
      </c>
      <c r="IK144" t="e">
        <f>AND('Planilla_General_07-12-2012_8_3'!M2168,"AAAAAC+t3/Q=")</f>
        <v>#VALUE!</v>
      </c>
      <c r="IL144" t="e">
        <f>AND('Planilla_General_07-12-2012_8_3'!N2168,"AAAAAC+t3/U=")</f>
        <v>#VALUE!</v>
      </c>
      <c r="IM144" t="e">
        <f>AND('Planilla_General_07-12-2012_8_3'!O2168,"AAAAAC+t3/Y=")</f>
        <v>#VALUE!</v>
      </c>
      <c r="IN144" t="e">
        <f>AND('Planilla_General_07-12-2012_8_3'!P2168,"AAAAAC+t3/c=")</f>
        <v>#VALUE!</v>
      </c>
      <c r="IO144">
        <f>IF('Planilla_General_07-12-2012_8_3'!2169:2169,"AAAAAC+t3/g=",0)</f>
        <v>0</v>
      </c>
      <c r="IP144" t="e">
        <f>AND('Planilla_General_07-12-2012_8_3'!A2169,"AAAAAC+t3/k=")</f>
        <v>#VALUE!</v>
      </c>
      <c r="IQ144" t="e">
        <f>AND('Planilla_General_07-12-2012_8_3'!B2169,"AAAAAC+t3/o=")</f>
        <v>#VALUE!</v>
      </c>
      <c r="IR144" t="e">
        <f>AND('Planilla_General_07-12-2012_8_3'!C2169,"AAAAAC+t3/s=")</f>
        <v>#VALUE!</v>
      </c>
      <c r="IS144" t="e">
        <f>AND('Planilla_General_07-12-2012_8_3'!D2169,"AAAAAC+t3/w=")</f>
        <v>#VALUE!</v>
      </c>
      <c r="IT144" t="e">
        <f>AND('Planilla_General_07-12-2012_8_3'!E2169,"AAAAAC+t3/0=")</f>
        <v>#VALUE!</v>
      </c>
      <c r="IU144" t="e">
        <f>AND('Planilla_General_07-12-2012_8_3'!F2169,"AAAAAC+t3/4=")</f>
        <v>#VALUE!</v>
      </c>
      <c r="IV144" t="e">
        <f>AND('Planilla_General_07-12-2012_8_3'!G2169,"AAAAAC+t3/8=")</f>
        <v>#VALUE!</v>
      </c>
    </row>
    <row r="145" spans="1:256" x14ac:dyDescent="0.25">
      <c r="A145" t="e">
        <f>AND('Planilla_General_07-12-2012_8_3'!H2169,"AAAAAH3qzAA=")</f>
        <v>#VALUE!</v>
      </c>
      <c r="B145" t="e">
        <f>AND('Planilla_General_07-12-2012_8_3'!I2169,"AAAAAH3qzAE=")</f>
        <v>#VALUE!</v>
      </c>
      <c r="C145" t="e">
        <f>AND('Planilla_General_07-12-2012_8_3'!J2169,"AAAAAH3qzAI=")</f>
        <v>#VALUE!</v>
      </c>
      <c r="D145" t="e">
        <f>AND('Planilla_General_07-12-2012_8_3'!K2169,"AAAAAH3qzAM=")</f>
        <v>#VALUE!</v>
      </c>
      <c r="E145" t="e">
        <f>AND('Planilla_General_07-12-2012_8_3'!L2169,"AAAAAH3qzAQ=")</f>
        <v>#VALUE!</v>
      </c>
      <c r="F145" t="e">
        <f>AND('Planilla_General_07-12-2012_8_3'!M2169,"AAAAAH3qzAU=")</f>
        <v>#VALUE!</v>
      </c>
      <c r="G145" t="e">
        <f>AND('Planilla_General_07-12-2012_8_3'!N2169,"AAAAAH3qzAY=")</f>
        <v>#VALUE!</v>
      </c>
      <c r="H145" t="e">
        <f>AND('Planilla_General_07-12-2012_8_3'!O2169,"AAAAAH3qzAc=")</f>
        <v>#VALUE!</v>
      </c>
      <c r="I145" t="e">
        <f>AND('Planilla_General_07-12-2012_8_3'!P2169,"AAAAAH3qzAg=")</f>
        <v>#VALUE!</v>
      </c>
      <c r="J145" t="e">
        <f>IF('Planilla_General_07-12-2012_8_3'!2170:2170,"AAAAAH3qzAk=",0)</f>
        <v>#VALUE!</v>
      </c>
      <c r="K145" t="e">
        <f>AND('Planilla_General_07-12-2012_8_3'!A2170,"AAAAAH3qzAo=")</f>
        <v>#VALUE!</v>
      </c>
      <c r="L145" t="e">
        <f>AND('Planilla_General_07-12-2012_8_3'!B2170,"AAAAAH3qzAs=")</f>
        <v>#VALUE!</v>
      </c>
      <c r="M145" t="e">
        <f>AND('Planilla_General_07-12-2012_8_3'!C2170,"AAAAAH3qzAw=")</f>
        <v>#VALUE!</v>
      </c>
      <c r="N145" t="e">
        <f>AND('Planilla_General_07-12-2012_8_3'!D2170,"AAAAAH3qzA0=")</f>
        <v>#VALUE!</v>
      </c>
      <c r="O145" t="e">
        <f>AND('Planilla_General_07-12-2012_8_3'!E2170,"AAAAAH3qzA4=")</f>
        <v>#VALUE!</v>
      </c>
      <c r="P145" t="e">
        <f>AND('Planilla_General_07-12-2012_8_3'!F2170,"AAAAAH3qzA8=")</f>
        <v>#VALUE!</v>
      </c>
      <c r="Q145" t="e">
        <f>AND('Planilla_General_07-12-2012_8_3'!G2170,"AAAAAH3qzBA=")</f>
        <v>#VALUE!</v>
      </c>
      <c r="R145" t="e">
        <f>AND('Planilla_General_07-12-2012_8_3'!H2170,"AAAAAH3qzBE=")</f>
        <v>#VALUE!</v>
      </c>
      <c r="S145" t="e">
        <f>AND('Planilla_General_07-12-2012_8_3'!I2170,"AAAAAH3qzBI=")</f>
        <v>#VALUE!</v>
      </c>
      <c r="T145" t="e">
        <f>AND('Planilla_General_07-12-2012_8_3'!J2170,"AAAAAH3qzBM=")</f>
        <v>#VALUE!</v>
      </c>
      <c r="U145" t="e">
        <f>AND('Planilla_General_07-12-2012_8_3'!K2170,"AAAAAH3qzBQ=")</f>
        <v>#VALUE!</v>
      </c>
      <c r="V145" t="e">
        <f>AND('Planilla_General_07-12-2012_8_3'!L2170,"AAAAAH3qzBU=")</f>
        <v>#VALUE!</v>
      </c>
      <c r="W145" t="e">
        <f>AND('Planilla_General_07-12-2012_8_3'!M2170,"AAAAAH3qzBY=")</f>
        <v>#VALUE!</v>
      </c>
      <c r="X145" t="e">
        <f>AND('Planilla_General_07-12-2012_8_3'!N2170,"AAAAAH3qzBc=")</f>
        <v>#VALUE!</v>
      </c>
      <c r="Y145" t="e">
        <f>AND('Planilla_General_07-12-2012_8_3'!O2170,"AAAAAH3qzBg=")</f>
        <v>#VALUE!</v>
      </c>
      <c r="Z145" t="e">
        <f>AND('Planilla_General_07-12-2012_8_3'!P2170,"AAAAAH3qzBk=")</f>
        <v>#VALUE!</v>
      </c>
      <c r="AA145">
        <f>IF('Planilla_General_07-12-2012_8_3'!2171:2171,"AAAAAH3qzBo=",0)</f>
        <v>0</v>
      </c>
      <c r="AB145" t="e">
        <f>AND('Planilla_General_07-12-2012_8_3'!A2171,"AAAAAH3qzBs=")</f>
        <v>#VALUE!</v>
      </c>
      <c r="AC145" t="e">
        <f>AND('Planilla_General_07-12-2012_8_3'!B2171,"AAAAAH3qzBw=")</f>
        <v>#VALUE!</v>
      </c>
      <c r="AD145" t="e">
        <f>AND('Planilla_General_07-12-2012_8_3'!C2171,"AAAAAH3qzB0=")</f>
        <v>#VALUE!</v>
      </c>
      <c r="AE145" t="e">
        <f>AND('Planilla_General_07-12-2012_8_3'!D2171,"AAAAAH3qzB4=")</f>
        <v>#VALUE!</v>
      </c>
      <c r="AF145" t="e">
        <f>AND('Planilla_General_07-12-2012_8_3'!E2171,"AAAAAH3qzB8=")</f>
        <v>#VALUE!</v>
      </c>
      <c r="AG145" t="e">
        <f>AND('Planilla_General_07-12-2012_8_3'!F2171,"AAAAAH3qzCA=")</f>
        <v>#VALUE!</v>
      </c>
      <c r="AH145" t="e">
        <f>AND('Planilla_General_07-12-2012_8_3'!G2171,"AAAAAH3qzCE=")</f>
        <v>#VALUE!</v>
      </c>
      <c r="AI145" t="e">
        <f>AND('Planilla_General_07-12-2012_8_3'!H2171,"AAAAAH3qzCI=")</f>
        <v>#VALUE!</v>
      </c>
      <c r="AJ145" t="e">
        <f>AND('Planilla_General_07-12-2012_8_3'!I2171,"AAAAAH3qzCM=")</f>
        <v>#VALUE!</v>
      </c>
      <c r="AK145" t="e">
        <f>AND('Planilla_General_07-12-2012_8_3'!J2171,"AAAAAH3qzCQ=")</f>
        <v>#VALUE!</v>
      </c>
      <c r="AL145" t="e">
        <f>AND('Planilla_General_07-12-2012_8_3'!K2171,"AAAAAH3qzCU=")</f>
        <v>#VALUE!</v>
      </c>
      <c r="AM145" t="e">
        <f>AND('Planilla_General_07-12-2012_8_3'!L2171,"AAAAAH3qzCY=")</f>
        <v>#VALUE!</v>
      </c>
      <c r="AN145" t="e">
        <f>AND('Planilla_General_07-12-2012_8_3'!M2171,"AAAAAH3qzCc=")</f>
        <v>#VALUE!</v>
      </c>
      <c r="AO145" t="e">
        <f>AND('Planilla_General_07-12-2012_8_3'!N2171,"AAAAAH3qzCg=")</f>
        <v>#VALUE!</v>
      </c>
      <c r="AP145" t="e">
        <f>AND('Planilla_General_07-12-2012_8_3'!O2171,"AAAAAH3qzCk=")</f>
        <v>#VALUE!</v>
      </c>
      <c r="AQ145" t="e">
        <f>AND('Planilla_General_07-12-2012_8_3'!P2171,"AAAAAH3qzCo=")</f>
        <v>#VALUE!</v>
      </c>
      <c r="AR145">
        <f>IF('Planilla_General_07-12-2012_8_3'!2172:2172,"AAAAAH3qzCs=",0)</f>
        <v>0</v>
      </c>
      <c r="AS145" t="e">
        <f>AND('Planilla_General_07-12-2012_8_3'!A2172,"AAAAAH3qzCw=")</f>
        <v>#VALUE!</v>
      </c>
      <c r="AT145" t="e">
        <f>AND('Planilla_General_07-12-2012_8_3'!B2172,"AAAAAH3qzC0=")</f>
        <v>#VALUE!</v>
      </c>
      <c r="AU145" t="e">
        <f>AND('Planilla_General_07-12-2012_8_3'!C2172,"AAAAAH3qzC4=")</f>
        <v>#VALUE!</v>
      </c>
      <c r="AV145" t="e">
        <f>AND('Planilla_General_07-12-2012_8_3'!D2172,"AAAAAH3qzC8=")</f>
        <v>#VALUE!</v>
      </c>
      <c r="AW145" t="e">
        <f>AND('Planilla_General_07-12-2012_8_3'!E2172,"AAAAAH3qzDA=")</f>
        <v>#VALUE!</v>
      </c>
      <c r="AX145" t="e">
        <f>AND('Planilla_General_07-12-2012_8_3'!F2172,"AAAAAH3qzDE=")</f>
        <v>#VALUE!</v>
      </c>
      <c r="AY145" t="e">
        <f>AND('Planilla_General_07-12-2012_8_3'!G2172,"AAAAAH3qzDI=")</f>
        <v>#VALUE!</v>
      </c>
      <c r="AZ145" t="e">
        <f>AND('Planilla_General_07-12-2012_8_3'!H2172,"AAAAAH3qzDM=")</f>
        <v>#VALUE!</v>
      </c>
      <c r="BA145" t="e">
        <f>AND('Planilla_General_07-12-2012_8_3'!I2172,"AAAAAH3qzDQ=")</f>
        <v>#VALUE!</v>
      </c>
      <c r="BB145" t="e">
        <f>AND('Planilla_General_07-12-2012_8_3'!J2172,"AAAAAH3qzDU=")</f>
        <v>#VALUE!</v>
      </c>
      <c r="BC145" t="e">
        <f>AND('Planilla_General_07-12-2012_8_3'!K2172,"AAAAAH3qzDY=")</f>
        <v>#VALUE!</v>
      </c>
      <c r="BD145" t="e">
        <f>AND('Planilla_General_07-12-2012_8_3'!L2172,"AAAAAH3qzDc=")</f>
        <v>#VALUE!</v>
      </c>
      <c r="BE145" t="e">
        <f>AND('Planilla_General_07-12-2012_8_3'!M2172,"AAAAAH3qzDg=")</f>
        <v>#VALUE!</v>
      </c>
      <c r="BF145" t="e">
        <f>AND('Planilla_General_07-12-2012_8_3'!N2172,"AAAAAH3qzDk=")</f>
        <v>#VALUE!</v>
      </c>
      <c r="BG145" t="e">
        <f>AND('Planilla_General_07-12-2012_8_3'!O2172,"AAAAAH3qzDo=")</f>
        <v>#VALUE!</v>
      </c>
      <c r="BH145" t="e">
        <f>AND('Planilla_General_07-12-2012_8_3'!P2172,"AAAAAH3qzDs=")</f>
        <v>#VALUE!</v>
      </c>
      <c r="BI145">
        <f>IF('Planilla_General_07-12-2012_8_3'!2173:2173,"AAAAAH3qzDw=",0)</f>
        <v>0</v>
      </c>
      <c r="BJ145" t="e">
        <f>AND('Planilla_General_07-12-2012_8_3'!A2173,"AAAAAH3qzD0=")</f>
        <v>#VALUE!</v>
      </c>
      <c r="BK145" t="e">
        <f>AND('Planilla_General_07-12-2012_8_3'!B2173,"AAAAAH3qzD4=")</f>
        <v>#VALUE!</v>
      </c>
      <c r="BL145" t="e">
        <f>AND('Planilla_General_07-12-2012_8_3'!C2173,"AAAAAH3qzD8=")</f>
        <v>#VALUE!</v>
      </c>
      <c r="BM145" t="e">
        <f>AND('Planilla_General_07-12-2012_8_3'!D2173,"AAAAAH3qzEA=")</f>
        <v>#VALUE!</v>
      </c>
      <c r="BN145" t="e">
        <f>AND('Planilla_General_07-12-2012_8_3'!E2173,"AAAAAH3qzEE=")</f>
        <v>#VALUE!</v>
      </c>
      <c r="BO145" t="e">
        <f>AND('Planilla_General_07-12-2012_8_3'!F2173,"AAAAAH3qzEI=")</f>
        <v>#VALUE!</v>
      </c>
      <c r="BP145" t="e">
        <f>AND('Planilla_General_07-12-2012_8_3'!G2173,"AAAAAH3qzEM=")</f>
        <v>#VALUE!</v>
      </c>
      <c r="BQ145" t="e">
        <f>AND('Planilla_General_07-12-2012_8_3'!H2173,"AAAAAH3qzEQ=")</f>
        <v>#VALUE!</v>
      </c>
      <c r="BR145" t="e">
        <f>AND('Planilla_General_07-12-2012_8_3'!I2173,"AAAAAH3qzEU=")</f>
        <v>#VALUE!</v>
      </c>
      <c r="BS145" t="e">
        <f>AND('Planilla_General_07-12-2012_8_3'!J2173,"AAAAAH3qzEY=")</f>
        <v>#VALUE!</v>
      </c>
      <c r="BT145" t="e">
        <f>AND('Planilla_General_07-12-2012_8_3'!K2173,"AAAAAH3qzEc=")</f>
        <v>#VALUE!</v>
      </c>
      <c r="BU145" t="e">
        <f>AND('Planilla_General_07-12-2012_8_3'!L2173,"AAAAAH3qzEg=")</f>
        <v>#VALUE!</v>
      </c>
      <c r="BV145" t="e">
        <f>AND('Planilla_General_07-12-2012_8_3'!M2173,"AAAAAH3qzEk=")</f>
        <v>#VALUE!</v>
      </c>
      <c r="BW145" t="e">
        <f>AND('Planilla_General_07-12-2012_8_3'!N2173,"AAAAAH3qzEo=")</f>
        <v>#VALUE!</v>
      </c>
      <c r="BX145" t="e">
        <f>AND('Planilla_General_07-12-2012_8_3'!O2173,"AAAAAH3qzEs=")</f>
        <v>#VALUE!</v>
      </c>
      <c r="BY145" t="e">
        <f>AND('Planilla_General_07-12-2012_8_3'!P2173,"AAAAAH3qzEw=")</f>
        <v>#VALUE!</v>
      </c>
      <c r="BZ145">
        <f>IF('Planilla_General_07-12-2012_8_3'!2174:2174,"AAAAAH3qzE0=",0)</f>
        <v>0</v>
      </c>
      <c r="CA145" t="e">
        <f>AND('Planilla_General_07-12-2012_8_3'!A2174,"AAAAAH3qzE4=")</f>
        <v>#VALUE!</v>
      </c>
      <c r="CB145" t="e">
        <f>AND('Planilla_General_07-12-2012_8_3'!B2174,"AAAAAH3qzE8=")</f>
        <v>#VALUE!</v>
      </c>
      <c r="CC145" t="e">
        <f>AND('Planilla_General_07-12-2012_8_3'!C2174,"AAAAAH3qzFA=")</f>
        <v>#VALUE!</v>
      </c>
      <c r="CD145" t="e">
        <f>AND('Planilla_General_07-12-2012_8_3'!D2174,"AAAAAH3qzFE=")</f>
        <v>#VALUE!</v>
      </c>
      <c r="CE145" t="e">
        <f>AND('Planilla_General_07-12-2012_8_3'!E2174,"AAAAAH3qzFI=")</f>
        <v>#VALUE!</v>
      </c>
      <c r="CF145" t="e">
        <f>AND('Planilla_General_07-12-2012_8_3'!F2174,"AAAAAH3qzFM=")</f>
        <v>#VALUE!</v>
      </c>
      <c r="CG145" t="e">
        <f>AND('Planilla_General_07-12-2012_8_3'!G2174,"AAAAAH3qzFQ=")</f>
        <v>#VALUE!</v>
      </c>
      <c r="CH145" t="e">
        <f>AND('Planilla_General_07-12-2012_8_3'!H2174,"AAAAAH3qzFU=")</f>
        <v>#VALUE!</v>
      </c>
      <c r="CI145" t="e">
        <f>AND('Planilla_General_07-12-2012_8_3'!I2174,"AAAAAH3qzFY=")</f>
        <v>#VALUE!</v>
      </c>
      <c r="CJ145" t="e">
        <f>AND('Planilla_General_07-12-2012_8_3'!J2174,"AAAAAH3qzFc=")</f>
        <v>#VALUE!</v>
      </c>
      <c r="CK145" t="e">
        <f>AND('Planilla_General_07-12-2012_8_3'!K2174,"AAAAAH3qzFg=")</f>
        <v>#VALUE!</v>
      </c>
      <c r="CL145" t="e">
        <f>AND('Planilla_General_07-12-2012_8_3'!L2174,"AAAAAH3qzFk=")</f>
        <v>#VALUE!</v>
      </c>
      <c r="CM145" t="e">
        <f>AND('Planilla_General_07-12-2012_8_3'!M2174,"AAAAAH3qzFo=")</f>
        <v>#VALUE!</v>
      </c>
      <c r="CN145" t="e">
        <f>AND('Planilla_General_07-12-2012_8_3'!N2174,"AAAAAH3qzFs=")</f>
        <v>#VALUE!</v>
      </c>
      <c r="CO145" t="e">
        <f>AND('Planilla_General_07-12-2012_8_3'!O2174,"AAAAAH3qzFw=")</f>
        <v>#VALUE!</v>
      </c>
      <c r="CP145" t="e">
        <f>AND('Planilla_General_07-12-2012_8_3'!P2174,"AAAAAH3qzF0=")</f>
        <v>#VALUE!</v>
      </c>
      <c r="CQ145">
        <f>IF('Planilla_General_07-12-2012_8_3'!2175:2175,"AAAAAH3qzF4=",0)</f>
        <v>0</v>
      </c>
      <c r="CR145" t="e">
        <f>AND('Planilla_General_07-12-2012_8_3'!A2175,"AAAAAH3qzF8=")</f>
        <v>#VALUE!</v>
      </c>
      <c r="CS145" t="e">
        <f>AND('Planilla_General_07-12-2012_8_3'!B2175,"AAAAAH3qzGA=")</f>
        <v>#VALUE!</v>
      </c>
      <c r="CT145" t="e">
        <f>AND('Planilla_General_07-12-2012_8_3'!C2175,"AAAAAH3qzGE=")</f>
        <v>#VALUE!</v>
      </c>
      <c r="CU145" t="e">
        <f>AND('Planilla_General_07-12-2012_8_3'!D2175,"AAAAAH3qzGI=")</f>
        <v>#VALUE!</v>
      </c>
      <c r="CV145" t="e">
        <f>AND('Planilla_General_07-12-2012_8_3'!E2175,"AAAAAH3qzGM=")</f>
        <v>#VALUE!</v>
      </c>
      <c r="CW145" t="e">
        <f>AND('Planilla_General_07-12-2012_8_3'!F2175,"AAAAAH3qzGQ=")</f>
        <v>#VALUE!</v>
      </c>
      <c r="CX145" t="e">
        <f>AND('Planilla_General_07-12-2012_8_3'!G2175,"AAAAAH3qzGU=")</f>
        <v>#VALUE!</v>
      </c>
      <c r="CY145" t="e">
        <f>AND('Planilla_General_07-12-2012_8_3'!H2175,"AAAAAH3qzGY=")</f>
        <v>#VALUE!</v>
      </c>
      <c r="CZ145" t="e">
        <f>AND('Planilla_General_07-12-2012_8_3'!I2175,"AAAAAH3qzGc=")</f>
        <v>#VALUE!</v>
      </c>
      <c r="DA145" t="e">
        <f>AND('Planilla_General_07-12-2012_8_3'!J2175,"AAAAAH3qzGg=")</f>
        <v>#VALUE!</v>
      </c>
      <c r="DB145" t="e">
        <f>AND('Planilla_General_07-12-2012_8_3'!K2175,"AAAAAH3qzGk=")</f>
        <v>#VALUE!</v>
      </c>
      <c r="DC145" t="e">
        <f>AND('Planilla_General_07-12-2012_8_3'!L2175,"AAAAAH3qzGo=")</f>
        <v>#VALUE!</v>
      </c>
      <c r="DD145" t="e">
        <f>AND('Planilla_General_07-12-2012_8_3'!M2175,"AAAAAH3qzGs=")</f>
        <v>#VALUE!</v>
      </c>
      <c r="DE145" t="e">
        <f>AND('Planilla_General_07-12-2012_8_3'!N2175,"AAAAAH3qzGw=")</f>
        <v>#VALUE!</v>
      </c>
      <c r="DF145" t="e">
        <f>AND('Planilla_General_07-12-2012_8_3'!O2175,"AAAAAH3qzG0=")</f>
        <v>#VALUE!</v>
      </c>
      <c r="DG145" t="e">
        <f>AND('Planilla_General_07-12-2012_8_3'!P2175,"AAAAAH3qzG4=")</f>
        <v>#VALUE!</v>
      </c>
      <c r="DH145">
        <f>IF('Planilla_General_07-12-2012_8_3'!2176:2176,"AAAAAH3qzG8=",0)</f>
        <v>0</v>
      </c>
      <c r="DI145" t="e">
        <f>AND('Planilla_General_07-12-2012_8_3'!A2176,"AAAAAH3qzHA=")</f>
        <v>#VALUE!</v>
      </c>
      <c r="DJ145" t="e">
        <f>AND('Planilla_General_07-12-2012_8_3'!B2176,"AAAAAH3qzHE=")</f>
        <v>#VALUE!</v>
      </c>
      <c r="DK145" t="e">
        <f>AND('Planilla_General_07-12-2012_8_3'!C2176,"AAAAAH3qzHI=")</f>
        <v>#VALUE!</v>
      </c>
      <c r="DL145" t="e">
        <f>AND('Planilla_General_07-12-2012_8_3'!D2176,"AAAAAH3qzHM=")</f>
        <v>#VALUE!</v>
      </c>
      <c r="DM145" t="e">
        <f>AND('Planilla_General_07-12-2012_8_3'!E2176,"AAAAAH3qzHQ=")</f>
        <v>#VALUE!</v>
      </c>
      <c r="DN145" t="e">
        <f>AND('Planilla_General_07-12-2012_8_3'!F2176,"AAAAAH3qzHU=")</f>
        <v>#VALUE!</v>
      </c>
      <c r="DO145" t="e">
        <f>AND('Planilla_General_07-12-2012_8_3'!G2176,"AAAAAH3qzHY=")</f>
        <v>#VALUE!</v>
      </c>
      <c r="DP145" t="e">
        <f>AND('Planilla_General_07-12-2012_8_3'!H2176,"AAAAAH3qzHc=")</f>
        <v>#VALUE!</v>
      </c>
      <c r="DQ145" t="e">
        <f>AND('Planilla_General_07-12-2012_8_3'!I2176,"AAAAAH3qzHg=")</f>
        <v>#VALUE!</v>
      </c>
      <c r="DR145" t="e">
        <f>AND('Planilla_General_07-12-2012_8_3'!J2176,"AAAAAH3qzHk=")</f>
        <v>#VALUE!</v>
      </c>
      <c r="DS145" t="e">
        <f>AND('Planilla_General_07-12-2012_8_3'!K2176,"AAAAAH3qzHo=")</f>
        <v>#VALUE!</v>
      </c>
      <c r="DT145" t="e">
        <f>AND('Planilla_General_07-12-2012_8_3'!L2176,"AAAAAH3qzHs=")</f>
        <v>#VALUE!</v>
      </c>
      <c r="DU145" t="e">
        <f>AND('Planilla_General_07-12-2012_8_3'!M2176,"AAAAAH3qzHw=")</f>
        <v>#VALUE!</v>
      </c>
      <c r="DV145" t="e">
        <f>AND('Planilla_General_07-12-2012_8_3'!N2176,"AAAAAH3qzH0=")</f>
        <v>#VALUE!</v>
      </c>
      <c r="DW145" t="e">
        <f>AND('Planilla_General_07-12-2012_8_3'!O2176,"AAAAAH3qzH4=")</f>
        <v>#VALUE!</v>
      </c>
      <c r="DX145" t="e">
        <f>AND('Planilla_General_07-12-2012_8_3'!P2176,"AAAAAH3qzH8=")</f>
        <v>#VALUE!</v>
      </c>
      <c r="DY145">
        <f>IF('Planilla_General_07-12-2012_8_3'!2177:2177,"AAAAAH3qzIA=",0)</f>
        <v>0</v>
      </c>
      <c r="DZ145" t="e">
        <f>AND('Planilla_General_07-12-2012_8_3'!A2177,"AAAAAH3qzIE=")</f>
        <v>#VALUE!</v>
      </c>
      <c r="EA145" t="e">
        <f>AND('Planilla_General_07-12-2012_8_3'!B2177,"AAAAAH3qzII=")</f>
        <v>#VALUE!</v>
      </c>
      <c r="EB145" t="e">
        <f>AND('Planilla_General_07-12-2012_8_3'!C2177,"AAAAAH3qzIM=")</f>
        <v>#VALUE!</v>
      </c>
      <c r="EC145" t="e">
        <f>AND('Planilla_General_07-12-2012_8_3'!D2177,"AAAAAH3qzIQ=")</f>
        <v>#VALUE!</v>
      </c>
      <c r="ED145" t="e">
        <f>AND('Planilla_General_07-12-2012_8_3'!E2177,"AAAAAH3qzIU=")</f>
        <v>#VALUE!</v>
      </c>
      <c r="EE145" t="e">
        <f>AND('Planilla_General_07-12-2012_8_3'!F2177,"AAAAAH3qzIY=")</f>
        <v>#VALUE!</v>
      </c>
      <c r="EF145" t="e">
        <f>AND('Planilla_General_07-12-2012_8_3'!G2177,"AAAAAH3qzIc=")</f>
        <v>#VALUE!</v>
      </c>
      <c r="EG145" t="e">
        <f>AND('Planilla_General_07-12-2012_8_3'!H2177,"AAAAAH3qzIg=")</f>
        <v>#VALUE!</v>
      </c>
      <c r="EH145" t="e">
        <f>AND('Planilla_General_07-12-2012_8_3'!I2177,"AAAAAH3qzIk=")</f>
        <v>#VALUE!</v>
      </c>
      <c r="EI145" t="e">
        <f>AND('Planilla_General_07-12-2012_8_3'!J2177,"AAAAAH3qzIo=")</f>
        <v>#VALUE!</v>
      </c>
      <c r="EJ145" t="e">
        <f>AND('Planilla_General_07-12-2012_8_3'!K2177,"AAAAAH3qzIs=")</f>
        <v>#VALUE!</v>
      </c>
      <c r="EK145" t="e">
        <f>AND('Planilla_General_07-12-2012_8_3'!L2177,"AAAAAH3qzIw=")</f>
        <v>#VALUE!</v>
      </c>
      <c r="EL145" t="e">
        <f>AND('Planilla_General_07-12-2012_8_3'!M2177,"AAAAAH3qzI0=")</f>
        <v>#VALUE!</v>
      </c>
      <c r="EM145" t="e">
        <f>AND('Planilla_General_07-12-2012_8_3'!N2177,"AAAAAH3qzI4=")</f>
        <v>#VALUE!</v>
      </c>
      <c r="EN145" t="e">
        <f>AND('Planilla_General_07-12-2012_8_3'!O2177,"AAAAAH3qzI8=")</f>
        <v>#VALUE!</v>
      </c>
      <c r="EO145" t="e">
        <f>AND('Planilla_General_07-12-2012_8_3'!P2177,"AAAAAH3qzJA=")</f>
        <v>#VALUE!</v>
      </c>
      <c r="EP145">
        <f>IF('Planilla_General_07-12-2012_8_3'!2178:2178,"AAAAAH3qzJE=",0)</f>
        <v>0</v>
      </c>
      <c r="EQ145" t="e">
        <f>AND('Planilla_General_07-12-2012_8_3'!A2178,"AAAAAH3qzJI=")</f>
        <v>#VALUE!</v>
      </c>
      <c r="ER145" t="e">
        <f>AND('Planilla_General_07-12-2012_8_3'!B2178,"AAAAAH3qzJM=")</f>
        <v>#VALUE!</v>
      </c>
      <c r="ES145" t="e">
        <f>AND('Planilla_General_07-12-2012_8_3'!C2178,"AAAAAH3qzJQ=")</f>
        <v>#VALUE!</v>
      </c>
      <c r="ET145" t="e">
        <f>AND('Planilla_General_07-12-2012_8_3'!D2178,"AAAAAH3qzJU=")</f>
        <v>#VALUE!</v>
      </c>
      <c r="EU145" t="e">
        <f>AND('Planilla_General_07-12-2012_8_3'!E2178,"AAAAAH3qzJY=")</f>
        <v>#VALUE!</v>
      </c>
      <c r="EV145" t="e">
        <f>AND('Planilla_General_07-12-2012_8_3'!F2178,"AAAAAH3qzJc=")</f>
        <v>#VALUE!</v>
      </c>
      <c r="EW145" t="e">
        <f>AND('Planilla_General_07-12-2012_8_3'!G2178,"AAAAAH3qzJg=")</f>
        <v>#VALUE!</v>
      </c>
      <c r="EX145" t="e">
        <f>AND('Planilla_General_07-12-2012_8_3'!H2178,"AAAAAH3qzJk=")</f>
        <v>#VALUE!</v>
      </c>
      <c r="EY145" t="e">
        <f>AND('Planilla_General_07-12-2012_8_3'!I2178,"AAAAAH3qzJo=")</f>
        <v>#VALUE!</v>
      </c>
      <c r="EZ145" t="e">
        <f>AND('Planilla_General_07-12-2012_8_3'!J2178,"AAAAAH3qzJs=")</f>
        <v>#VALUE!</v>
      </c>
      <c r="FA145" t="e">
        <f>AND('Planilla_General_07-12-2012_8_3'!K2178,"AAAAAH3qzJw=")</f>
        <v>#VALUE!</v>
      </c>
      <c r="FB145" t="e">
        <f>AND('Planilla_General_07-12-2012_8_3'!L2178,"AAAAAH3qzJ0=")</f>
        <v>#VALUE!</v>
      </c>
      <c r="FC145" t="e">
        <f>AND('Planilla_General_07-12-2012_8_3'!M2178,"AAAAAH3qzJ4=")</f>
        <v>#VALUE!</v>
      </c>
      <c r="FD145" t="e">
        <f>AND('Planilla_General_07-12-2012_8_3'!N2178,"AAAAAH3qzJ8=")</f>
        <v>#VALUE!</v>
      </c>
      <c r="FE145" t="e">
        <f>AND('Planilla_General_07-12-2012_8_3'!O2178,"AAAAAH3qzKA=")</f>
        <v>#VALUE!</v>
      </c>
      <c r="FF145" t="e">
        <f>AND('Planilla_General_07-12-2012_8_3'!P2178,"AAAAAH3qzKE=")</f>
        <v>#VALUE!</v>
      </c>
      <c r="FG145">
        <f>IF('Planilla_General_07-12-2012_8_3'!2179:2179,"AAAAAH3qzKI=",0)</f>
        <v>0</v>
      </c>
      <c r="FH145" t="e">
        <f>AND('Planilla_General_07-12-2012_8_3'!A2179,"AAAAAH3qzKM=")</f>
        <v>#VALUE!</v>
      </c>
      <c r="FI145" t="e">
        <f>AND('Planilla_General_07-12-2012_8_3'!B2179,"AAAAAH3qzKQ=")</f>
        <v>#VALUE!</v>
      </c>
      <c r="FJ145" t="e">
        <f>AND('Planilla_General_07-12-2012_8_3'!C2179,"AAAAAH3qzKU=")</f>
        <v>#VALUE!</v>
      </c>
      <c r="FK145" t="e">
        <f>AND('Planilla_General_07-12-2012_8_3'!D2179,"AAAAAH3qzKY=")</f>
        <v>#VALUE!</v>
      </c>
      <c r="FL145" t="e">
        <f>AND('Planilla_General_07-12-2012_8_3'!E2179,"AAAAAH3qzKc=")</f>
        <v>#VALUE!</v>
      </c>
      <c r="FM145" t="e">
        <f>AND('Planilla_General_07-12-2012_8_3'!F2179,"AAAAAH3qzKg=")</f>
        <v>#VALUE!</v>
      </c>
      <c r="FN145" t="e">
        <f>AND('Planilla_General_07-12-2012_8_3'!G2179,"AAAAAH3qzKk=")</f>
        <v>#VALUE!</v>
      </c>
      <c r="FO145" t="e">
        <f>AND('Planilla_General_07-12-2012_8_3'!H2179,"AAAAAH3qzKo=")</f>
        <v>#VALUE!</v>
      </c>
      <c r="FP145" t="e">
        <f>AND('Planilla_General_07-12-2012_8_3'!I2179,"AAAAAH3qzKs=")</f>
        <v>#VALUE!</v>
      </c>
      <c r="FQ145" t="e">
        <f>AND('Planilla_General_07-12-2012_8_3'!J2179,"AAAAAH3qzKw=")</f>
        <v>#VALUE!</v>
      </c>
      <c r="FR145" t="e">
        <f>AND('Planilla_General_07-12-2012_8_3'!K2179,"AAAAAH3qzK0=")</f>
        <v>#VALUE!</v>
      </c>
      <c r="FS145" t="e">
        <f>AND('Planilla_General_07-12-2012_8_3'!L2179,"AAAAAH3qzK4=")</f>
        <v>#VALUE!</v>
      </c>
      <c r="FT145" t="e">
        <f>AND('Planilla_General_07-12-2012_8_3'!M2179,"AAAAAH3qzK8=")</f>
        <v>#VALUE!</v>
      </c>
      <c r="FU145" t="e">
        <f>AND('Planilla_General_07-12-2012_8_3'!N2179,"AAAAAH3qzLA=")</f>
        <v>#VALUE!</v>
      </c>
      <c r="FV145" t="e">
        <f>AND('Planilla_General_07-12-2012_8_3'!O2179,"AAAAAH3qzLE=")</f>
        <v>#VALUE!</v>
      </c>
      <c r="FW145" t="e">
        <f>AND('Planilla_General_07-12-2012_8_3'!P2179,"AAAAAH3qzLI=")</f>
        <v>#VALUE!</v>
      </c>
      <c r="FX145">
        <f>IF('Planilla_General_07-12-2012_8_3'!2180:2180,"AAAAAH3qzLM=",0)</f>
        <v>0</v>
      </c>
      <c r="FY145" t="e">
        <f>AND('Planilla_General_07-12-2012_8_3'!A2180,"AAAAAH3qzLQ=")</f>
        <v>#VALUE!</v>
      </c>
      <c r="FZ145" t="e">
        <f>AND('Planilla_General_07-12-2012_8_3'!B2180,"AAAAAH3qzLU=")</f>
        <v>#VALUE!</v>
      </c>
      <c r="GA145" t="e">
        <f>AND('Planilla_General_07-12-2012_8_3'!C2180,"AAAAAH3qzLY=")</f>
        <v>#VALUE!</v>
      </c>
      <c r="GB145" t="e">
        <f>AND('Planilla_General_07-12-2012_8_3'!D2180,"AAAAAH3qzLc=")</f>
        <v>#VALUE!</v>
      </c>
      <c r="GC145" t="e">
        <f>AND('Planilla_General_07-12-2012_8_3'!E2180,"AAAAAH3qzLg=")</f>
        <v>#VALUE!</v>
      </c>
      <c r="GD145" t="e">
        <f>AND('Planilla_General_07-12-2012_8_3'!F2180,"AAAAAH3qzLk=")</f>
        <v>#VALUE!</v>
      </c>
      <c r="GE145" t="e">
        <f>AND('Planilla_General_07-12-2012_8_3'!G2180,"AAAAAH3qzLo=")</f>
        <v>#VALUE!</v>
      </c>
      <c r="GF145" t="e">
        <f>AND('Planilla_General_07-12-2012_8_3'!H2180,"AAAAAH3qzLs=")</f>
        <v>#VALUE!</v>
      </c>
      <c r="GG145" t="e">
        <f>AND('Planilla_General_07-12-2012_8_3'!I2180,"AAAAAH3qzLw=")</f>
        <v>#VALUE!</v>
      </c>
      <c r="GH145" t="e">
        <f>AND('Planilla_General_07-12-2012_8_3'!J2180,"AAAAAH3qzL0=")</f>
        <v>#VALUE!</v>
      </c>
      <c r="GI145" t="e">
        <f>AND('Planilla_General_07-12-2012_8_3'!K2180,"AAAAAH3qzL4=")</f>
        <v>#VALUE!</v>
      </c>
      <c r="GJ145" t="e">
        <f>AND('Planilla_General_07-12-2012_8_3'!L2180,"AAAAAH3qzL8=")</f>
        <v>#VALUE!</v>
      </c>
      <c r="GK145" t="e">
        <f>AND('Planilla_General_07-12-2012_8_3'!M2180,"AAAAAH3qzMA=")</f>
        <v>#VALUE!</v>
      </c>
      <c r="GL145">
        <f>IF('Planilla_General_07-12-2012_8_3'!2181:2181,"AAAAAH3qzME=",0)</f>
        <v>0</v>
      </c>
      <c r="GM145" t="e">
        <f>AND('Planilla_General_07-12-2012_8_3'!A2181,"AAAAAH3qzMI=")</f>
        <v>#VALUE!</v>
      </c>
      <c r="GN145" t="e">
        <f>AND('Planilla_General_07-12-2012_8_3'!B2181,"AAAAAH3qzMM=")</f>
        <v>#VALUE!</v>
      </c>
      <c r="GO145" t="e">
        <f>AND('Planilla_General_07-12-2012_8_3'!C2181,"AAAAAH3qzMQ=")</f>
        <v>#VALUE!</v>
      </c>
      <c r="GP145" t="e">
        <f>AND('Planilla_General_07-12-2012_8_3'!D2181,"AAAAAH3qzMU=")</f>
        <v>#VALUE!</v>
      </c>
      <c r="GQ145" t="e">
        <f>AND('Planilla_General_07-12-2012_8_3'!E2181,"AAAAAH3qzMY=")</f>
        <v>#VALUE!</v>
      </c>
      <c r="GR145" t="e">
        <f>AND('Planilla_General_07-12-2012_8_3'!F2181,"AAAAAH3qzMc=")</f>
        <v>#VALUE!</v>
      </c>
      <c r="GS145" t="e">
        <f>AND('Planilla_General_07-12-2012_8_3'!G2181,"AAAAAH3qzMg=")</f>
        <v>#VALUE!</v>
      </c>
      <c r="GT145" t="e">
        <f>AND('Planilla_General_07-12-2012_8_3'!H2181,"AAAAAH3qzMk=")</f>
        <v>#VALUE!</v>
      </c>
      <c r="GU145" t="e">
        <f>AND('Planilla_General_07-12-2012_8_3'!I2181,"AAAAAH3qzMo=")</f>
        <v>#VALUE!</v>
      </c>
      <c r="GV145" t="e">
        <f>AND('Planilla_General_07-12-2012_8_3'!J2181,"AAAAAH3qzMs=")</f>
        <v>#VALUE!</v>
      </c>
      <c r="GW145" t="e">
        <f>AND('Planilla_General_07-12-2012_8_3'!K2181,"AAAAAH3qzMw=")</f>
        <v>#VALUE!</v>
      </c>
      <c r="GX145" t="e">
        <f>AND('Planilla_General_07-12-2012_8_3'!L2181,"AAAAAH3qzM0=")</f>
        <v>#VALUE!</v>
      </c>
      <c r="GY145" t="e">
        <f>AND('Planilla_General_07-12-2012_8_3'!M2181,"AAAAAH3qzM4=")</f>
        <v>#VALUE!</v>
      </c>
      <c r="GZ145">
        <f>IF('Planilla_General_07-12-2012_8_3'!2182:2182,"AAAAAH3qzM8=",0)</f>
        <v>0</v>
      </c>
      <c r="HA145" t="e">
        <f>AND('Planilla_General_07-12-2012_8_3'!A2182,"AAAAAH3qzNA=")</f>
        <v>#VALUE!</v>
      </c>
      <c r="HB145" t="e">
        <f>AND('Planilla_General_07-12-2012_8_3'!B2182,"AAAAAH3qzNE=")</f>
        <v>#VALUE!</v>
      </c>
      <c r="HC145" t="e">
        <f>AND('Planilla_General_07-12-2012_8_3'!C2182,"AAAAAH3qzNI=")</f>
        <v>#VALUE!</v>
      </c>
      <c r="HD145" t="e">
        <f>AND('Planilla_General_07-12-2012_8_3'!D2182,"AAAAAH3qzNM=")</f>
        <v>#VALUE!</v>
      </c>
      <c r="HE145" t="e">
        <f>AND('Planilla_General_07-12-2012_8_3'!E2182,"AAAAAH3qzNQ=")</f>
        <v>#VALUE!</v>
      </c>
      <c r="HF145" t="e">
        <f>AND('Planilla_General_07-12-2012_8_3'!F2182,"AAAAAH3qzNU=")</f>
        <v>#VALUE!</v>
      </c>
      <c r="HG145" t="e">
        <f>AND('Planilla_General_07-12-2012_8_3'!G2182,"AAAAAH3qzNY=")</f>
        <v>#VALUE!</v>
      </c>
      <c r="HH145" t="e">
        <f>AND('Planilla_General_07-12-2012_8_3'!H2182,"AAAAAH3qzNc=")</f>
        <v>#VALUE!</v>
      </c>
      <c r="HI145" t="e">
        <f>AND('Planilla_General_07-12-2012_8_3'!I2182,"AAAAAH3qzNg=")</f>
        <v>#VALUE!</v>
      </c>
      <c r="HJ145" t="e">
        <f>AND('Planilla_General_07-12-2012_8_3'!J2182,"AAAAAH3qzNk=")</f>
        <v>#VALUE!</v>
      </c>
      <c r="HK145" t="e">
        <f>AND('Planilla_General_07-12-2012_8_3'!K2182,"AAAAAH3qzNo=")</f>
        <v>#VALUE!</v>
      </c>
      <c r="HL145" t="e">
        <f>AND('Planilla_General_07-12-2012_8_3'!L2182,"AAAAAH3qzNs=")</f>
        <v>#VALUE!</v>
      </c>
      <c r="HM145" t="e">
        <f>AND('Planilla_General_07-12-2012_8_3'!M2182,"AAAAAH3qzNw=")</f>
        <v>#VALUE!</v>
      </c>
      <c r="HN145">
        <f>IF('Planilla_General_07-12-2012_8_3'!2183:2183,"AAAAAH3qzN0=",0)</f>
        <v>0</v>
      </c>
      <c r="HO145" t="e">
        <f>AND('Planilla_General_07-12-2012_8_3'!A2183,"AAAAAH3qzN4=")</f>
        <v>#VALUE!</v>
      </c>
      <c r="HP145" t="e">
        <f>AND('Planilla_General_07-12-2012_8_3'!B2183,"AAAAAH3qzN8=")</f>
        <v>#VALUE!</v>
      </c>
      <c r="HQ145" t="e">
        <f>AND('Planilla_General_07-12-2012_8_3'!C2183,"AAAAAH3qzOA=")</f>
        <v>#VALUE!</v>
      </c>
      <c r="HR145" t="e">
        <f>AND('Planilla_General_07-12-2012_8_3'!D2183,"AAAAAH3qzOE=")</f>
        <v>#VALUE!</v>
      </c>
      <c r="HS145" t="e">
        <f>AND('Planilla_General_07-12-2012_8_3'!E2183,"AAAAAH3qzOI=")</f>
        <v>#VALUE!</v>
      </c>
      <c r="HT145" t="e">
        <f>AND('Planilla_General_07-12-2012_8_3'!F2183,"AAAAAH3qzOM=")</f>
        <v>#VALUE!</v>
      </c>
      <c r="HU145" t="e">
        <f>AND('Planilla_General_07-12-2012_8_3'!G2183,"AAAAAH3qzOQ=")</f>
        <v>#VALUE!</v>
      </c>
      <c r="HV145" t="e">
        <f>AND('Planilla_General_07-12-2012_8_3'!H2183,"AAAAAH3qzOU=")</f>
        <v>#VALUE!</v>
      </c>
      <c r="HW145" t="e">
        <f>AND('Planilla_General_07-12-2012_8_3'!I2183,"AAAAAH3qzOY=")</f>
        <v>#VALUE!</v>
      </c>
      <c r="HX145" t="e">
        <f>AND('Planilla_General_07-12-2012_8_3'!J2183,"AAAAAH3qzOc=")</f>
        <v>#VALUE!</v>
      </c>
      <c r="HY145" t="e">
        <f>AND('Planilla_General_07-12-2012_8_3'!K2183,"AAAAAH3qzOg=")</f>
        <v>#VALUE!</v>
      </c>
      <c r="HZ145" t="e">
        <f>AND('Planilla_General_07-12-2012_8_3'!L2183,"AAAAAH3qzOk=")</f>
        <v>#VALUE!</v>
      </c>
      <c r="IA145" t="e">
        <f>AND('Planilla_General_07-12-2012_8_3'!M2183,"AAAAAH3qzOo=")</f>
        <v>#VALUE!</v>
      </c>
      <c r="IB145">
        <f>IF('Planilla_General_07-12-2012_8_3'!2184:2184,"AAAAAH3qzOs=",0)</f>
        <v>0</v>
      </c>
      <c r="IC145" t="e">
        <f>AND('Planilla_General_07-12-2012_8_3'!A2184,"AAAAAH3qzOw=")</f>
        <v>#VALUE!</v>
      </c>
      <c r="ID145" t="e">
        <f>AND('Planilla_General_07-12-2012_8_3'!B2184,"AAAAAH3qzO0=")</f>
        <v>#VALUE!</v>
      </c>
      <c r="IE145" t="e">
        <f>AND('Planilla_General_07-12-2012_8_3'!C2184,"AAAAAH3qzO4=")</f>
        <v>#VALUE!</v>
      </c>
      <c r="IF145" t="e">
        <f>AND('Planilla_General_07-12-2012_8_3'!D2184,"AAAAAH3qzO8=")</f>
        <v>#VALUE!</v>
      </c>
      <c r="IG145" t="e">
        <f>AND('Planilla_General_07-12-2012_8_3'!E2184,"AAAAAH3qzPA=")</f>
        <v>#VALUE!</v>
      </c>
      <c r="IH145" t="e">
        <f>AND('Planilla_General_07-12-2012_8_3'!F2184,"AAAAAH3qzPE=")</f>
        <v>#VALUE!</v>
      </c>
      <c r="II145" t="e">
        <f>AND('Planilla_General_07-12-2012_8_3'!G2184,"AAAAAH3qzPI=")</f>
        <v>#VALUE!</v>
      </c>
      <c r="IJ145" t="e">
        <f>AND('Planilla_General_07-12-2012_8_3'!H2184,"AAAAAH3qzPM=")</f>
        <v>#VALUE!</v>
      </c>
      <c r="IK145" t="e">
        <f>AND('Planilla_General_07-12-2012_8_3'!I2184,"AAAAAH3qzPQ=")</f>
        <v>#VALUE!</v>
      </c>
      <c r="IL145" t="e">
        <f>AND('Planilla_General_07-12-2012_8_3'!J2184,"AAAAAH3qzPU=")</f>
        <v>#VALUE!</v>
      </c>
      <c r="IM145" t="e">
        <f>AND('Planilla_General_07-12-2012_8_3'!K2184,"AAAAAH3qzPY=")</f>
        <v>#VALUE!</v>
      </c>
      <c r="IN145" t="e">
        <f>AND('Planilla_General_07-12-2012_8_3'!L2184,"AAAAAH3qzPc=")</f>
        <v>#VALUE!</v>
      </c>
      <c r="IO145" t="e">
        <f>AND('Planilla_General_07-12-2012_8_3'!M2184,"AAAAAH3qzPg=")</f>
        <v>#VALUE!</v>
      </c>
      <c r="IP145">
        <f>IF('Planilla_General_07-12-2012_8_3'!2185:2185,"AAAAAH3qzPk=",0)</f>
        <v>0</v>
      </c>
      <c r="IQ145" t="e">
        <f>AND('Planilla_General_07-12-2012_8_3'!A2185,"AAAAAH3qzPo=")</f>
        <v>#VALUE!</v>
      </c>
      <c r="IR145" t="e">
        <f>AND('Planilla_General_07-12-2012_8_3'!B2185,"AAAAAH3qzPs=")</f>
        <v>#VALUE!</v>
      </c>
      <c r="IS145" t="e">
        <f>AND('Planilla_General_07-12-2012_8_3'!C2185,"AAAAAH3qzPw=")</f>
        <v>#VALUE!</v>
      </c>
      <c r="IT145" t="e">
        <f>AND('Planilla_General_07-12-2012_8_3'!D2185,"AAAAAH3qzP0=")</f>
        <v>#VALUE!</v>
      </c>
      <c r="IU145" t="e">
        <f>AND('Planilla_General_07-12-2012_8_3'!E2185,"AAAAAH3qzP4=")</f>
        <v>#VALUE!</v>
      </c>
      <c r="IV145" t="e">
        <f>AND('Planilla_General_07-12-2012_8_3'!F2185,"AAAAAH3qzP8=")</f>
        <v>#VALUE!</v>
      </c>
    </row>
    <row r="146" spans="1:256" x14ac:dyDescent="0.25">
      <c r="A146" t="e">
        <f>AND('Planilla_General_07-12-2012_8_3'!G2185,"AAAAAHWz6wA=")</f>
        <v>#VALUE!</v>
      </c>
      <c r="B146" t="e">
        <f>AND('Planilla_General_07-12-2012_8_3'!H2185,"AAAAAHWz6wE=")</f>
        <v>#VALUE!</v>
      </c>
      <c r="C146" t="e">
        <f>AND('Planilla_General_07-12-2012_8_3'!I2185,"AAAAAHWz6wI=")</f>
        <v>#VALUE!</v>
      </c>
      <c r="D146" t="e">
        <f>AND('Planilla_General_07-12-2012_8_3'!J2185,"AAAAAHWz6wM=")</f>
        <v>#VALUE!</v>
      </c>
      <c r="E146" t="e">
        <f>AND('Planilla_General_07-12-2012_8_3'!K2185,"AAAAAHWz6wQ=")</f>
        <v>#VALUE!</v>
      </c>
      <c r="F146" t="e">
        <f>AND('Planilla_General_07-12-2012_8_3'!L2185,"AAAAAHWz6wU=")</f>
        <v>#VALUE!</v>
      </c>
      <c r="G146" t="e">
        <f>AND('Planilla_General_07-12-2012_8_3'!M2185,"AAAAAHWz6wY=")</f>
        <v>#VALUE!</v>
      </c>
      <c r="H146">
        <f>IF('Planilla_General_07-12-2012_8_3'!2186:2186,"AAAAAHWz6wc=",0)</f>
        <v>0</v>
      </c>
      <c r="I146" t="e">
        <f>AND('Planilla_General_07-12-2012_8_3'!A2186,"AAAAAHWz6wg=")</f>
        <v>#VALUE!</v>
      </c>
      <c r="J146" t="e">
        <f>AND('Planilla_General_07-12-2012_8_3'!B2186,"AAAAAHWz6wk=")</f>
        <v>#VALUE!</v>
      </c>
      <c r="K146" t="e">
        <f>AND('Planilla_General_07-12-2012_8_3'!C2186,"AAAAAHWz6wo=")</f>
        <v>#VALUE!</v>
      </c>
      <c r="L146" t="e">
        <f>AND('Planilla_General_07-12-2012_8_3'!D2186,"AAAAAHWz6ws=")</f>
        <v>#VALUE!</v>
      </c>
      <c r="M146" t="e">
        <f>AND('Planilla_General_07-12-2012_8_3'!E2186,"AAAAAHWz6ww=")</f>
        <v>#VALUE!</v>
      </c>
      <c r="N146" t="e">
        <f>AND('Planilla_General_07-12-2012_8_3'!F2186,"AAAAAHWz6w0=")</f>
        <v>#VALUE!</v>
      </c>
      <c r="O146" t="e">
        <f>AND('Planilla_General_07-12-2012_8_3'!G2186,"AAAAAHWz6w4=")</f>
        <v>#VALUE!</v>
      </c>
      <c r="P146" t="e">
        <f>AND('Planilla_General_07-12-2012_8_3'!H2186,"AAAAAHWz6w8=")</f>
        <v>#VALUE!</v>
      </c>
      <c r="Q146" t="e">
        <f>AND('Planilla_General_07-12-2012_8_3'!I2186,"AAAAAHWz6xA=")</f>
        <v>#VALUE!</v>
      </c>
      <c r="R146" t="e">
        <f>AND('Planilla_General_07-12-2012_8_3'!J2186,"AAAAAHWz6xE=")</f>
        <v>#VALUE!</v>
      </c>
      <c r="S146" t="e">
        <f>AND('Planilla_General_07-12-2012_8_3'!K2186,"AAAAAHWz6xI=")</f>
        <v>#VALUE!</v>
      </c>
      <c r="T146" t="e">
        <f>AND('Planilla_General_07-12-2012_8_3'!L2186,"AAAAAHWz6xM=")</f>
        <v>#VALUE!</v>
      </c>
      <c r="U146" t="e">
        <f>AND('Planilla_General_07-12-2012_8_3'!M2186,"AAAAAHWz6xQ=")</f>
        <v>#VALUE!</v>
      </c>
      <c r="V146" t="e">
        <f>IF('Planilla_General_07-12-2012_8_3'!A:A,"AAAAAHWz6xU=",0)</f>
        <v>#VALUE!</v>
      </c>
      <c r="W146" t="e">
        <f>IF('Planilla_General_07-12-2012_8_3'!B:B,"AAAAAHWz6xY=",0)</f>
        <v>#VALUE!</v>
      </c>
      <c r="X146" t="str">
        <f>IF('Planilla_General_07-12-2012_8_3'!C:C,"AAAAAHWz6xc=",0)</f>
        <v>AAAAAHWz6xc=</v>
      </c>
      <c r="Y146" t="e">
        <f>IF('Planilla_General_07-12-2012_8_3'!D:D,"AAAAAHWz6xg=",0)</f>
        <v>#VALUE!</v>
      </c>
      <c r="Z146" t="e">
        <f>IF('Planilla_General_07-12-2012_8_3'!E:E,"AAAAAHWz6xk=",0)</f>
        <v>#VALUE!</v>
      </c>
      <c r="AA146" t="e">
        <f>IF('Planilla_General_07-12-2012_8_3'!F:F,"AAAAAHWz6xo=",0)</f>
        <v>#VALUE!</v>
      </c>
      <c r="AB146" t="e">
        <f>IF('Planilla_General_07-12-2012_8_3'!G:G,"AAAAAHWz6xs=",0)</f>
        <v>#VALUE!</v>
      </c>
      <c r="AC146" t="e">
        <f>IF('Planilla_General_07-12-2012_8_3'!H:H,"AAAAAHWz6xw=",0)</f>
        <v>#VALUE!</v>
      </c>
      <c r="AD146" t="e">
        <f>IF('Planilla_General_07-12-2012_8_3'!I:I,"AAAAAHWz6x0=",0)</f>
        <v>#VALUE!</v>
      </c>
      <c r="AE146" t="e">
        <f>IF('Planilla_General_07-12-2012_8_3'!J:J,"AAAAAHWz6x4=",0)</f>
        <v>#VALUE!</v>
      </c>
      <c r="AF146" t="str">
        <f>IF('Planilla_General_07-12-2012_8_3'!K:K,"AAAAAHWz6x8=",0)</f>
        <v>AAAAAHWz6x8=</v>
      </c>
      <c r="AG146" t="str">
        <f>IF('Planilla_General_07-12-2012_8_3'!L:L,"AAAAAHWz6yA=",0)</f>
        <v>AAAAAHWz6yA=</v>
      </c>
      <c r="AH146" t="str">
        <f>IF('Planilla_General_07-12-2012_8_3'!M:M,"AAAAAHWz6yE=",0)</f>
        <v>AAAAAHWz6yE=</v>
      </c>
      <c r="AI146" t="str">
        <f>IF('Planilla_General_07-12-2012_8_3'!N:N,"AAAAAHWz6yI=",0)</f>
        <v>AAAAAHWz6yI=</v>
      </c>
      <c r="AJ146" t="str">
        <f>IF('Planilla_General_07-12-2012_8_3'!O:O,"AAAAAHWz6yM=",0)</f>
        <v>AAAAAHWz6yM=</v>
      </c>
      <c r="AK146">
        <f>IF('Planilla_General_07-12-2012_8_3'!P:P,"AAAAAHWz6yQ=",0)</f>
        <v>0</v>
      </c>
      <c r="AL146">
        <f>IF('Eventos en ensayos por ID'!1:1,"AAAAAHWz6yU=",0)</f>
        <v>0</v>
      </c>
      <c r="AM146" t="e">
        <f>AND('Eventos en ensayos por ID'!A1,"AAAAAHWz6yY=")</f>
        <v>#VALUE!</v>
      </c>
      <c r="AN146" t="e">
        <f>AND('Eventos en ensayos por ID'!B1,"AAAAAHWz6yc=")</f>
        <v>#VALUE!</v>
      </c>
      <c r="AO146" t="e">
        <f>AND('Eventos en ensayos por ID'!C1,"AAAAAHWz6yg=")</f>
        <v>#VALUE!</v>
      </c>
      <c r="AP146" t="e">
        <f>AND('Eventos en ensayos por ID'!D1,"AAAAAHWz6yk=")</f>
        <v>#VALUE!</v>
      </c>
      <c r="AQ146" t="e">
        <f>AND('Eventos en ensayos por ID'!E1,"AAAAAHWz6yo=")</f>
        <v>#VALUE!</v>
      </c>
      <c r="AR146" t="e">
        <f>AND('Eventos en ensayos por ID'!F1,"AAAAAHWz6ys=")</f>
        <v>#VALUE!</v>
      </c>
      <c r="AS146" t="e">
        <f>AND('Eventos en ensayos por ID'!G1,"AAAAAHWz6yw=")</f>
        <v>#VALUE!</v>
      </c>
      <c r="AT146">
        <f>IF('Eventos en ensayos por ID'!2:2,"AAAAAHWz6y0=",0)</f>
        <v>0</v>
      </c>
      <c r="AU146" t="e">
        <f>AND('Eventos en ensayos por ID'!A2,"AAAAAHWz6y4=")</f>
        <v>#VALUE!</v>
      </c>
      <c r="AV146" t="e">
        <f>AND('Eventos en ensayos por ID'!B2,"AAAAAHWz6y8=")</f>
        <v>#VALUE!</v>
      </c>
      <c r="AW146" t="e">
        <f>AND('Eventos en ensayos por ID'!C2,"AAAAAHWz6zA=")</f>
        <v>#VALUE!</v>
      </c>
      <c r="AX146" t="e">
        <f>AND('Eventos en ensayos por ID'!D2,"AAAAAHWz6zE=")</f>
        <v>#VALUE!</v>
      </c>
      <c r="AY146" t="e">
        <f>AND('Eventos en ensayos por ID'!E2,"AAAAAHWz6zI=")</f>
        <v>#VALUE!</v>
      </c>
      <c r="AZ146" t="e">
        <f>AND('Eventos en ensayos por ID'!F2,"AAAAAHWz6zM=")</f>
        <v>#VALUE!</v>
      </c>
      <c r="BA146" t="e">
        <f>AND('Eventos en ensayos por ID'!G2,"AAAAAHWz6zQ=")</f>
        <v>#VALUE!</v>
      </c>
      <c r="BB146">
        <f>IF('Eventos en ensayos por ID'!3:3,"AAAAAHWz6zU=",0)</f>
        <v>0</v>
      </c>
      <c r="BC146" t="e">
        <f>AND('Eventos en ensayos por ID'!A3,"AAAAAHWz6zY=")</f>
        <v>#VALUE!</v>
      </c>
      <c r="BD146" t="e">
        <f>AND('Eventos en ensayos por ID'!B3,"AAAAAHWz6zc=")</f>
        <v>#VALUE!</v>
      </c>
      <c r="BE146" t="e">
        <f>AND('Eventos en ensayos por ID'!C3,"AAAAAHWz6zg=")</f>
        <v>#VALUE!</v>
      </c>
      <c r="BF146" t="e">
        <f>AND('Eventos en ensayos por ID'!D3,"AAAAAHWz6zk=")</f>
        <v>#VALUE!</v>
      </c>
      <c r="BG146" t="e">
        <f>AND('Eventos en ensayos por ID'!E3,"AAAAAHWz6zo=")</f>
        <v>#VALUE!</v>
      </c>
      <c r="BH146" t="e">
        <f>AND('Eventos en ensayos por ID'!F3,"AAAAAHWz6zs=")</f>
        <v>#VALUE!</v>
      </c>
      <c r="BI146" t="e">
        <f>AND('Eventos en ensayos por ID'!G3,"AAAAAHWz6zw=")</f>
        <v>#VALUE!</v>
      </c>
      <c r="BJ146">
        <f>IF('Eventos en ensayos por ID'!4:4,"AAAAAHWz6z0=",0)</f>
        <v>0</v>
      </c>
      <c r="BK146" t="e">
        <f>AND('Eventos en ensayos por ID'!A4,"AAAAAHWz6z4=")</f>
        <v>#VALUE!</v>
      </c>
      <c r="BL146" t="e">
        <f>AND('Eventos en ensayos por ID'!B4,"AAAAAHWz6z8=")</f>
        <v>#VALUE!</v>
      </c>
      <c r="BM146" t="e">
        <f>AND('Eventos en ensayos por ID'!C4,"AAAAAHWz60A=")</f>
        <v>#VALUE!</v>
      </c>
      <c r="BN146" t="e">
        <f>AND('Eventos en ensayos por ID'!D4,"AAAAAHWz60E=")</f>
        <v>#VALUE!</v>
      </c>
      <c r="BO146" t="e">
        <f>AND('Eventos en ensayos por ID'!E4,"AAAAAHWz60I=")</f>
        <v>#VALUE!</v>
      </c>
      <c r="BP146" t="e">
        <f>AND('Eventos en ensayos por ID'!F4,"AAAAAHWz60M=")</f>
        <v>#VALUE!</v>
      </c>
      <c r="BQ146" t="e">
        <f>AND('Eventos en ensayos por ID'!G4,"AAAAAHWz60Q=")</f>
        <v>#VALUE!</v>
      </c>
      <c r="BR146">
        <f>IF('Eventos en ensayos por ID'!5:5,"AAAAAHWz60U=",0)</f>
        <v>0</v>
      </c>
      <c r="BS146" t="e">
        <f>AND('Eventos en ensayos por ID'!A5,"AAAAAHWz60Y=")</f>
        <v>#VALUE!</v>
      </c>
      <c r="BT146" t="e">
        <f>AND('Eventos en ensayos por ID'!B5,"AAAAAHWz60c=")</f>
        <v>#VALUE!</v>
      </c>
      <c r="BU146" t="e">
        <f>AND('Eventos en ensayos por ID'!C5,"AAAAAHWz60g=")</f>
        <v>#VALUE!</v>
      </c>
      <c r="BV146" t="e">
        <f>AND('Eventos en ensayos por ID'!D5,"AAAAAHWz60k=")</f>
        <v>#VALUE!</v>
      </c>
      <c r="BW146" t="e">
        <f>AND('Eventos en ensayos por ID'!E5,"AAAAAHWz60o=")</f>
        <v>#VALUE!</v>
      </c>
      <c r="BX146" t="e">
        <f>AND('Eventos en ensayos por ID'!F5,"AAAAAHWz60s=")</f>
        <v>#VALUE!</v>
      </c>
      <c r="BY146" t="e">
        <f>AND('Eventos en ensayos por ID'!G5,"AAAAAHWz60w=")</f>
        <v>#VALUE!</v>
      </c>
      <c r="BZ146">
        <f>IF('Eventos en ensayos por ID'!6:6,"AAAAAHWz600=",0)</f>
        <v>0</v>
      </c>
      <c r="CA146" t="e">
        <f>AND('Eventos en ensayos por ID'!A6,"AAAAAHWz604=")</f>
        <v>#VALUE!</v>
      </c>
      <c r="CB146" t="e">
        <f>AND('Eventos en ensayos por ID'!B6,"AAAAAHWz608=")</f>
        <v>#VALUE!</v>
      </c>
      <c r="CC146" t="e">
        <f>AND('Eventos en ensayos por ID'!C6,"AAAAAHWz61A=")</f>
        <v>#VALUE!</v>
      </c>
      <c r="CD146" t="e">
        <f>AND('Eventos en ensayos por ID'!D6,"AAAAAHWz61E=")</f>
        <v>#VALUE!</v>
      </c>
      <c r="CE146" t="e">
        <f>AND('Eventos en ensayos por ID'!E6,"AAAAAHWz61I=")</f>
        <v>#VALUE!</v>
      </c>
      <c r="CF146" t="e">
        <f>AND('Eventos en ensayos por ID'!F6,"AAAAAHWz61M=")</f>
        <v>#VALUE!</v>
      </c>
      <c r="CG146" t="e">
        <f>AND('Eventos en ensayos por ID'!G6,"AAAAAHWz61Q=")</f>
        <v>#VALUE!</v>
      </c>
      <c r="CH146">
        <f>IF('Eventos en ensayos por ID'!7:7,"AAAAAHWz61U=",0)</f>
        <v>0</v>
      </c>
      <c r="CI146" t="e">
        <f>AND('Eventos en ensayos por ID'!A7,"AAAAAHWz61Y=")</f>
        <v>#VALUE!</v>
      </c>
      <c r="CJ146" t="e">
        <f>AND('Eventos en ensayos por ID'!B7,"AAAAAHWz61c=")</f>
        <v>#VALUE!</v>
      </c>
      <c r="CK146" t="e">
        <f>AND('Eventos en ensayos por ID'!C7,"AAAAAHWz61g=")</f>
        <v>#VALUE!</v>
      </c>
      <c r="CL146" t="e">
        <f>AND('Eventos en ensayos por ID'!D7,"AAAAAHWz61k=")</f>
        <v>#VALUE!</v>
      </c>
      <c r="CM146" t="e">
        <f>AND('Eventos en ensayos por ID'!E7,"AAAAAHWz61o=")</f>
        <v>#VALUE!</v>
      </c>
      <c r="CN146" t="e">
        <f>AND('Eventos en ensayos por ID'!F7,"AAAAAHWz61s=")</f>
        <v>#VALUE!</v>
      </c>
      <c r="CO146" t="e">
        <f>AND('Eventos en ensayos por ID'!G7,"AAAAAHWz61w=")</f>
        <v>#VALUE!</v>
      </c>
      <c r="CP146">
        <f>IF('Eventos en ensayos por ID'!8:8,"AAAAAHWz610=",0)</f>
        <v>0</v>
      </c>
      <c r="CQ146" t="e">
        <f>AND('Eventos en ensayos por ID'!A8,"AAAAAHWz614=")</f>
        <v>#VALUE!</v>
      </c>
      <c r="CR146" t="e">
        <f>AND('Eventos en ensayos por ID'!B8,"AAAAAHWz618=")</f>
        <v>#VALUE!</v>
      </c>
      <c r="CS146" t="e">
        <f>AND('Eventos en ensayos por ID'!C8,"AAAAAHWz62A=")</f>
        <v>#VALUE!</v>
      </c>
      <c r="CT146" t="e">
        <f>AND('Eventos en ensayos por ID'!D8,"AAAAAHWz62E=")</f>
        <v>#VALUE!</v>
      </c>
      <c r="CU146" t="e">
        <f>AND('Eventos en ensayos por ID'!E8,"AAAAAHWz62I=")</f>
        <v>#VALUE!</v>
      </c>
      <c r="CV146" t="e">
        <f>AND('Eventos en ensayos por ID'!F8,"AAAAAHWz62M=")</f>
        <v>#VALUE!</v>
      </c>
      <c r="CW146" t="e">
        <f>AND('Eventos en ensayos por ID'!G8,"AAAAAHWz62Q=")</f>
        <v>#VALUE!</v>
      </c>
      <c r="CX146">
        <f>IF('Eventos en ensayos por ID'!9:9,"AAAAAHWz62U=",0)</f>
        <v>0</v>
      </c>
      <c r="CY146" t="e">
        <f>AND('Eventos en ensayos por ID'!A9,"AAAAAHWz62Y=")</f>
        <v>#VALUE!</v>
      </c>
      <c r="CZ146" t="e">
        <f>AND('Eventos en ensayos por ID'!B9,"AAAAAHWz62c=")</f>
        <v>#VALUE!</v>
      </c>
      <c r="DA146" t="e">
        <f>AND('Eventos en ensayos por ID'!C9,"AAAAAHWz62g=")</f>
        <v>#VALUE!</v>
      </c>
      <c r="DB146" t="e">
        <f>AND('Eventos en ensayos por ID'!D9,"AAAAAHWz62k=")</f>
        <v>#VALUE!</v>
      </c>
      <c r="DC146" t="e">
        <f>AND('Eventos en ensayos por ID'!E9,"AAAAAHWz62o=")</f>
        <v>#VALUE!</v>
      </c>
      <c r="DD146" t="e">
        <f>AND('Eventos en ensayos por ID'!F9,"AAAAAHWz62s=")</f>
        <v>#VALUE!</v>
      </c>
      <c r="DE146" t="e">
        <f>AND('Eventos en ensayos por ID'!G9,"AAAAAHWz62w=")</f>
        <v>#VALUE!</v>
      </c>
      <c r="DF146">
        <f>IF('Eventos en ensayos por ID'!10:10,"AAAAAHWz620=",0)</f>
        <v>0</v>
      </c>
      <c r="DG146" t="e">
        <f>AND('Eventos en ensayos por ID'!A10,"AAAAAHWz624=")</f>
        <v>#VALUE!</v>
      </c>
      <c r="DH146" t="e">
        <f>AND('Eventos en ensayos por ID'!B10,"AAAAAHWz628=")</f>
        <v>#VALUE!</v>
      </c>
      <c r="DI146" t="e">
        <f>AND('Eventos en ensayos por ID'!C10,"AAAAAHWz63A=")</f>
        <v>#VALUE!</v>
      </c>
      <c r="DJ146" t="e">
        <f>AND('Eventos en ensayos por ID'!D10,"AAAAAHWz63E=")</f>
        <v>#VALUE!</v>
      </c>
      <c r="DK146" t="e">
        <f>AND('Eventos en ensayos por ID'!E10,"AAAAAHWz63I=")</f>
        <v>#VALUE!</v>
      </c>
      <c r="DL146" t="e">
        <f>AND('Eventos en ensayos por ID'!F10,"AAAAAHWz63M=")</f>
        <v>#VALUE!</v>
      </c>
      <c r="DM146" t="e">
        <f>AND('Eventos en ensayos por ID'!G10,"AAAAAHWz63Q=")</f>
        <v>#VALUE!</v>
      </c>
      <c r="DN146">
        <f>IF('Eventos en ensayos por ID'!11:11,"AAAAAHWz63U=",0)</f>
        <v>0</v>
      </c>
      <c r="DO146" t="e">
        <f>AND('Eventos en ensayos por ID'!A11,"AAAAAHWz63Y=")</f>
        <v>#VALUE!</v>
      </c>
      <c r="DP146" t="e">
        <f>AND('Eventos en ensayos por ID'!B11,"AAAAAHWz63c=")</f>
        <v>#VALUE!</v>
      </c>
      <c r="DQ146" t="e">
        <f>AND('Eventos en ensayos por ID'!C11,"AAAAAHWz63g=")</f>
        <v>#VALUE!</v>
      </c>
      <c r="DR146" t="e">
        <f>AND('Eventos en ensayos por ID'!D11,"AAAAAHWz63k=")</f>
        <v>#VALUE!</v>
      </c>
      <c r="DS146" t="e">
        <f>AND('Eventos en ensayos por ID'!E11,"AAAAAHWz63o=")</f>
        <v>#VALUE!</v>
      </c>
      <c r="DT146" t="e">
        <f>AND('Eventos en ensayos por ID'!F11,"AAAAAHWz63s=")</f>
        <v>#VALUE!</v>
      </c>
      <c r="DU146" t="e">
        <f>AND('Eventos en ensayos por ID'!G11,"AAAAAHWz63w=")</f>
        <v>#VALUE!</v>
      </c>
      <c r="DV146">
        <f>IF('Eventos en ensayos por ID'!12:12,"AAAAAHWz630=",0)</f>
        <v>0</v>
      </c>
      <c r="DW146" t="e">
        <f>AND('Eventos en ensayos por ID'!A12,"AAAAAHWz634=")</f>
        <v>#VALUE!</v>
      </c>
      <c r="DX146" t="e">
        <f>AND('Eventos en ensayos por ID'!B12,"AAAAAHWz638=")</f>
        <v>#VALUE!</v>
      </c>
      <c r="DY146" t="e">
        <f>AND('Eventos en ensayos por ID'!C12,"AAAAAHWz64A=")</f>
        <v>#VALUE!</v>
      </c>
      <c r="DZ146" t="e">
        <f>AND('Eventos en ensayos por ID'!D12,"AAAAAHWz64E=")</f>
        <v>#VALUE!</v>
      </c>
      <c r="EA146" t="e">
        <f>AND('Eventos en ensayos por ID'!E12,"AAAAAHWz64I=")</f>
        <v>#VALUE!</v>
      </c>
      <c r="EB146" t="e">
        <f>AND('Eventos en ensayos por ID'!F12,"AAAAAHWz64M=")</f>
        <v>#VALUE!</v>
      </c>
      <c r="EC146" t="e">
        <f>AND('Eventos en ensayos por ID'!G12,"AAAAAHWz64Q=")</f>
        <v>#VALUE!</v>
      </c>
      <c r="ED146">
        <f>IF('Eventos en ensayos por ID'!13:13,"AAAAAHWz64U=",0)</f>
        <v>0</v>
      </c>
      <c r="EE146" t="e">
        <f>AND('Eventos en ensayos por ID'!A13,"AAAAAHWz64Y=")</f>
        <v>#VALUE!</v>
      </c>
      <c r="EF146" t="e">
        <f>AND('Eventos en ensayos por ID'!B13,"AAAAAHWz64c=")</f>
        <v>#VALUE!</v>
      </c>
      <c r="EG146" t="e">
        <f>AND('Eventos en ensayos por ID'!C13,"AAAAAHWz64g=")</f>
        <v>#VALUE!</v>
      </c>
      <c r="EH146" t="e">
        <f>AND('Eventos en ensayos por ID'!D13,"AAAAAHWz64k=")</f>
        <v>#VALUE!</v>
      </c>
      <c r="EI146" t="e">
        <f>AND('Eventos en ensayos por ID'!E13,"AAAAAHWz64o=")</f>
        <v>#VALUE!</v>
      </c>
      <c r="EJ146" t="e">
        <f>AND('Eventos en ensayos por ID'!F13,"AAAAAHWz64s=")</f>
        <v>#VALUE!</v>
      </c>
      <c r="EK146" t="e">
        <f>AND('Eventos en ensayos por ID'!G13,"AAAAAHWz64w=")</f>
        <v>#VALUE!</v>
      </c>
      <c r="EL146">
        <f>IF('Eventos en ensayos por ID'!14:14,"AAAAAHWz640=",0)</f>
        <v>0</v>
      </c>
      <c r="EM146" t="e">
        <f>AND('Eventos en ensayos por ID'!A14,"AAAAAHWz644=")</f>
        <v>#VALUE!</v>
      </c>
      <c r="EN146" t="e">
        <f>AND('Eventos en ensayos por ID'!B14,"AAAAAHWz648=")</f>
        <v>#VALUE!</v>
      </c>
      <c r="EO146" t="e">
        <f>AND('Eventos en ensayos por ID'!C14,"AAAAAHWz65A=")</f>
        <v>#VALUE!</v>
      </c>
      <c r="EP146" t="e">
        <f>AND('Eventos en ensayos por ID'!D14,"AAAAAHWz65E=")</f>
        <v>#VALUE!</v>
      </c>
      <c r="EQ146" t="e">
        <f>AND('Eventos en ensayos por ID'!E14,"AAAAAHWz65I=")</f>
        <v>#VALUE!</v>
      </c>
      <c r="ER146" t="e">
        <f>AND('Eventos en ensayos por ID'!F14,"AAAAAHWz65M=")</f>
        <v>#VALUE!</v>
      </c>
      <c r="ES146" t="e">
        <f>AND('Eventos en ensayos por ID'!G14,"AAAAAHWz65Q=")</f>
        <v>#VALUE!</v>
      </c>
      <c r="ET146">
        <f>IF('Eventos en ensayos por ID'!15:15,"AAAAAHWz65U=",0)</f>
        <v>0</v>
      </c>
      <c r="EU146" t="e">
        <f>AND('Eventos en ensayos por ID'!A15,"AAAAAHWz65Y=")</f>
        <v>#VALUE!</v>
      </c>
      <c r="EV146" t="e">
        <f>AND('Eventos en ensayos por ID'!B15,"AAAAAHWz65c=")</f>
        <v>#VALUE!</v>
      </c>
      <c r="EW146" t="e">
        <f>AND('Eventos en ensayos por ID'!C15,"AAAAAHWz65g=")</f>
        <v>#VALUE!</v>
      </c>
      <c r="EX146" t="e">
        <f>AND('Eventos en ensayos por ID'!D15,"AAAAAHWz65k=")</f>
        <v>#VALUE!</v>
      </c>
      <c r="EY146" t="e">
        <f>AND('Eventos en ensayos por ID'!E15,"AAAAAHWz65o=")</f>
        <v>#VALUE!</v>
      </c>
      <c r="EZ146" t="e">
        <f>AND('Eventos en ensayos por ID'!F15,"AAAAAHWz65s=")</f>
        <v>#VALUE!</v>
      </c>
      <c r="FA146" t="e">
        <f>AND('Eventos en ensayos por ID'!G15,"AAAAAHWz65w=")</f>
        <v>#VALUE!</v>
      </c>
      <c r="FB146">
        <f>IF('Eventos en ensayos por ID'!16:16,"AAAAAHWz650=",0)</f>
        <v>0</v>
      </c>
      <c r="FC146" t="e">
        <f>AND('Eventos en ensayos por ID'!A16,"AAAAAHWz654=")</f>
        <v>#VALUE!</v>
      </c>
      <c r="FD146" t="e">
        <f>AND('Eventos en ensayos por ID'!B16,"AAAAAHWz658=")</f>
        <v>#VALUE!</v>
      </c>
      <c r="FE146" t="e">
        <f>AND('Eventos en ensayos por ID'!C16,"AAAAAHWz66A=")</f>
        <v>#VALUE!</v>
      </c>
      <c r="FF146" t="e">
        <f>AND('Eventos en ensayos por ID'!D16,"AAAAAHWz66E=")</f>
        <v>#VALUE!</v>
      </c>
      <c r="FG146" t="e">
        <f>AND('Eventos en ensayos por ID'!E16,"AAAAAHWz66I=")</f>
        <v>#VALUE!</v>
      </c>
      <c r="FH146" t="e">
        <f>AND('Eventos en ensayos por ID'!F16,"AAAAAHWz66M=")</f>
        <v>#VALUE!</v>
      </c>
      <c r="FI146" t="e">
        <f>AND('Eventos en ensayos por ID'!G16,"AAAAAHWz66Q=")</f>
        <v>#VALUE!</v>
      </c>
      <c r="FJ146">
        <f>IF('Eventos en ensayos por ID'!17:17,"AAAAAHWz66U=",0)</f>
        <v>0</v>
      </c>
      <c r="FK146" t="e">
        <f>AND('Eventos en ensayos por ID'!A17,"AAAAAHWz66Y=")</f>
        <v>#VALUE!</v>
      </c>
      <c r="FL146" t="e">
        <f>AND('Eventos en ensayos por ID'!B17,"AAAAAHWz66c=")</f>
        <v>#VALUE!</v>
      </c>
      <c r="FM146" t="e">
        <f>AND('Eventos en ensayos por ID'!C17,"AAAAAHWz66g=")</f>
        <v>#VALUE!</v>
      </c>
      <c r="FN146" t="e">
        <f>AND('Eventos en ensayos por ID'!D17,"AAAAAHWz66k=")</f>
        <v>#VALUE!</v>
      </c>
      <c r="FO146" t="e">
        <f>AND('Eventos en ensayos por ID'!E17,"AAAAAHWz66o=")</f>
        <v>#VALUE!</v>
      </c>
      <c r="FP146" t="e">
        <f>AND('Eventos en ensayos por ID'!F17,"AAAAAHWz66s=")</f>
        <v>#VALUE!</v>
      </c>
      <c r="FQ146" t="e">
        <f>AND('Eventos en ensayos por ID'!G17,"AAAAAHWz66w=")</f>
        <v>#VALUE!</v>
      </c>
      <c r="FR146">
        <f>IF('Eventos en ensayos por ID'!18:18,"AAAAAHWz660=",0)</f>
        <v>0</v>
      </c>
      <c r="FS146" t="e">
        <f>AND('Eventos en ensayos por ID'!A18,"AAAAAHWz664=")</f>
        <v>#VALUE!</v>
      </c>
      <c r="FT146" t="e">
        <f>AND('Eventos en ensayos por ID'!B18,"AAAAAHWz668=")</f>
        <v>#VALUE!</v>
      </c>
      <c r="FU146" t="e">
        <f>AND('Eventos en ensayos por ID'!C18,"AAAAAHWz67A=")</f>
        <v>#VALUE!</v>
      </c>
      <c r="FV146" t="e">
        <f>AND('Eventos en ensayos por ID'!D18,"AAAAAHWz67E=")</f>
        <v>#VALUE!</v>
      </c>
      <c r="FW146" t="e">
        <f>AND('Eventos en ensayos por ID'!E18,"AAAAAHWz67I=")</f>
        <v>#VALUE!</v>
      </c>
      <c r="FX146" t="e">
        <f>AND('Eventos en ensayos por ID'!F18,"AAAAAHWz67M=")</f>
        <v>#VALUE!</v>
      </c>
      <c r="FY146" t="e">
        <f>AND('Eventos en ensayos por ID'!G18,"AAAAAHWz67Q=")</f>
        <v>#VALUE!</v>
      </c>
      <c r="FZ146">
        <f>IF('Eventos en ensayos por ID'!19:19,"AAAAAHWz67U=",0)</f>
        <v>0</v>
      </c>
      <c r="GA146" t="e">
        <f>AND('Eventos en ensayos por ID'!A19,"AAAAAHWz67Y=")</f>
        <v>#VALUE!</v>
      </c>
      <c r="GB146" t="e">
        <f>AND('Eventos en ensayos por ID'!B19,"AAAAAHWz67c=")</f>
        <v>#VALUE!</v>
      </c>
      <c r="GC146" t="e">
        <f>AND('Eventos en ensayos por ID'!C19,"AAAAAHWz67g=")</f>
        <v>#VALUE!</v>
      </c>
      <c r="GD146" t="e">
        <f>AND('Eventos en ensayos por ID'!D19,"AAAAAHWz67k=")</f>
        <v>#VALUE!</v>
      </c>
      <c r="GE146" t="e">
        <f>AND('Eventos en ensayos por ID'!E19,"AAAAAHWz67o=")</f>
        <v>#VALUE!</v>
      </c>
      <c r="GF146" t="e">
        <f>AND('Eventos en ensayos por ID'!F19,"AAAAAHWz67s=")</f>
        <v>#VALUE!</v>
      </c>
      <c r="GG146" t="e">
        <f>AND('Eventos en ensayos por ID'!G19,"AAAAAHWz67w=")</f>
        <v>#VALUE!</v>
      </c>
      <c r="GH146">
        <f>IF('Eventos en ensayos por ID'!20:20,"AAAAAHWz670=",0)</f>
        <v>0</v>
      </c>
      <c r="GI146" t="e">
        <f>AND('Eventos en ensayos por ID'!A20,"AAAAAHWz674=")</f>
        <v>#VALUE!</v>
      </c>
      <c r="GJ146" t="e">
        <f>AND('Eventos en ensayos por ID'!B20,"AAAAAHWz678=")</f>
        <v>#VALUE!</v>
      </c>
      <c r="GK146" t="e">
        <f>AND('Eventos en ensayos por ID'!C20,"AAAAAHWz68A=")</f>
        <v>#VALUE!</v>
      </c>
      <c r="GL146" t="e">
        <f>AND('Eventos en ensayos por ID'!D20,"AAAAAHWz68E=")</f>
        <v>#VALUE!</v>
      </c>
      <c r="GM146" t="e">
        <f>AND('Eventos en ensayos por ID'!E20,"AAAAAHWz68I=")</f>
        <v>#VALUE!</v>
      </c>
      <c r="GN146" t="e">
        <f>AND('Eventos en ensayos por ID'!F20,"AAAAAHWz68M=")</f>
        <v>#VALUE!</v>
      </c>
      <c r="GO146" t="e">
        <f>AND('Eventos en ensayos por ID'!G20,"AAAAAHWz68Q=")</f>
        <v>#VALUE!</v>
      </c>
      <c r="GP146">
        <f>IF('Eventos en ensayos por ID'!21:21,"AAAAAHWz68U=",0)</f>
        <v>0</v>
      </c>
      <c r="GQ146" t="e">
        <f>AND('Eventos en ensayos por ID'!A21,"AAAAAHWz68Y=")</f>
        <v>#VALUE!</v>
      </c>
      <c r="GR146" t="e">
        <f>AND('Eventos en ensayos por ID'!B21,"AAAAAHWz68c=")</f>
        <v>#VALUE!</v>
      </c>
      <c r="GS146" t="e">
        <f>AND('Eventos en ensayos por ID'!C21,"AAAAAHWz68g=")</f>
        <v>#VALUE!</v>
      </c>
      <c r="GT146" t="e">
        <f>AND('Eventos en ensayos por ID'!D21,"AAAAAHWz68k=")</f>
        <v>#VALUE!</v>
      </c>
      <c r="GU146" t="e">
        <f>AND('Eventos en ensayos por ID'!E21,"AAAAAHWz68o=")</f>
        <v>#VALUE!</v>
      </c>
      <c r="GV146" t="e">
        <f>AND('Eventos en ensayos por ID'!F21,"AAAAAHWz68s=")</f>
        <v>#VALUE!</v>
      </c>
      <c r="GW146" t="e">
        <f>AND('Eventos en ensayos por ID'!G21,"AAAAAHWz68w=")</f>
        <v>#VALUE!</v>
      </c>
      <c r="GX146">
        <f>IF('Eventos en ensayos por ID'!22:22,"AAAAAHWz680=",0)</f>
        <v>0</v>
      </c>
      <c r="GY146" t="e">
        <f>AND('Eventos en ensayos por ID'!A22,"AAAAAHWz684=")</f>
        <v>#VALUE!</v>
      </c>
      <c r="GZ146" t="e">
        <f>AND('Eventos en ensayos por ID'!B22,"AAAAAHWz688=")</f>
        <v>#VALUE!</v>
      </c>
      <c r="HA146" t="e">
        <f>AND('Eventos en ensayos por ID'!C22,"AAAAAHWz69A=")</f>
        <v>#VALUE!</v>
      </c>
      <c r="HB146" t="e">
        <f>AND('Eventos en ensayos por ID'!D22,"AAAAAHWz69E=")</f>
        <v>#VALUE!</v>
      </c>
      <c r="HC146" t="e">
        <f>AND('Eventos en ensayos por ID'!E22,"AAAAAHWz69I=")</f>
        <v>#VALUE!</v>
      </c>
      <c r="HD146" t="e">
        <f>AND('Eventos en ensayos por ID'!F22,"AAAAAHWz69M=")</f>
        <v>#VALUE!</v>
      </c>
      <c r="HE146" t="e">
        <f>AND('Eventos en ensayos por ID'!G22,"AAAAAHWz69Q=")</f>
        <v>#VALUE!</v>
      </c>
      <c r="HF146">
        <f>IF('Eventos en ensayos por ID'!23:23,"AAAAAHWz69U=",0)</f>
        <v>0</v>
      </c>
      <c r="HG146" t="e">
        <f>AND('Eventos en ensayos por ID'!A23,"AAAAAHWz69Y=")</f>
        <v>#VALUE!</v>
      </c>
      <c r="HH146" t="e">
        <f>AND('Eventos en ensayos por ID'!B23,"AAAAAHWz69c=")</f>
        <v>#VALUE!</v>
      </c>
      <c r="HI146" t="e">
        <f>AND('Eventos en ensayos por ID'!C23,"AAAAAHWz69g=")</f>
        <v>#VALUE!</v>
      </c>
      <c r="HJ146" t="e">
        <f>AND('Eventos en ensayos por ID'!D23,"AAAAAHWz69k=")</f>
        <v>#VALUE!</v>
      </c>
      <c r="HK146" t="e">
        <f>AND('Eventos en ensayos por ID'!E23,"AAAAAHWz69o=")</f>
        <v>#VALUE!</v>
      </c>
      <c r="HL146" t="e">
        <f>AND('Eventos en ensayos por ID'!F23,"AAAAAHWz69s=")</f>
        <v>#VALUE!</v>
      </c>
      <c r="HM146" t="e">
        <f>AND('Eventos en ensayos por ID'!G23,"AAAAAHWz69w=")</f>
        <v>#VALUE!</v>
      </c>
      <c r="HN146">
        <f>IF('Eventos en ensayos por ID'!24:24,"AAAAAHWz690=",0)</f>
        <v>0</v>
      </c>
      <c r="HO146" t="e">
        <f>AND('Eventos en ensayos por ID'!A24,"AAAAAHWz694=")</f>
        <v>#VALUE!</v>
      </c>
      <c r="HP146" t="e">
        <f>AND('Eventos en ensayos por ID'!B24,"AAAAAHWz698=")</f>
        <v>#VALUE!</v>
      </c>
      <c r="HQ146" t="e">
        <f>AND('Eventos en ensayos por ID'!C24,"AAAAAHWz6+A=")</f>
        <v>#VALUE!</v>
      </c>
      <c r="HR146" t="e">
        <f>AND('Eventos en ensayos por ID'!D24,"AAAAAHWz6+E=")</f>
        <v>#VALUE!</v>
      </c>
      <c r="HS146" t="e">
        <f>AND('Eventos en ensayos por ID'!E24,"AAAAAHWz6+I=")</f>
        <v>#VALUE!</v>
      </c>
      <c r="HT146" t="e">
        <f>AND('Eventos en ensayos por ID'!F24,"AAAAAHWz6+M=")</f>
        <v>#VALUE!</v>
      </c>
      <c r="HU146" t="e">
        <f>AND('Eventos en ensayos por ID'!G24,"AAAAAHWz6+Q=")</f>
        <v>#VALUE!</v>
      </c>
      <c r="HV146">
        <f>IF('Eventos en ensayos por ID'!25:25,"AAAAAHWz6+U=",0)</f>
        <v>0</v>
      </c>
      <c r="HW146" t="e">
        <f>AND('Eventos en ensayos por ID'!A25,"AAAAAHWz6+Y=")</f>
        <v>#VALUE!</v>
      </c>
      <c r="HX146" t="e">
        <f>AND('Eventos en ensayos por ID'!B25,"AAAAAHWz6+c=")</f>
        <v>#VALUE!</v>
      </c>
      <c r="HY146" t="e">
        <f>AND('Eventos en ensayos por ID'!C25,"AAAAAHWz6+g=")</f>
        <v>#VALUE!</v>
      </c>
      <c r="HZ146" t="e">
        <f>AND('Eventos en ensayos por ID'!D25,"AAAAAHWz6+k=")</f>
        <v>#VALUE!</v>
      </c>
      <c r="IA146" t="e">
        <f>AND('Eventos en ensayos por ID'!E25,"AAAAAHWz6+o=")</f>
        <v>#VALUE!</v>
      </c>
      <c r="IB146" t="e">
        <f>AND('Eventos en ensayos por ID'!F25,"AAAAAHWz6+s=")</f>
        <v>#VALUE!</v>
      </c>
      <c r="IC146" t="e">
        <f>AND('Eventos en ensayos por ID'!G25,"AAAAAHWz6+w=")</f>
        <v>#VALUE!</v>
      </c>
      <c r="ID146">
        <f>IF('Eventos en ensayos por ID'!26:26,"AAAAAHWz6+0=",0)</f>
        <v>0</v>
      </c>
      <c r="IE146" t="e">
        <f>AND('Eventos en ensayos por ID'!A26,"AAAAAHWz6+4=")</f>
        <v>#VALUE!</v>
      </c>
      <c r="IF146" t="e">
        <f>AND('Eventos en ensayos por ID'!B26,"AAAAAHWz6+8=")</f>
        <v>#VALUE!</v>
      </c>
      <c r="IG146" t="e">
        <f>AND('Eventos en ensayos por ID'!C26,"AAAAAHWz6/A=")</f>
        <v>#VALUE!</v>
      </c>
      <c r="IH146" t="e">
        <f>AND('Eventos en ensayos por ID'!D26,"AAAAAHWz6/E=")</f>
        <v>#VALUE!</v>
      </c>
      <c r="II146" t="e">
        <f>AND('Eventos en ensayos por ID'!E26,"AAAAAHWz6/I=")</f>
        <v>#VALUE!</v>
      </c>
      <c r="IJ146" t="e">
        <f>AND('Eventos en ensayos por ID'!F26,"AAAAAHWz6/M=")</f>
        <v>#VALUE!</v>
      </c>
      <c r="IK146" t="e">
        <f>AND('Eventos en ensayos por ID'!G26,"AAAAAHWz6/Q=")</f>
        <v>#VALUE!</v>
      </c>
      <c r="IL146">
        <f>IF('Eventos en ensayos por ID'!27:27,"AAAAAHWz6/U=",0)</f>
        <v>0</v>
      </c>
      <c r="IM146" t="e">
        <f>AND('Eventos en ensayos por ID'!A27,"AAAAAHWz6/Y=")</f>
        <v>#VALUE!</v>
      </c>
      <c r="IN146" t="e">
        <f>AND('Eventos en ensayos por ID'!B27,"AAAAAHWz6/c=")</f>
        <v>#VALUE!</v>
      </c>
      <c r="IO146" t="e">
        <f>AND('Eventos en ensayos por ID'!C27,"AAAAAHWz6/g=")</f>
        <v>#VALUE!</v>
      </c>
      <c r="IP146" t="e">
        <f>AND('Eventos en ensayos por ID'!D27,"AAAAAHWz6/k=")</f>
        <v>#VALUE!</v>
      </c>
      <c r="IQ146" t="e">
        <f>AND('Eventos en ensayos por ID'!E27,"AAAAAHWz6/o=")</f>
        <v>#VALUE!</v>
      </c>
      <c r="IR146" t="e">
        <f>AND('Eventos en ensayos por ID'!F27,"AAAAAHWz6/s=")</f>
        <v>#VALUE!</v>
      </c>
      <c r="IS146" t="e">
        <f>AND('Eventos en ensayos por ID'!G27,"AAAAAHWz6/w=")</f>
        <v>#VALUE!</v>
      </c>
      <c r="IT146">
        <f>IF('Eventos en ensayos por ID'!28:28,"AAAAAHWz6/0=",0)</f>
        <v>0</v>
      </c>
      <c r="IU146" t="e">
        <f>AND('Eventos en ensayos por ID'!A28,"AAAAAHWz6/4=")</f>
        <v>#VALUE!</v>
      </c>
      <c r="IV146" t="e">
        <f>AND('Eventos en ensayos por ID'!B28,"AAAAAHWz6/8=")</f>
        <v>#VALUE!</v>
      </c>
    </row>
    <row r="147" spans="1:256" x14ac:dyDescent="0.25">
      <c r="A147" t="e">
        <f>AND('Eventos en ensayos por ID'!C28,"AAAAABD6+wA=")</f>
        <v>#VALUE!</v>
      </c>
      <c r="B147" t="e">
        <f>AND('Eventos en ensayos por ID'!D28,"AAAAABD6+wE=")</f>
        <v>#VALUE!</v>
      </c>
      <c r="C147" t="e">
        <f>AND('Eventos en ensayos por ID'!E28,"AAAAABD6+wI=")</f>
        <v>#VALUE!</v>
      </c>
      <c r="D147" t="e">
        <f>AND('Eventos en ensayos por ID'!F28,"AAAAABD6+wM=")</f>
        <v>#VALUE!</v>
      </c>
      <c r="E147" t="e">
        <f>AND('Eventos en ensayos por ID'!G28,"AAAAABD6+wQ=")</f>
        <v>#VALUE!</v>
      </c>
      <c r="F147" t="e">
        <f>IF('Eventos en ensayos por ID'!29:29,"AAAAABD6+wU=",0)</f>
        <v>#VALUE!</v>
      </c>
      <c r="G147" t="e">
        <f>AND('Eventos en ensayos por ID'!A29,"AAAAABD6+wY=")</f>
        <v>#VALUE!</v>
      </c>
      <c r="H147" t="e">
        <f>AND('Eventos en ensayos por ID'!B29,"AAAAABD6+wc=")</f>
        <v>#VALUE!</v>
      </c>
      <c r="I147" t="e">
        <f>AND('Eventos en ensayos por ID'!C29,"AAAAABD6+wg=")</f>
        <v>#VALUE!</v>
      </c>
      <c r="J147" t="e">
        <f>AND('Eventos en ensayos por ID'!D29,"AAAAABD6+wk=")</f>
        <v>#VALUE!</v>
      </c>
      <c r="K147" t="e">
        <f>AND('Eventos en ensayos por ID'!E29,"AAAAABD6+wo=")</f>
        <v>#VALUE!</v>
      </c>
      <c r="L147" t="e">
        <f>AND('Eventos en ensayos por ID'!F29,"AAAAABD6+ws=")</f>
        <v>#VALUE!</v>
      </c>
      <c r="M147" t="e">
        <f>AND('Eventos en ensayos por ID'!G29,"AAAAABD6+ww=")</f>
        <v>#VALUE!</v>
      </c>
      <c r="N147">
        <f>IF('Eventos en ensayos por ID'!30:30,"AAAAABD6+w0=",0)</f>
        <v>0</v>
      </c>
      <c r="O147" t="e">
        <f>AND('Eventos en ensayos por ID'!A30,"AAAAABD6+w4=")</f>
        <v>#VALUE!</v>
      </c>
      <c r="P147" t="e">
        <f>AND('Eventos en ensayos por ID'!B30,"AAAAABD6+w8=")</f>
        <v>#VALUE!</v>
      </c>
      <c r="Q147" t="e">
        <f>AND('Eventos en ensayos por ID'!C30,"AAAAABD6+xA=")</f>
        <v>#VALUE!</v>
      </c>
      <c r="R147" t="e">
        <f>AND('Eventos en ensayos por ID'!D30,"AAAAABD6+xE=")</f>
        <v>#VALUE!</v>
      </c>
      <c r="S147" t="e">
        <f>AND('Eventos en ensayos por ID'!E30,"AAAAABD6+xI=")</f>
        <v>#VALUE!</v>
      </c>
      <c r="T147" t="e">
        <f>AND('Eventos en ensayos por ID'!F30,"AAAAABD6+xM=")</f>
        <v>#VALUE!</v>
      </c>
      <c r="U147" t="e">
        <f>AND('Eventos en ensayos por ID'!G30,"AAAAABD6+xQ=")</f>
        <v>#VALUE!</v>
      </c>
      <c r="V147">
        <f>IF('Eventos en ensayos por ID'!31:31,"AAAAABD6+xU=",0)</f>
        <v>0</v>
      </c>
      <c r="W147" t="e">
        <f>AND('Eventos en ensayos por ID'!A31,"AAAAABD6+xY=")</f>
        <v>#VALUE!</v>
      </c>
      <c r="X147" t="e">
        <f>AND('Eventos en ensayos por ID'!B31,"AAAAABD6+xc=")</f>
        <v>#VALUE!</v>
      </c>
      <c r="Y147" t="e">
        <f>AND('Eventos en ensayos por ID'!C31,"AAAAABD6+xg=")</f>
        <v>#VALUE!</v>
      </c>
      <c r="Z147" t="e">
        <f>AND('Eventos en ensayos por ID'!D31,"AAAAABD6+xk=")</f>
        <v>#VALUE!</v>
      </c>
      <c r="AA147" t="e">
        <f>AND('Eventos en ensayos por ID'!E31,"AAAAABD6+xo=")</f>
        <v>#VALUE!</v>
      </c>
      <c r="AB147" t="e">
        <f>AND('Eventos en ensayos por ID'!F31,"AAAAABD6+xs=")</f>
        <v>#VALUE!</v>
      </c>
      <c r="AC147" t="e">
        <f>AND('Eventos en ensayos por ID'!G31,"AAAAABD6+xw=")</f>
        <v>#VALUE!</v>
      </c>
      <c r="AD147">
        <f>IF('Eventos en ensayos por ID'!32:32,"AAAAABD6+x0=",0)</f>
        <v>0</v>
      </c>
      <c r="AE147" t="e">
        <f>AND('Eventos en ensayos por ID'!A32,"AAAAABD6+x4=")</f>
        <v>#VALUE!</v>
      </c>
      <c r="AF147" t="e">
        <f>AND('Eventos en ensayos por ID'!B32,"AAAAABD6+x8=")</f>
        <v>#VALUE!</v>
      </c>
      <c r="AG147" t="e">
        <f>AND('Eventos en ensayos por ID'!C32,"AAAAABD6+yA=")</f>
        <v>#VALUE!</v>
      </c>
      <c r="AH147" t="e">
        <f>AND('Eventos en ensayos por ID'!D32,"AAAAABD6+yE=")</f>
        <v>#VALUE!</v>
      </c>
      <c r="AI147" t="e">
        <f>AND('Eventos en ensayos por ID'!E32,"AAAAABD6+yI=")</f>
        <v>#VALUE!</v>
      </c>
      <c r="AJ147" t="e">
        <f>AND('Eventos en ensayos por ID'!F32,"AAAAABD6+yM=")</f>
        <v>#VALUE!</v>
      </c>
      <c r="AK147" t="e">
        <f>AND('Eventos en ensayos por ID'!G32,"AAAAABD6+yQ=")</f>
        <v>#VALUE!</v>
      </c>
      <c r="AL147">
        <f>IF('Eventos en ensayos por ID'!33:33,"AAAAABD6+yU=",0)</f>
        <v>0</v>
      </c>
      <c r="AM147" t="e">
        <f>AND('Eventos en ensayos por ID'!A33,"AAAAABD6+yY=")</f>
        <v>#VALUE!</v>
      </c>
      <c r="AN147" t="e">
        <f>AND('Eventos en ensayos por ID'!B33,"AAAAABD6+yc=")</f>
        <v>#VALUE!</v>
      </c>
      <c r="AO147" t="e">
        <f>AND('Eventos en ensayos por ID'!C33,"AAAAABD6+yg=")</f>
        <v>#VALUE!</v>
      </c>
      <c r="AP147" t="e">
        <f>AND('Eventos en ensayos por ID'!D33,"AAAAABD6+yk=")</f>
        <v>#VALUE!</v>
      </c>
      <c r="AQ147" t="e">
        <f>AND('Eventos en ensayos por ID'!E33,"AAAAABD6+yo=")</f>
        <v>#VALUE!</v>
      </c>
      <c r="AR147" t="e">
        <f>AND('Eventos en ensayos por ID'!F33,"AAAAABD6+ys=")</f>
        <v>#VALUE!</v>
      </c>
      <c r="AS147" t="e">
        <f>AND('Eventos en ensayos por ID'!G33,"AAAAABD6+yw=")</f>
        <v>#VALUE!</v>
      </c>
      <c r="AT147">
        <f>IF('Eventos en ensayos por ID'!34:34,"AAAAABD6+y0=",0)</f>
        <v>0</v>
      </c>
      <c r="AU147" t="e">
        <f>AND('Eventos en ensayos por ID'!A34,"AAAAABD6+y4=")</f>
        <v>#VALUE!</v>
      </c>
      <c r="AV147" t="e">
        <f>AND('Eventos en ensayos por ID'!B34,"AAAAABD6+y8=")</f>
        <v>#VALUE!</v>
      </c>
      <c r="AW147" t="e">
        <f>AND('Eventos en ensayos por ID'!C34,"AAAAABD6+zA=")</f>
        <v>#VALUE!</v>
      </c>
      <c r="AX147" t="e">
        <f>AND('Eventos en ensayos por ID'!D34,"AAAAABD6+zE=")</f>
        <v>#VALUE!</v>
      </c>
      <c r="AY147" t="e">
        <f>AND('Eventos en ensayos por ID'!E34,"AAAAABD6+zI=")</f>
        <v>#VALUE!</v>
      </c>
      <c r="AZ147" t="e">
        <f>AND('Eventos en ensayos por ID'!F34,"AAAAABD6+zM=")</f>
        <v>#VALUE!</v>
      </c>
      <c r="BA147" t="e">
        <f>AND('Eventos en ensayos por ID'!G34,"AAAAABD6+zQ=")</f>
        <v>#VALUE!</v>
      </c>
      <c r="BB147">
        <f>IF('Eventos en ensayos por ID'!35:35,"AAAAABD6+zU=",0)</f>
        <v>0</v>
      </c>
      <c r="BC147" t="e">
        <f>AND('Eventos en ensayos por ID'!A35,"AAAAABD6+zY=")</f>
        <v>#VALUE!</v>
      </c>
      <c r="BD147" t="e">
        <f>AND('Eventos en ensayos por ID'!B35,"AAAAABD6+zc=")</f>
        <v>#VALUE!</v>
      </c>
      <c r="BE147" t="e">
        <f>AND('Eventos en ensayos por ID'!C35,"AAAAABD6+zg=")</f>
        <v>#VALUE!</v>
      </c>
      <c r="BF147" t="e">
        <f>AND('Eventos en ensayos por ID'!D35,"AAAAABD6+zk=")</f>
        <v>#VALUE!</v>
      </c>
      <c r="BG147" t="e">
        <f>AND('Eventos en ensayos por ID'!E35,"AAAAABD6+zo=")</f>
        <v>#VALUE!</v>
      </c>
      <c r="BH147" t="e">
        <f>AND('Eventos en ensayos por ID'!F35,"AAAAABD6+zs=")</f>
        <v>#VALUE!</v>
      </c>
      <c r="BI147" t="e">
        <f>AND('Eventos en ensayos por ID'!G35,"AAAAABD6+zw=")</f>
        <v>#VALUE!</v>
      </c>
      <c r="BJ147">
        <f>IF('Eventos en ensayos por ID'!36:36,"AAAAABD6+z0=",0)</f>
        <v>0</v>
      </c>
      <c r="BK147" t="e">
        <f>AND('Eventos en ensayos por ID'!A36,"AAAAABD6+z4=")</f>
        <v>#VALUE!</v>
      </c>
      <c r="BL147" t="e">
        <f>AND('Eventos en ensayos por ID'!B36,"AAAAABD6+z8=")</f>
        <v>#VALUE!</v>
      </c>
      <c r="BM147" t="e">
        <f>AND('Eventos en ensayos por ID'!C36,"AAAAABD6+0A=")</f>
        <v>#VALUE!</v>
      </c>
      <c r="BN147" t="e">
        <f>AND('Eventos en ensayos por ID'!D36,"AAAAABD6+0E=")</f>
        <v>#VALUE!</v>
      </c>
      <c r="BO147" t="e">
        <f>AND('Eventos en ensayos por ID'!E36,"AAAAABD6+0I=")</f>
        <v>#VALUE!</v>
      </c>
      <c r="BP147" t="e">
        <f>AND('Eventos en ensayos por ID'!F36,"AAAAABD6+0M=")</f>
        <v>#VALUE!</v>
      </c>
      <c r="BQ147" t="e">
        <f>AND('Eventos en ensayos por ID'!G36,"AAAAABD6+0Q=")</f>
        <v>#VALUE!</v>
      </c>
      <c r="BR147">
        <f>IF('Eventos en ensayos por ID'!37:37,"AAAAABD6+0U=",0)</f>
        <v>0</v>
      </c>
      <c r="BS147" t="e">
        <f>AND('Eventos en ensayos por ID'!A37,"AAAAABD6+0Y=")</f>
        <v>#VALUE!</v>
      </c>
      <c r="BT147" t="e">
        <f>AND('Eventos en ensayos por ID'!B37,"AAAAABD6+0c=")</f>
        <v>#VALUE!</v>
      </c>
      <c r="BU147" t="e">
        <f>AND('Eventos en ensayos por ID'!C37,"AAAAABD6+0g=")</f>
        <v>#VALUE!</v>
      </c>
      <c r="BV147" t="e">
        <f>AND('Eventos en ensayos por ID'!D37,"AAAAABD6+0k=")</f>
        <v>#VALUE!</v>
      </c>
      <c r="BW147" t="e">
        <f>AND('Eventos en ensayos por ID'!E37,"AAAAABD6+0o=")</f>
        <v>#VALUE!</v>
      </c>
      <c r="BX147" t="e">
        <f>AND('Eventos en ensayos por ID'!F37,"AAAAABD6+0s=")</f>
        <v>#VALUE!</v>
      </c>
      <c r="BY147" t="e">
        <f>AND('Eventos en ensayos por ID'!G37,"AAAAABD6+0w=")</f>
        <v>#VALUE!</v>
      </c>
      <c r="BZ147">
        <f>IF('Eventos en ensayos por ID'!38:38,"AAAAABD6+00=",0)</f>
        <v>0</v>
      </c>
      <c r="CA147" t="e">
        <f>AND('Eventos en ensayos por ID'!A38,"AAAAABD6+04=")</f>
        <v>#VALUE!</v>
      </c>
      <c r="CB147" t="e">
        <f>AND('Eventos en ensayos por ID'!B38,"AAAAABD6+08=")</f>
        <v>#VALUE!</v>
      </c>
      <c r="CC147" t="e">
        <f>AND('Eventos en ensayos por ID'!C38,"AAAAABD6+1A=")</f>
        <v>#VALUE!</v>
      </c>
      <c r="CD147" t="e">
        <f>AND('Eventos en ensayos por ID'!D38,"AAAAABD6+1E=")</f>
        <v>#VALUE!</v>
      </c>
      <c r="CE147" t="e">
        <f>AND('Eventos en ensayos por ID'!E38,"AAAAABD6+1I=")</f>
        <v>#VALUE!</v>
      </c>
      <c r="CF147" t="e">
        <f>AND('Eventos en ensayos por ID'!F38,"AAAAABD6+1M=")</f>
        <v>#VALUE!</v>
      </c>
      <c r="CG147" t="e">
        <f>AND('Eventos en ensayos por ID'!G38,"AAAAABD6+1Q=")</f>
        <v>#VALUE!</v>
      </c>
      <c r="CH147">
        <f>IF('Eventos en ensayos por ID'!39:39,"AAAAABD6+1U=",0)</f>
        <v>0</v>
      </c>
      <c r="CI147" t="e">
        <f>AND('Eventos en ensayos por ID'!A39,"AAAAABD6+1Y=")</f>
        <v>#VALUE!</v>
      </c>
      <c r="CJ147" t="e">
        <f>AND('Eventos en ensayos por ID'!B39,"AAAAABD6+1c=")</f>
        <v>#VALUE!</v>
      </c>
      <c r="CK147" t="e">
        <f>AND('Eventos en ensayos por ID'!C39,"AAAAABD6+1g=")</f>
        <v>#VALUE!</v>
      </c>
      <c r="CL147" t="e">
        <f>AND('Eventos en ensayos por ID'!D39,"AAAAABD6+1k=")</f>
        <v>#VALUE!</v>
      </c>
      <c r="CM147" t="e">
        <f>AND('Eventos en ensayos por ID'!E39,"AAAAABD6+1o=")</f>
        <v>#VALUE!</v>
      </c>
      <c r="CN147" t="e">
        <f>AND('Eventos en ensayos por ID'!F39,"AAAAABD6+1s=")</f>
        <v>#VALUE!</v>
      </c>
      <c r="CO147" t="e">
        <f>AND('Eventos en ensayos por ID'!G39,"AAAAABD6+1w=")</f>
        <v>#VALUE!</v>
      </c>
      <c r="CP147">
        <f>IF('Eventos en ensayos por ID'!40:40,"AAAAABD6+10=",0)</f>
        <v>0</v>
      </c>
      <c r="CQ147" t="e">
        <f>AND('Eventos en ensayos por ID'!A40,"AAAAABD6+14=")</f>
        <v>#VALUE!</v>
      </c>
      <c r="CR147" t="e">
        <f>AND('Eventos en ensayos por ID'!B40,"AAAAABD6+18=")</f>
        <v>#VALUE!</v>
      </c>
      <c r="CS147" t="e">
        <f>AND('Eventos en ensayos por ID'!C40,"AAAAABD6+2A=")</f>
        <v>#VALUE!</v>
      </c>
      <c r="CT147" t="e">
        <f>AND('Eventos en ensayos por ID'!D40,"AAAAABD6+2E=")</f>
        <v>#VALUE!</v>
      </c>
      <c r="CU147" t="e">
        <f>AND('Eventos en ensayos por ID'!E40,"AAAAABD6+2I=")</f>
        <v>#VALUE!</v>
      </c>
      <c r="CV147" t="e">
        <f>AND('Eventos en ensayos por ID'!F40,"AAAAABD6+2M=")</f>
        <v>#VALUE!</v>
      </c>
      <c r="CW147" t="e">
        <f>AND('Eventos en ensayos por ID'!G40,"AAAAABD6+2Q=")</f>
        <v>#VALUE!</v>
      </c>
      <c r="CX147">
        <f>IF('Eventos en ensayos por ID'!41:41,"AAAAABD6+2U=",0)</f>
        <v>0</v>
      </c>
      <c r="CY147" t="e">
        <f>AND('Eventos en ensayos por ID'!A41,"AAAAABD6+2Y=")</f>
        <v>#VALUE!</v>
      </c>
      <c r="CZ147" t="e">
        <f>AND('Eventos en ensayos por ID'!B41,"AAAAABD6+2c=")</f>
        <v>#VALUE!</v>
      </c>
      <c r="DA147" t="e">
        <f>AND('Eventos en ensayos por ID'!C41,"AAAAABD6+2g=")</f>
        <v>#VALUE!</v>
      </c>
      <c r="DB147" t="e">
        <f>AND('Eventos en ensayos por ID'!D41,"AAAAABD6+2k=")</f>
        <v>#VALUE!</v>
      </c>
      <c r="DC147" t="e">
        <f>AND('Eventos en ensayos por ID'!E41,"AAAAABD6+2o=")</f>
        <v>#VALUE!</v>
      </c>
      <c r="DD147" t="e">
        <f>AND('Eventos en ensayos por ID'!F41,"AAAAABD6+2s=")</f>
        <v>#VALUE!</v>
      </c>
      <c r="DE147" t="e">
        <f>AND('Eventos en ensayos por ID'!G41,"AAAAABD6+2w=")</f>
        <v>#VALUE!</v>
      </c>
      <c r="DF147">
        <f>IF('Eventos en ensayos por ID'!42:42,"AAAAABD6+20=",0)</f>
        <v>0</v>
      </c>
      <c r="DG147" t="e">
        <f>AND('Eventos en ensayos por ID'!A42,"AAAAABD6+24=")</f>
        <v>#VALUE!</v>
      </c>
      <c r="DH147" t="e">
        <f>AND('Eventos en ensayos por ID'!B42,"AAAAABD6+28=")</f>
        <v>#VALUE!</v>
      </c>
      <c r="DI147" t="e">
        <f>AND('Eventos en ensayos por ID'!C42,"AAAAABD6+3A=")</f>
        <v>#VALUE!</v>
      </c>
      <c r="DJ147" t="e">
        <f>AND('Eventos en ensayos por ID'!D42,"AAAAABD6+3E=")</f>
        <v>#VALUE!</v>
      </c>
      <c r="DK147" t="e">
        <f>AND('Eventos en ensayos por ID'!E42,"AAAAABD6+3I=")</f>
        <v>#VALUE!</v>
      </c>
      <c r="DL147" t="e">
        <f>AND('Eventos en ensayos por ID'!F42,"AAAAABD6+3M=")</f>
        <v>#VALUE!</v>
      </c>
      <c r="DM147" t="e">
        <f>AND('Eventos en ensayos por ID'!G42,"AAAAABD6+3Q=")</f>
        <v>#VALUE!</v>
      </c>
      <c r="DN147">
        <f>IF('Eventos en ensayos por ID'!43:43,"AAAAABD6+3U=",0)</f>
        <v>0</v>
      </c>
      <c r="DO147" t="e">
        <f>AND('Eventos en ensayos por ID'!A43,"AAAAABD6+3Y=")</f>
        <v>#VALUE!</v>
      </c>
      <c r="DP147" t="e">
        <f>AND('Eventos en ensayos por ID'!B43,"AAAAABD6+3c=")</f>
        <v>#VALUE!</v>
      </c>
      <c r="DQ147" t="e">
        <f>AND('Eventos en ensayos por ID'!C43,"AAAAABD6+3g=")</f>
        <v>#VALUE!</v>
      </c>
      <c r="DR147" t="e">
        <f>AND('Eventos en ensayos por ID'!D43,"AAAAABD6+3k=")</f>
        <v>#VALUE!</v>
      </c>
      <c r="DS147" t="e">
        <f>AND('Eventos en ensayos por ID'!E43,"AAAAABD6+3o=")</f>
        <v>#VALUE!</v>
      </c>
      <c r="DT147" t="e">
        <f>AND('Eventos en ensayos por ID'!F43,"AAAAABD6+3s=")</f>
        <v>#VALUE!</v>
      </c>
      <c r="DU147" t="e">
        <f>AND('Eventos en ensayos por ID'!G43,"AAAAABD6+3w=")</f>
        <v>#VALUE!</v>
      </c>
      <c r="DV147">
        <f>IF('Eventos en ensayos por ID'!44:44,"AAAAABD6+30=",0)</f>
        <v>0</v>
      </c>
      <c r="DW147" t="e">
        <f>AND('Eventos en ensayos por ID'!A44,"AAAAABD6+34=")</f>
        <v>#VALUE!</v>
      </c>
      <c r="DX147" t="e">
        <f>AND('Eventos en ensayos por ID'!B44,"AAAAABD6+38=")</f>
        <v>#VALUE!</v>
      </c>
      <c r="DY147" t="e">
        <f>AND('Eventos en ensayos por ID'!C44,"AAAAABD6+4A=")</f>
        <v>#VALUE!</v>
      </c>
      <c r="DZ147" t="e">
        <f>AND('Eventos en ensayos por ID'!D44,"AAAAABD6+4E=")</f>
        <v>#VALUE!</v>
      </c>
      <c r="EA147" t="e">
        <f>AND('Eventos en ensayos por ID'!E44,"AAAAABD6+4I=")</f>
        <v>#VALUE!</v>
      </c>
      <c r="EB147" t="e">
        <f>AND('Eventos en ensayos por ID'!F44,"AAAAABD6+4M=")</f>
        <v>#VALUE!</v>
      </c>
      <c r="EC147" t="e">
        <f>AND('Eventos en ensayos por ID'!G44,"AAAAABD6+4Q=")</f>
        <v>#VALUE!</v>
      </c>
      <c r="ED147">
        <f>IF('Eventos en ensayos por ID'!45:45,"AAAAABD6+4U=",0)</f>
        <v>0</v>
      </c>
      <c r="EE147" t="e">
        <f>AND('Eventos en ensayos por ID'!A45,"AAAAABD6+4Y=")</f>
        <v>#VALUE!</v>
      </c>
      <c r="EF147" t="e">
        <f>AND('Eventos en ensayos por ID'!B45,"AAAAABD6+4c=")</f>
        <v>#VALUE!</v>
      </c>
      <c r="EG147" t="e">
        <f>AND('Eventos en ensayos por ID'!C45,"AAAAABD6+4g=")</f>
        <v>#VALUE!</v>
      </c>
      <c r="EH147" t="e">
        <f>AND('Eventos en ensayos por ID'!D45,"AAAAABD6+4k=")</f>
        <v>#VALUE!</v>
      </c>
      <c r="EI147" t="e">
        <f>AND('Eventos en ensayos por ID'!E45,"AAAAABD6+4o=")</f>
        <v>#VALUE!</v>
      </c>
      <c r="EJ147" t="e">
        <f>AND('Eventos en ensayos por ID'!F45,"AAAAABD6+4s=")</f>
        <v>#VALUE!</v>
      </c>
      <c r="EK147" t="e">
        <f>AND('Eventos en ensayos por ID'!G45,"AAAAABD6+4w=")</f>
        <v>#VALUE!</v>
      </c>
      <c r="EL147">
        <f>IF('Eventos en ensayos por ID'!46:46,"AAAAABD6+40=",0)</f>
        <v>0</v>
      </c>
      <c r="EM147" t="e">
        <f>AND('Eventos en ensayos por ID'!A46,"AAAAABD6+44=")</f>
        <v>#VALUE!</v>
      </c>
      <c r="EN147" t="e">
        <f>AND('Eventos en ensayos por ID'!B46,"AAAAABD6+48=")</f>
        <v>#VALUE!</v>
      </c>
      <c r="EO147" t="e">
        <f>AND('Eventos en ensayos por ID'!C46,"AAAAABD6+5A=")</f>
        <v>#VALUE!</v>
      </c>
      <c r="EP147" t="e">
        <f>AND('Eventos en ensayos por ID'!D46,"AAAAABD6+5E=")</f>
        <v>#VALUE!</v>
      </c>
      <c r="EQ147" t="e">
        <f>AND('Eventos en ensayos por ID'!E46,"AAAAABD6+5I=")</f>
        <v>#VALUE!</v>
      </c>
      <c r="ER147" t="e">
        <f>AND('Eventos en ensayos por ID'!F46,"AAAAABD6+5M=")</f>
        <v>#VALUE!</v>
      </c>
      <c r="ES147" t="e">
        <f>AND('Eventos en ensayos por ID'!G46,"AAAAABD6+5Q=")</f>
        <v>#VALUE!</v>
      </c>
      <c r="ET147">
        <f>IF('Eventos en ensayos por ID'!47:47,"AAAAABD6+5U=",0)</f>
        <v>0</v>
      </c>
      <c r="EU147" t="e">
        <f>AND('Eventos en ensayos por ID'!A47,"AAAAABD6+5Y=")</f>
        <v>#VALUE!</v>
      </c>
      <c r="EV147" t="e">
        <f>AND('Eventos en ensayos por ID'!B47,"AAAAABD6+5c=")</f>
        <v>#VALUE!</v>
      </c>
      <c r="EW147" t="e">
        <f>AND('Eventos en ensayos por ID'!C47,"AAAAABD6+5g=")</f>
        <v>#VALUE!</v>
      </c>
      <c r="EX147" t="e">
        <f>AND('Eventos en ensayos por ID'!D47,"AAAAABD6+5k=")</f>
        <v>#VALUE!</v>
      </c>
      <c r="EY147" t="e">
        <f>AND('Eventos en ensayos por ID'!E47,"AAAAABD6+5o=")</f>
        <v>#VALUE!</v>
      </c>
      <c r="EZ147" t="e">
        <f>AND('Eventos en ensayos por ID'!F47,"AAAAABD6+5s=")</f>
        <v>#VALUE!</v>
      </c>
      <c r="FA147" t="e">
        <f>AND('Eventos en ensayos por ID'!G47,"AAAAABD6+5w=")</f>
        <v>#VALUE!</v>
      </c>
      <c r="FB147">
        <f>IF('Eventos en ensayos por ID'!48:48,"AAAAABD6+50=",0)</f>
        <v>0</v>
      </c>
      <c r="FC147" t="e">
        <f>AND('Eventos en ensayos por ID'!A48,"AAAAABD6+54=")</f>
        <v>#VALUE!</v>
      </c>
      <c r="FD147" t="e">
        <f>AND('Eventos en ensayos por ID'!B48,"AAAAABD6+58=")</f>
        <v>#VALUE!</v>
      </c>
      <c r="FE147" t="e">
        <f>AND('Eventos en ensayos por ID'!C48,"AAAAABD6+6A=")</f>
        <v>#VALUE!</v>
      </c>
      <c r="FF147" t="e">
        <f>AND('Eventos en ensayos por ID'!D48,"AAAAABD6+6E=")</f>
        <v>#VALUE!</v>
      </c>
      <c r="FG147" t="e">
        <f>AND('Eventos en ensayos por ID'!E48,"AAAAABD6+6I=")</f>
        <v>#VALUE!</v>
      </c>
      <c r="FH147" t="e">
        <f>AND('Eventos en ensayos por ID'!F48,"AAAAABD6+6M=")</f>
        <v>#VALUE!</v>
      </c>
      <c r="FI147" t="e">
        <f>AND('Eventos en ensayos por ID'!G48,"AAAAABD6+6Q=")</f>
        <v>#VALUE!</v>
      </c>
      <c r="FJ147">
        <f>IF('Eventos en ensayos por ID'!49:49,"AAAAABD6+6U=",0)</f>
        <v>0</v>
      </c>
      <c r="FK147" t="e">
        <f>AND('Eventos en ensayos por ID'!A49,"AAAAABD6+6Y=")</f>
        <v>#VALUE!</v>
      </c>
      <c r="FL147" t="e">
        <f>AND('Eventos en ensayos por ID'!B49,"AAAAABD6+6c=")</f>
        <v>#VALUE!</v>
      </c>
      <c r="FM147" t="e">
        <f>AND('Eventos en ensayos por ID'!C49,"AAAAABD6+6g=")</f>
        <v>#VALUE!</v>
      </c>
      <c r="FN147" t="e">
        <f>AND('Eventos en ensayos por ID'!D49,"AAAAABD6+6k=")</f>
        <v>#VALUE!</v>
      </c>
      <c r="FO147" t="e">
        <f>AND('Eventos en ensayos por ID'!E49,"AAAAABD6+6o=")</f>
        <v>#VALUE!</v>
      </c>
      <c r="FP147" t="e">
        <f>AND('Eventos en ensayos por ID'!F49,"AAAAABD6+6s=")</f>
        <v>#VALUE!</v>
      </c>
      <c r="FQ147" t="e">
        <f>AND('Eventos en ensayos por ID'!G49,"AAAAABD6+6w=")</f>
        <v>#VALUE!</v>
      </c>
      <c r="FR147">
        <f>IF('Eventos en ensayos por ID'!50:50,"AAAAABD6+60=",0)</f>
        <v>0</v>
      </c>
      <c r="FS147" t="e">
        <f>AND('Eventos en ensayos por ID'!A50,"AAAAABD6+64=")</f>
        <v>#VALUE!</v>
      </c>
      <c r="FT147" t="e">
        <f>AND('Eventos en ensayos por ID'!B50,"AAAAABD6+68=")</f>
        <v>#VALUE!</v>
      </c>
      <c r="FU147" t="e">
        <f>AND('Eventos en ensayos por ID'!C50,"AAAAABD6+7A=")</f>
        <v>#VALUE!</v>
      </c>
      <c r="FV147" t="e">
        <f>AND('Eventos en ensayos por ID'!D50,"AAAAABD6+7E=")</f>
        <v>#VALUE!</v>
      </c>
      <c r="FW147" t="e">
        <f>AND('Eventos en ensayos por ID'!E50,"AAAAABD6+7I=")</f>
        <v>#VALUE!</v>
      </c>
      <c r="FX147" t="e">
        <f>AND('Eventos en ensayos por ID'!F50,"AAAAABD6+7M=")</f>
        <v>#VALUE!</v>
      </c>
      <c r="FY147" t="e">
        <f>AND('Eventos en ensayos por ID'!G50,"AAAAABD6+7Q=")</f>
        <v>#VALUE!</v>
      </c>
      <c r="FZ147">
        <f>IF('Eventos en ensayos por ID'!51:51,"AAAAABD6+7U=",0)</f>
        <v>0</v>
      </c>
      <c r="GA147" t="e">
        <f>AND('Eventos en ensayos por ID'!A51,"AAAAABD6+7Y=")</f>
        <v>#VALUE!</v>
      </c>
      <c r="GB147" t="e">
        <f>AND('Eventos en ensayos por ID'!B51,"AAAAABD6+7c=")</f>
        <v>#VALUE!</v>
      </c>
      <c r="GC147" t="e">
        <f>AND('Eventos en ensayos por ID'!C51,"AAAAABD6+7g=")</f>
        <v>#VALUE!</v>
      </c>
      <c r="GD147" t="e">
        <f>AND('Eventos en ensayos por ID'!D51,"AAAAABD6+7k=")</f>
        <v>#VALUE!</v>
      </c>
      <c r="GE147" t="e">
        <f>AND('Eventos en ensayos por ID'!E51,"AAAAABD6+7o=")</f>
        <v>#VALUE!</v>
      </c>
      <c r="GF147" t="e">
        <f>AND('Eventos en ensayos por ID'!F51,"AAAAABD6+7s=")</f>
        <v>#VALUE!</v>
      </c>
      <c r="GG147" t="e">
        <f>AND('Eventos en ensayos por ID'!G51,"AAAAABD6+7w=")</f>
        <v>#VALUE!</v>
      </c>
      <c r="GH147">
        <f>IF('Eventos en ensayos por ID'!52:52,"AAAAABD6+70=",0)</f>
        <v>0</v>
      </c>
      <c r="GI147" t="e">
        <f>AND('Eventos en ensayos por ID'!A52,"AAAAABD6+74=")</f>
        <v>#VALUE!</v>
      </c>
      <c r="GJ147" t="e">
        <f>AND('Eventos en ensayos por ID'!B52,"AAAAABD6+78=")</f>
        <v>#VALUE!</v>
      </c>
      <c r="GK147" t="e">
        <f>AND('Eventos en ensayos por ID'!C52,"AAAAABD6+8A=")</f>
        <v>#VALUE!</v>
      </c>
      <c r="GL147" t="e">
        <f>AND('Eventos en ensayos por ID'!D52,"AAAAABD6+8E=")</f>
        <v>#VALUE!</v>
      </c>
      <c r="GM147" t="e">
        <f>AND('Eventos en ensayos por ID'!E52,"AAAAABD6+8I=")</f>
        <v>#VALUE!</v>
      </c>
      <c r="GN147" t="e">
        <f>AND('Eventos en ensayos por ID'!F52,"AAAAABD6+8M=")</f>
        <v>#VALUE!</v>
      </c>
      <c r="GO147" t="e">
        <f>AND('Eventos en ensayos por ID'!G52,"AAAAABD6+8Q=")</f>
        <v>#VALUE!</v>
      </c>
      <c r="GP147">
        <f>IF('Eventos en ensayos por ID'!53:53,"AAAAABD6+8U=",0)</f>
        <v>0</v>
      </c>
      <c r="GQ147" t="e">
        <f>AND('Eventos en ensayos por ID'!A53,"AAAAABD6+8Y=")</f>
        <v>#VALUE!</v>
      </c>
      <c r="GR147" t="e">
        <f>AND('Eventos en ensayos por ID'!B53,"AAAAABD6+8c=")</f>
        <v>#VALUE!</v>
      </c>
      <c r="GS147" t="e">
        <f>AND('Eventos en ensayos por ID'!C53,"AAAAABD6+8g=")</f>
        <v>#VALUE!</v>
      </c>
      <c r="GT147" t="e">
        <f>AND('Eventos en ensayos por ID'!D53,"AAAAABD6+8k=")</f>
        <v>#VALUE!</v>
      </c>
      <c r="GU147" t="e">
        <f>AND('Eventos en ensayos por ID'!E53,"AAAAABD6+8o=")</f>
        <v>#VALUE!</v>
      </c>
      <c r="GV147" t="e">
        <f>AND('Eventos en ensayos por ID'!F53,"AAAAABD6+8s=")</f>
        <v>#VALUE!</v>
      </c>
      <c r="GW147" t="e">
        <f>AND('Eventos en ensayos por ID'!G53,"AAAAABD6+8w=")</f>
        <v>#VALUE!</v>
      </c>
      <c r="GX147">
        <f>IF('Eventos en ensayos por ID'!54:54,"AAAAABD6+80=",0)</f>
        <v>0</v>
      </c>
      <c r="GY147" t="e">
        <f>AND('Eventos en ensayos por ID'!A54,"AAAAABD6+84=")</f>
        <v>#VALUE!</v>
      </c>
      <c r="GZ147" t="e">
        <f>AND('Eventos en ensayos por ID'!B54,"AAAAABD6+88=")</f>
        <v>#VALUE!</v>
      </c>
      <c r="HA147" t="e">
        <f>AND('Eventos en ensayos por ID'!C54,"AAAAABD6+9A=")</f>
        <v>#VALUE!</v>
      </c>
      <c r="HB147" t="e">
        <f>AND('Eventos en ensayos por ID'!D54,"AAAAABD6+9E=")</f>
        <v>#VALUE!</v>
      </c>
      <c r="HC147" t="e">
        <f>AND('Eventos en ensayos por ID'!E54,"AAAAABD6+9I=")</f>
        <v>#VALUE!</v>
      </c>
      <c r="HD147" t="e">
        <f>AND('Eventos en ensayos por ID'!F54,"AAAAABD6+9M=")</f>
        <v>#VALUE!</v>
      </c>
      <c r="HE147" t="e">
        <f>AND('Eventos en ensayos por ID'!G54,"AAAAABD6+9Q=")</f>
        <v>#VALUE!</v>
      </c>
      <c r="HF147">
        <f>IF('Eventos en ensayos por ID'!55:55,"AAAAABD6+9U=",0)</f>
        <v>0</v>
      </c>
      <c r="HG147" t="e">
        <f>AND('Eventos en ensayos por ID'!A55,"AAAAABD6+9Y=")</f>
        <v>#VALUE!</v>
      </c>
      <c r="HH147" t="e">
        <f>AND('Eventos en ensayos por ID'!B55,"AAAAABD6+9c=")</f>
        <v>#VALUE!</v>
      </c>
      <c r="HI147" t="e">
        <f>AND('Eventos en ensayos por ID'!C55,"AAAAABD6+9g=")</f>
        <v>#VALUE!</v>
      </c>
      <c r="HJ147" t="e">
        <f>AND('Eventos en ensayos por ID'!D55,"AAAAABD6+9k=")</f>
        <v>#VALUE!</v>
      </c>
      <c r="HK147" t="e">
        <f>AND('Eventos en ensayos por ID'!E55,"AAAAABD6+9o=")</f>
        <v>#VALUE!</v>
      </c>
      <c r="HL147" t="e">
        <f>AND('Eventos en ensayos por ID'!F55,"AAAAABD6+9s=")</f>
        <v>#VALUE!</v>
      </c>
      <c r="HM147" t="e">
        <f>AND('Eventos en ensayos por ID'!G55,"AAAAABD6+9w=")</f>
        <v>#VALUE!</v>
      </c>
      <c r="HN147">
        <f>IF('Eventos en ensayos por ID'!56:56,"AAAAABD6+90=",0)</f>
        <v>0</v>
      </c>
      <c r="HO147" t="e">
        <f>AND('Eventos en ensayos por ID'!A56,"AAAAABD6+94=")</f>
        <v>#VALUE!</v>
      </c>
      <c r="HP147" t="e">
        <f>AND('Eventos en ensayos por ID'!B56,"AAAAABD6+98=")</f>
        <v>#VALUE!</v>
      </c>
      <c r="HQ147" t="e">
        <f>AND('Eventos en ensayos por ID'!C56,"AAAAABD6++A=")</f>
        <v>#VALUE!</v>
      </c>
      <c r="HR147" t="e">
        <f>AND('Eventos en ensayos por ID'!D56,"AAAAABD6++E=")</f>
        <v>#VALUE!</v>
      </c>
      <c r="HS147" t="e">
        <f>AND('Eventos en ensayos por ID'!E56,"AAAAABD6++I=")</f>
        <v>#VALUE!</v>
      </c>
      <c r="HT147" t="e">
        <f>AND('Eventos en ensayos por ID'!F56,"AAAAABD6++M=")</f>
        <v>#VALUE!</v>
      </c>
      <c r="HU147" t="e">
        <f>AND('Eventos en ensayos por ID'!G56,"AAAAABD6++Q=")</f>
        <v>#VALUE!</v>
      </c>
      <c r="HV147">
        <f>IF('Eventos en ensayos por ID'!57:57,"AAAAABD6++U=",0)</f>
        <v>0</v>
      </c>
      <c r="HW147" t="e">
        <f>AND('Eventos en ensayos por ID'!A57,"AAAAABD6++Y=")</f>
        <v>#VALUE!</v>
      </c>
      <c r="HX147" t="e">
        <f>AND('Eventos en ensayos por ID'!B57,"AAAAABD6++c=")</f>
        <v>#VALUE!</v>
      </c>
      <c r="HY147" t="e">
        <f>AND('Eventos en ensayos por ID'!C57,"AAAAABD6++g=")</f>
        <v>#VALUE!</v>
      </c>
      <c r="HZ147" t="e">
        <f>AND('Eventos en ensayos por ID'!D57,"AAAAABD6++k=")</f>
        <v>#VALUE!</v>
      </c>
      <c r="IA147" t="e">
        <f>AND('Eventos en ensayos por ID'!E57,"AAAAABD6++o=")</f>
        <v>#VALUE!</v>
      </c>
      <c r="IB147" t="e">
        <f>AND('Eventos en ensayos por ID'!F57,"AAAAABD6++s=")</f>
        <v>#VALUE!</v>
      </c>
      <c r="IC147" t="e">
        <f>AND('Eventos en ensayos por ID'!G57,"AAAAABD6++w=")</f>
        <v>#VALUE!</v>
      </c>
      <c r="ID147">
        <f>IF('Eventos en ensayos por ID'!58:58,"AAAAABD6++0=",0)</f>
        <v>0</v>
      </c>
      <c r="IE147" t="e">
        <f>AND('Eventos en ensayos por ID'!A58,"AAAAABD6++4=")</f>
        <v>#VALUE!</v>
      </c>
      <c r="IF147" t="e">
        <f>AND('Eventos en ensayos por ID'!B58,"AAAAABD6++8=")</f>
        <v>#VALUE!</v>
      </c>
      <c r="IG147" t="e">
        <f>AND('Eventos en ensayos por ID'!C58,"AAAAABD6+/A=")</f>
        <v>#VALUE!</v>
      </c>
      <c r="IH147" t="e">
        <f>AND('Eventos en ensayos por ID'!D58,"AAAAABD6+/E=")</f>
        <v>#VALUE!</v>
      </c>
      <c r="II147" t="e">
        <f>AND('Eventos en ensayos por ID'!E58,"AAAAABD6+/I=")</f>
        <v>#VALUE!</v>
      </c>
      <c r="IJ147" t="e">
        <f>AND('Eventos en ensayos por ID'!F58,"AAAAABD6+/M=")</f>
        <v>#VALUE!</v>
      </c>
      <c r="IK147" t="e">
        <f>AND('Eventos en ensayos por ID'!G58,"AAAAABD6+/Q=")</f>
        <v>#VALUE!</v>
      </c>
      <c r="IL147">
        <f>IF('Eventos en ensayos por ID'!59:59,"AAAAABD6+/U=",0)</f>
        <v>0</v>
      </c>
      <c r="IM147" t="e">
        <f>AND('Eventos en ensayos por ID'!A59,"AAAAABD6+/Y=")</f>
        <v>#VALUE!</v>
      </c>
      <c r="IN147" t="e">
        <f>AND('Eventos en ensayos por ID'!B59,"AAAAABD6+/c=")</f>
        <v>#VALUE!</v>
      </c>
      <c r="IO147" t="e">
        <f>AND('Eventos en ensayos por ID'!C59,"AAAAABD6+/g=")</f>
        <v>#VALUE!</v>
      </c>
      <c r="IP147" t="e">
        <f>AND('Eventos en ensayos por ID'!D59,"AAAAABD6+/k=")</f>
        <v>#VALUE!</v>
      </c>
      <c r="IQ147" t="e">
        <f>AND('Eventos en ensayos por ID'!E59,"AAAAABD6+/o=")</f>
        <v>#VALUE!</v>
      </c>
      <c r="IR147" t="e">
        <f>AND('Eventos en ensayos por ID'!F59,"AAAAABD6+/s=")</f>
        <v>#VALUE!</v>
      </c>
      <c r="IS147" t="e">
        <f>AND('Eventos en ensayos por ID'!G59,"AAAAABD6+/w=")</f>
        <v>#VALUE!</v>
      </c>
      <c r="IT147">
        <f>IF('Eventos en ensayos por ID'!60:60,"AAAAABD6+/0=",0)</f>
        <v>0</v>
      </c>
      <c r="IU147" t="e">
        <f>AND('Eventos en ensayos por ID'!A60,"AAAAABD6+/4=")</f>
        <v>#VALUE!</v>
      </c>
      <c r="IV147" t="e">
        <f>AND('Eventos en ensayos por ID'!B60,"AAAAABD6+/8=")</f>
        <v>#VALUE!</v>
      </c>
    </row>
    <row r="148" spans="1:256" x14ac:dyDescent="0.25">
      <c r="A148" t="e">
        <f>AND('Eventos en ensayos por ID'!C60,"AAAAAE76vQA=")</f>
        <v>#VALUE!</v>
      </c>
      <c r="B148" t="e">
        <f>AND('Eventos en ensayos por ID'!D60,"AAAAAE76vQE=")</f>
        <v>#VALUE!</v>
      </c>
      <c r="C148" t="e">
        <f>AND('Eventos en ensayos por ID'!E60,"AAAAAE76vQI=")</f>
        <v>#VALUE!</v>
      </c>
      <c r="D148" t="e">
        <f>AND('Eventos en ensayos por ID'!F60,"AAAAAE76vQM=")</f>
        <v>#VALUE!</v>
      </c>
      <c r="E148" t="e">
        <f>AND('Eventos en ensayos por ID'!G60,"AAAAAE76vQQ=")</f>
        <v>#VALUE!</v>
      </c>
      <c r="F148" t="e">
        <f>IF('Eventos en ensayos por ID'!61:61,"AAAAAE76vQU=",0)</f>
        <v>#VALUE!</v>
      </c>
      <c r="G148" t="e">
        <f>AND('Eventos en ensayos por ID'!A61,"AAAAAE76vQY=")</f>
        <v>#VALUE!</v>
      </c>
      <c r="H148" t="e">
        <f>AND('Eventos en ensayos por ID'!B61,"AAAAAE76vQc=")</f>
        <v>#VALUE!</v>
      </c>
      <c r="I148" t="e">
        <f>AND('Eventos en ensayos por ID'!C61,"AAAAAE76vQg=")</f>
        <v>#VALUE!</v>
      </c>
      <c r="J148" t="e">
        <f>AND('Eventos en ensayos por ID'!D61,"AAAAAE76vQk=")</f>
        <v>#VALUE!</v>
      </c>
      <c r="K148" t="e">
        <f>AND('Eventos en ensayos por ID'!E61,"AAAAAE76vQo=")</f>
        <v>#VALUE!</v>
      </c>
      <c r="L148" t="e">
        <f>AND('Eventos en ensayos por ID'!F61,"AAAAAE76vQs=")</f>
        <v>#VALUE!</v>
      </c>
      <c r="M148" t="e">
        <f>AND('Eventos en ensayos por ID'!G61,"AAAAAE76vQw=")</f>
        <v>#VALUE!</v>
      </c>
      <c r="N148">
        <f>IF('Eventos en ensayos por ID'!62:62,"AAAAAE76vQ0=",0)</f>
        <v>0</v>
      </c>
      <c r="O148" t="e">
        <f>AND('Eventos en ensayos por ID'!A62,"AAAAAE76vQ4=")</f>
        <v>#VALUE!</v>
      </c>
      <c r="P148" t="e">
        <f>AND('Eventos en ensayos por ID'!B62,"AAAAAE76vQ8=")</f>
        <v>#VALUE!</v>
      </c>
      <c r="Q148" t="e">
        <f>AND('Eventos en ensayos por ID'!C62,"AAAAAE76vRA=")</f>
        <v>#VALUE!</v>
      </c>
      <c r="R148" t="e">
        <f>AND('Eventos en ensayos por ID'!D62,"AAAAAE76vRE=")</f>
        <v>#VALUE!</v>
      </c>
      <c r="S148" t="e">
        <f>AND('Eventos en ensayos por ID'!E62,"AAAAAE76vRI=")</f>
        <v>#VALUE!</v>
      </c>
      <c r="T148" t="e">
        <f>AND('Eventos en ensayos por ID'!F62,"AAAAAE76vRM=")</f>
        <v>#VALUE!</v>
      </c>
      <c r="U148" t="e">
        <f>AND('Eventos en ensayos por ID'!G62,"AAAAAE76vRQ=")</f>
        <v>#VALUE!</v>
      </c>
      <c r="V148">
        <f>IF('Eventos en ensayos por ID'!63:63,"AAAAAE76vRU=",0)</f>
        <v>0</v>
      </c>
      <c r="W148" t="e">
        <f>AND('Eventos en ensayos por ID'!A63,"AAAAAE76vRY=")</f>
        <v>#VALUE!</v>
      </c>
      <c r="X148" t="e">
        <f>AND('Eventos en ensayos por ID'!B63,"AAAAAE76vRc=")</f>
        <v>#VALUE!</v>
      </c>
      <c r="Y148" t="e">
        <f>AND('Eventos en ensayos por ID'!C63,"AAAAAE76vRg=")</f>
        <v>#VALUE!</v>
      </c>
      <c r="Z148" t="e">
        <f>AND('Eventos en ensayos por ID'!D63,"AAAAAE76vRk=")</f>
        <v>#VALUE!</v>
      </c>
      <c r="AA148" t="e">
        <f>AND('Eventos en ensayos por ID'!E63,"AAAAAE76vRo=")</f>
        <v>#VALUE!</v>
      </c>
      <c r="AB148" t="e">
        <f>AND('Eventos en ensayos por ID'!F63,"AAAAAE76vRs=")</f>
        <v>#VALUE!</v>
      </c>
      <c r="AC148" t="e">
        <f>AND('Eventos en ensayos por ID'!G63,"AAAAAE76vRw=")</f>
        <v>#VALUE!</v>
      </c>
      <c r="AD148">
        <f>IF('Eventos en ensayos por ID'!64:64,"AAAAAE76vR0=",0)</f>
        <v>0</v>
      </c>
      <c r="AE148" t="e">
        <f>AND('Eventos en ensayos por ID'!A64,"AAAAAE76vR4=")</f>
        <v>#VALUE!</v>
      </c>
      <c r="AF148" t="e">
        <f>AND('Eventos en ensayos por ID'!B64,"AAAAAE76vR8=")</f>
        <v>#VALUE!</v>
      </c>
      <c r="AG148" t="e">
        <f>AND('Eventos en ensayos por ID'!C64,"AAAAAE76vSA=")</f>
        <v>#VALUE!</v>
      </c>
      <c r="AH148" t="e">
        <f>AND('Eventos en ensayos por ID'!D64,"AAAAAE76vSE=")</f>
        <v>#VALUE!</v>
      </c>
      <c r="AI148" t="e">
        <f>AND('Eventos en ensayos por ID'!E64,"AAAAAE76vSI=")</f>
        <v>#VALUE!</v>
      </c>
      <c r="AJ148" t="e">
        <f>AND('Eventos en ensayos por ID'!F64,"AAAAAE76vSM=")</f>
        <v>#VALUE!</v>
      </c>
      <c r="AK148" t="e">
        <f>AND('Eventos en ensayos por ID'!G64,"AAAAAE76vSQ=")</f>
        <v>#VALUE!</v>
      </c>
      <c r="AL148">
        <f>IF('Eventos en ensayos por ID'!65:65,"AAAAAE76vSU=",0)</f>
        <v>0</v>
      </c>
      <c r="AM148" t="e">
        <f>AND('Eventos en ensayos por ID'!A65,"AAAAAE76vSY=")</f>
        <v>#VALUE!</v>
      </c>
      <c r="AN148" t="e">
        <f>AND('Eventos en ensayos por ID'!B65,"AAAAAE76vSc=")</f>
        <v>#VALUE!</v>
      </c>
      <c r="AO148" t="e">
        <f>AND('Eventos en ensayos por ID'!C65,"AAAAAE76vSg=")</f>
        <v>#VALUE!</v>
      </c>
      <c r="AP148" t="e">
        <f>AND('Eventos en ensayos por ID'!D65,"AAAAAE76vSk=")</f>
        <v>#VALUE!</v>
      </c>
      <c r="AQ148" t="e">
        <f>AND('Eventos en ensayos por ID'!E65,"AAAAAE76vSo=")</f>
        <v>#VALUE!</v>
      </c>
      <c r="AR148" t="e">
        <f>AND('Eventos en ensayos por ID'!F65,"AAAAAE76vSs=")</f>
        <v>#VALUE!</v>
      </c>
      <c r="AS148" t="e">
        <f>AND('Eventos en ensayos por ID'!G65,"AAAAAE76vSw=")</f>
        <v>#VALUE!</v>
      </c>
      <c r="AT148">
        <f>IF('Eventos en ensayos por ID'!66:66,"AAAAAE76vS0=",0)</f>
        <v>0</v>
      </c>
      <c r="AU148" t="e">
        <f>AND('Eventos en ensayos por ID'!A66,"AAAAAE76vS4=")</f>
        <v>#VALUE!</v>
      </c>
      <c r="AV148" t="e">
        <f>AND('Eventos en ensayos por ID'!B66,"AAAAAE76vS8=")</f>
        <v>#VALUE!</v>
      </c>
      <c r="AW148" t="e">
        <f>AND('Eventos en ensayos por ID'!C66,"AAAAAE76vTA=")</f>
        <v>#VALUE!</v>
      </c>
      <c r="AX148" t="e">
        <f>AND('Eventos en ensayos por ID'!D66,"AAAAAE76vTE=")</f>
        <v>#VALUE!</v>
      </c>
      <c r="AY148" t="e">
        <f>AND('Eventos en ensayos por ID'!E66,"AAAAAE76vTI=")</f>
        <v>#VALUE!</v>
      </c>
      <c r="AZ148" t="e">
        <f>AND('Eventos en ensayos por ID'!F66,"AAAAAE76vTM=")</f>
        <v>#VALUE!</v>
      </c>
      <c r="BA148" t="e">
        <f>AND('Eventos en ensayos por ID'!G66,"AAAAAE76vTQ=")</f>
        <v>#VALUE!</v>
      </c>
      <c r="BB148">
        <f>IF('Eventos en ensayos por ID'!67:67,"AAAAAE76vTU=",0)</f>
        <v>0</v>
      </c>
      <c r="BC148" t="e">
        <f>AND('Eventos en ensayos por ID'!A67,"AAAAAE76vTY=")</f>
        <v>#VALUE!</v>
      </c>
      <c r="BD148" t="e">
        <f>AND('Eventos en ensayos por ID'!B67,"AAAAAE76vTc=")</f>
        <v>#VALUE!</v>
      </c>
      <c r="BE148" t="e">
        <f>AND('Eventos en ensayos por ID'!C67,"AAAAAE76vTg=")</f>
        <v>#VALUE!</v>
      </c>
      <c r="BF148" t="e">
        <f>AND('Eventos en ensayos por ID'!D67,"AAAAAE76vTk=")</f>
        <v>#VALUE!</v>
      </c>
      <c r="BG148" t="e">
        <f>AND('Eventos en ensayos por ID'!E67,"AAAAAE76vTo=")</f>
        <v>#VALUE!</v>
      </c>
      <c r="BH148" t="e">
        <f>AND('Eventos en ensayos por ID'!F67,"AAAAAE76vTs=")</f>
        <v>#VALUE!</v>
      </c>
      <c r="BI148" t="e">
        <f>AND('Eventos en ensayos por ID'!G67,"AAAAAE76vTw=")</f>
        <v>#VALUE!</v>
      </c>
      <c r="BJ148">
        <f>IF('Eventos en ensayos por ID'!68:68,"AAAAAE76vT0=",0)</f>
        <v>0</v>
      </c>
      <c r="BK148" t="e">
        <f>AND('Eventos en ensayos por ID'!A68,"AAAAAE76vT4=")</f>
        <v>#VALUE!</v>
      </c>
      <c r="BL148" t="e">
        <f>AND('Eventos en ensayos por ID'!B68,"AAAAAE76vT8=")</f>
        <v>#VALUE!</v>
      </c>
      <c r="BM148" t="e">
        <f>AND('Eventos en ensayos por ID'!C68,"AAAAAE76vUA=")</f>
        <v>#VALUE!</v>
      </c>
      <c r="BN148" t="e">
        <f>AND('Eventos en ensayos por ID'!D68,"AAAAAE76vUE=")</f>
        <v>#VALUE!</v>
      </c>
      <c r="BO148" t="e">
        <f>AND('Eventos en ensayos por ID'!E68,"AAAAAE76vUI=")</f>
        <v>#VALUE!</v>
      </c>
      <c r="BP148" t="e">
        <f>AND('Eventos en ensayos por ID'!F68,"AAAAAE76vUM=")</f>
        <v>#VALUE!</v>
      </c>
      <c r="BQ148" t="e">
        <f>AND('Eventos en ensayos por ID'!G68,"AAAAAE76vUQ=")</f>
        <v>#VALUE!</v>
      </c>
      <c r="BR148">
        <f>IF('Eventos en ensayos por ID'!A:A,"AAAAAE76vUU=",0)</f>
        <v>0</v>
      </c>
      <c r="BS148">
        <f>IF('Eventos en ensayos por ID'!B:B,"AAAAAE76vUY=",0)</f>
        <v>0</v>
      </c>
      <c r="BT148">
        <f>IF('Eventos en ensayos por ID'!C:C,"AAAAAE76vUc=",0)</f>
        <v>0</v>
      </c>
      <c r="BU148">
        <f>IF('Eventos en ensayos por ID'!D:D,"AAAAAE76vUg=",0)</f>
        <v>0</v>
      </c>
      <c r="BV148">
        <f>IF('Eventos en ensayos por ID'!E:E,"AAAAAE76vUk=",0)</f>
        <v>0</v>
      </c>
      <c r="BW148">
        <f>IF('Eventos en ensayos por ID'!F:F,"AAAAAE76vUo=",0)</f>
        <v>0</v>
      </c>
      <c r="BX148">
        <f>IF('Eventos en ensayos por ID'!G:G,"AAAAAE76vUs=",0)</f>
        <v>0</v>
      </c>
      <c r="BY148" t="s">
        <v>718</v>
      </c>
      <c r="BZ148" t="e">
        <f>IF("N",'Eventos en ensayos por ID'!_xlnm._FilterDatabase,"AAAAAE76vU0=")</f>
        <v>#VALUE!</v>
      </c>
      <c r="CA148" t="e">
        <f>IF("N",'Planilla_General_07-12-2012_8_3'!_xlnm._FilterDatabase,"AAAAAE76vU4=")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Planilla_General_07-12-2012_8_3</vt:lpstr>
      <vt:lpstr>Eventos en ensayos por 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Gabriel Pardo Hernandez</dc:creator>
  <cp:lastModifiedBy>Jeanete Franco Navarrete</cp:lastModifiedBy>
  <cp:lastPrinted>2012-12-12T17:43:21Z</cp:lastPrinted>
  <dcterms:created xsi:type="dcterms:W3CDTF">2012-12-07T11:50:27Z</dcterms:created>
  <dcterms:modified xsi:type="dcterms:W3CDTF">2013-02-18T15:22:20Z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17E8CPo1zjqQ3pTvruTXPNJeYMK_qCmbTxmb8rL55kak</vt:lpwstr>
  </property>
  <property fmtid="{D5CDD505-2E9C-101B-9397-08002B2CF9AE}" pid="4" name="Google.Documents.RevisionId">
    <vt:lpwstr>09627999931839693799</vt:lpwstr>
  </property>
  <property fmtid="{D5CDD505-2E9C-101B-9397-08002B2CF9AE}" pid="5" name="Google.Documents.PluginVersion">
    <vt:lpwstr>2.0.2662.553</vt:lpwstr>
  </property>
  <property fmtid="{D5CDD505-2E9C-101B-9397-08002B2CF9AE}" pid="6" name="Google.Documents.MergeIncapabilityFlags">
    <vt:i4>0</vt:i4>
  </property>
</Properties>
</file>